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omments3.xml" ContentType="application/vnd.openxmlformats-officedocument.spreadsheetml.comments+xml"/>
  <Override PartName="/xl/comments4.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24226"/>
  <mc:AlternateContent xmlns:mc="http://schemas.openxmlformats.org/markup-compatibility/2006">
    <mc:Choice Requires="x15">
      <x15ac:absPath xmlns:x15ac="http://schemas.microsoft.com/office/spreadsheetml/2010/11/ac" url="c:\users\rpost\dotwise2\pw_work\d0227531\"/>
    </mc:Choice>
  </mc:AlternateContent>
  <bookViews>
    <workbookView xWindow="45" yWindow="30" windowWidth="27825" windowHeight="14520" tabRatio="933"/>
  </bookViews>
  <sheets>
    <sheet name="Instructions" sheetId="36" r:id="rId1"/>
    <sheet name="Resurface, Milling, Agg." sheetId="13" r:id="rId2"/>
    <sheet name="Patching" sheetId="38" r:id="rId3"/>
    <sheet name="Major Appr." sheetId="15" r:id="rId4"/>
    <sheet name="Minor Appr." sheetId="16" r:id="rId5"/>
    <sheet name="Underseal" sheetId="21" r:id="rId6"/>
    <sheet name="Castings" sheetId="34" r:id="rId7"/>
    <sheet name="Str. Data" sheetId="19" r:id="rId8"/>
    <sheet name="Pipe Mat." sheetId="43" r:id="rId9"/>
    <sheet name="Obstr." sheetId="33" r:id="rId10"/>
    <sheet name="Guardrail" sheetId="9" r:id="rId11"/>
    <sheet name="Curb Ramps" sheetId="44" r:id="rId12"/>
    <sheet name="Signals" sheetId="24" r:id="rId13"/>
    <sheet name="Monuments" sheetId="10" r:id="rId14"/>
    <sheet name="CLRS" sheetId="39" r:id="rId15"/>
    <sheet name="ELRS" sheetId="42" r:id="rId16"/>
    <sheet name="Pave Mark" sheetId="35" r:id="rId17"/>
    <sheet name="Pave Mark (2)" sheetId="31" r:id="rId18"/>
    <sheet name="Pave Cores" sheetId="11" r:id="rId19"/>
    <sheet name="Summary" sheetId="30" r:id="rId20"/>
  </sheets>
  <definedNames>
    <definedName name="_xlnm._FilterDatabase" localSheetId="19" hidden="1">Summary!$B$6:$H$158</definedName>
    <definedName name="_xlnm.Print_Area" localSheetId="6">Castings!$A$1:$G$56</definedName>
    <definedName name="_xlnm.Print_Area" localSheetId="14">CLRS!$A$1:$F$52</definedName>
    <definedName name="_xlnm.Print_Area" localSheetId="11">'Curb Ramps'!$A$1:$L$54</definedName>
    <definedName name="_xlnm.Print_Area" localSheetId="15">ELRS!$A$1:$G$53</definedName>
    <definedName name="_xlnm.Print_Area" localSheetId="10">Guardrail!$A$1:$P$35</definedName>
    <definedName name="_xlnm.Print_Area" localSheetId="0">Instructions!$A$1:$F$26</definedName>
    <definedName name="_xlnm.Print_Area" localSheetId="3">'Major Appr.'!$A$1:$M$54</definedName>
    <definedName name="_xlnm.Print_Area" localSheetId="4">'Minor Appr.'!$A$1:$I$45</definedName>
    <definedName name="_xlnm.Print_Area" localSheetId="13">Monuments!$A$1:$G$56</definedName>
    <definedName name="_xlnm.Print_Area" localSheetId="9">Obstr.!$A$1:$H$56</definedName>
    <definedName name="_xlnm.Print_Area" localSheetId="2">Patching!$A$1:$J$56</definedName>
    <definedName name="_xlnm.Print_Area" localSheetId="18">'Pave Cores'!$A$1:$K$35</definedName>
    <definedName name="_xlnm.Print_Area" localSheetId="16">'Pave Mark'!$A$1:$T$52</definedName>
    <definedName name="_xlnm.Print_Area" localSheetId="17">'Pave Mark (2)'!$A$1:$M$40</definedName>
    <definedName name="_xlnm.Print_Area" localSheetId="8">'Pipe Mat.'!$A$1:$L$57</definedName>
    <definedName name="_xlnm.Print_Area" localSheetId="1">'Resurface, Milling, Agg.'!$A$1:$T$59</definedName>
    <definedName name="_xlnm.Print_Area" localSheetId="12">Signals!$A$1:$L$40</definedName>
    <definedName name="_xlnm.Print_Area" localSheetId="7">'Str. Data'!$A$1:$AJ$57</definedName>
    <definedName name="_xlnm.Print_Area" localSheetId="19">Summary!$A$1:$I$159</definedName>
    <definedName name="_xlnm.Print_Area" localSheetId="5">Underseal!$A$1:$H$56</definedName>
    <definedName name="_xlnm.Print_Titles" localSheetId="6">Castings!$2:$3</definedName>
    <definedName name="_xlnm.Print_Titles" localSheetId="10">Guardrail!$2:$4</definedName>
    <definedName name="_xlnm.Print_Titles" localSheetId="3">'Major Appr.'!$3:$3</definedName>
    <definedName name="_xlnm.Print_Titles" localSheetId="13">Monuments!$2:$3</definedName>
    <definedName name="_xlnm.Print_Titles" localSheetId="9">Obstr.!$4:$4</definedName>
    <definedName name="_xlnm.Print_Titles" localSheetId="2">Patching!$1:$1</definedName>
  </definedNames>
  <calcPr calcId="152511"/>
</workbook>
</file>

<file path=xl/calcChain.xml><?xml version="1.0" encoding="utf-8"?>
<calcChain xmlns="http://schemas.openxmlformats.org/spreadsheetml/2006/main">
  <c r="Q58" i="13" l="1"/>
  <c r="C44" i="16" l="1"/>
  <c r="AG49" i="13"/>
  <c r="E37" i="38"/>
  <c r="F37" i="38"/>
  <c r="G37" i="38"/>
  <c r="Q142" i="13" l="1"/>
  <c r="D69" i="30" l="1"/>
  <c r="F80" i="30"/>
  <c r="B80" i="30" s="1"/>
  <c r="J53" i="44"/>
  <c r="I53" i="44"/>
  <c r="F69" i="30"/>
  <c r="B69" i="30" s="1"/>
  <c r="H53" i="44"/>
  <c r="F65" i="30" s="1"/>
  <c r="G53" i="44"/>
  <c r="F68" i="30"/>
  <c r="F53" i="44"/>
  <c r="F67" i="30" s="1"/>
  <c r="E53" i="44"/>
  <c r="F66" i="30" s="1"/>
  <c r="I3" i="44"/>
  <c r="A1" i="44"/>
  <c r="P47" i="35"/>
  <c r="P46" i="35"/>
  <c r="P45" i="35"/>
  <c r="P44" i="35"/>
  <c r="P43" i="35"/>
  <c r="P42" i="35"/>
  <c r="P41" i="35"/>
  <c r="P40" i="35"/>
  <c r="P39" i="35"/>
  <c r="P38" i="35"/>
  <c r="P37" i="35"/>
  <c r="P36" i="35"/>
  <c r="P35" i="35"/>
  <c r="P34" i="35"/>
  <c r="P33" i="35"/>
  <c r="P32" i="35"/>
  <c r="P31" i="35"/>
  <c r="P30" i="35"/>
  <c r="P29" i="35"/>
  <c r="P28" i="35"/>
  <c r="P27" i="35"/>
  <c r="P26" i="35"/>
  <c r="P25" i="35"/>
  <c r="P24" i="35"/>
  <c r="P23" i="35"/>
  <c r="P22" i="35"/>
  <c r="P21" i="35"/>
  <c r="P20" i="35"/>
  <c r="P19" i="35"/>
  <c r="P18" i="35"/>
  <c r="P17" i="35"/>
  <c r="P16" i="35"/>
  <c r="P15" i="35"/>
  <c r="P14" i="35"/>
  <c r="P13" i="35"/>
  <c r="P12" i="35"/>
  <c r="P11" i="35"/>
  <c r="P10" i="35"/>
  <c r="P9" i="35"/>
  <c r="P48" i="35"/>
  <c r="P8" i="35"/>
  <c r="AC47" i="35"/>
  <c r="AB47" i="35"/>
  <c r="AC46" i="35"/>
  <c r="AB46" i="35"/>
  <c r="AC45" i="35"/>
  <c r="AB45" i="35"/>
  <c r="AC44" i="35"/>
  <c r="AB44" i="35"/>
  <c r="AC43" i="35"/>
  <c r="AB43" i="35"/>
  <c r="M43" i="35" s="1"/>
  <c r="AC42" i="35"/>
  <c r="AB42" i="35"/>
  <c r="AC41" i="35"/>
  <c r="AB41" i="35"/>
  <c r="AC40" i="35"/>
  <c r="AB40" i="35"/>
  <c r="AC39" i="35"/>
  <c r="AB39" i="35"/>
  <c r="M39" i="35" s="1"/>
  <c r="AC38" i="35"/>
  <c r="AB38" i="35"/>
  <c r="AC37" i="35"/>
  <c r="AB37" i="35"/>
  <c r="AC36" i="35"/>
  <c r="AB36" i="35"/>
  <c r="M36" i="35" s="1"/>
  <c r="AC35" i="35"/>
  <c r="M35" i="35" s="1"/>
  <c r="AB35" i="35"/>
  <c r="AC34" i="35"/>
  <c r="AB34" i="35"/>
  <c r="AC33" i="35"/>
  <c r="AB33" i="35"/>
  <c r="AC32" i="35"/>
  <c r="AB32" i="35"/>
  <c r="M32" i="35" s="1"/>
  <c r="AC31" i="35"/>
  <c r="AB31" i="35"/>
  <c r="AC30" i="35"/>
  <c r="AB30" i="35"/>
  <c r="AC29" i="35"/>
  <c r="AB29" i="35"/>
  <c r="AC28" i="35"/>
  <c r="M28" i="35"/>
  <c r="AB28" i="35"/>
  <c r="AC27" i="35"/>
  <c r="AB27" i="35"/>
  <c r="AC26" i="35"/>
  <c r="AB26" i="35"/>
  <c r="AC25" i="35"/>
  <c r="AB25" i="35"/>
  <c r="AC24" i="35"/>
  <c r="AB24" i="35"/>
  <c r="AC23" i="35"/>
  <c r="AB23" i="35"/>
  <c r="AC22" i="35"/>
  <c r="AB22" i="35"/>
  <c r="AC21" i="35"/>
  <c r="AB21" i="35"/>
  <c r="AC20" i="35"/>
  <c r="M20" i="35" s="1"/>
  <c r="AB20" i="35"/>
  <c r="AC19" i="35"/>
  <c r="AB19" i="35"/>
  <c r="AC18" i="35"/>
  <c r="AB18" i="35"/>
  <c r="AC17" i="35"/>
  <c r="AB17" i="35"/>
  <c r="AC16" i="35"/>
  <c r="AB16" i="35"/>
  <c r="AC15" i="35"/>
  <c r="AB15" i="35"/>
  <c r="AC14" i="35"/>
  <c r="AB14" i="35"/>
  <c r="AC13" i="35"/>
  <c r="AB13" i="35"/>
  <c r="AC12" i="35"/>
  <c r="AB12" i="35"/>
  <c r="AC11" i="35"/>
  <c r="AB11" i="35"/>
  <c r="AC10" i="35"/>
  <c r="AB10" i="35"/>
  <c r="AC9" i="35"/>
  <c r="AB9" i="35"/>
  <c r="AC8" i="35"/>
  <c r="AB8" i="35"/>
  <c r="D4" i="31"/>
  <c r="J130" i="13"/>
  <c r="I130" i="13"/>
  <c r="J129" i="13"/>
  <c r="I129" i="13"/>
  <c r="J128" i="13"/>
  <c r="I128" i="13"/>
  <c r="J127" i="13"/>
  <c r="I127" i="13"/>
  <c r="J126" i="13"/>
  <c r="I126" i="13"/>
  <c r="J125" i="13"/>
  <c r="I125" i="13"/>
  <c r="J124" i="13"/>
  <c r="I124" i="13"/>
  <c r="J123" i="13"/>
  <c r="I123" i="13"/>
  <c r="J122" i="13"/>
  <c r="I122" i="13"/>
  <c r="J121" i="13"/>
  <c r="I121" i="13"/>
  <c r="J120" i="13"/>
  <c r="I120" i="13"/>
  <c r="J119" i="13"/>
  <c r="I119" i="13"/>
  <c r="J118" i="13"/>
  <c r="I118" i="13"/>
  <c r="J117" i="13"/>
  <c r="I117" i="13"/>
  <c r="J116" i="13"/>
  <c r="I116" i="13"/>
  <c r="J115" i="13"/>
  <c r="I115" i="13"/>
  <c r="J114" i="13"/>
  <c r="I114" i="13"/>
  <c r="J113" i="13"/>
  <c r="I113" i="13"/>
  <c r="J112" i="13"/>
  <c r="I112" i="13"/>
  <c r="J111" i="13"/>
  <c r="I111" i="13"/>
  <c r="J110" i="13"/>
  <c r="I110" i="13"/>
  <c r="J109" i="13"/>
  <c r="I109" i="13"/>
  <c r="J108" i="13"/>
  <c r="I108" i="13"/>
  <c r="J107" i="13"/>
  <c r="I107" i="13"/>
  <c r="J106" i="13"/>
  <c r="I106" i="13"/>
  <c r="J105" i="13"/>
  <c r="I105" i="13"/>
  <c r="J104" i="13"/>
  <c r="I104" i="13"/>
  <c r="J103" i="13"/>
  <c r="I103" i="13"/>
  <c r="J102" i="13"/>
  <c r="I102" i="13"/>
  <c r="J101" i="13"/>
  <c r="I101" i="13"/>
  <c r="J100" i="13"/>
  <c r="I100" i="13"/>
  <c r="J99" i="13"/>
  <c r="I99" i="13"/>
  <c r="J98" i="13"/>
  <c r="I98" i="13"/>
  <c r="J97" i="13"/>
  <c r="I97" i="13"/>
  <c r="J96" i="13"/>
  <c r="I96" i="13"/>
  <c r="J95" i="13"/>
  <c r="I95" i="13"/>
  <c r="J94" i="13"/>
  <c r="I94" i="13"/>
  <c r="J93" i="13"/>
  <c r="I93" i="13"/>
  <c r="J92" i="13"/>
  <c r="I92" i="13"/>
  <c r="J91" i="13"/>
  <c r="I91" i="13"/>
  <c r="J46" i="13"/>
  <c r="I46" i="13"/>
  <c r="J45" i="13"/>
  <c r="I45" i="13"/>
  <c r="J44" i="13"/>
  <c r="I44" i="13"/>
  <c r="J43" i="13"/>
  <c r="I43" i="13"/>
  <c r="J42" i="13"/>
  <c r="I42" i="13"/>
  <c r="J41" i="13"/>
  <c r="I41" i="13"/>
  <c r="J40" i="13"/>
  <c r="I40" i="13"/>
  <c r="J39" i="13"/>
  <c r="I39" i="13"/>
  <c r="J38" i="13"/>
  <c r="I38" i="13"/>
  <c r="J37" i="13"/>
  <c r="I37" i="13"/>
  <c r="J36" i="13"/>
  <c r="I36" i="13"/>
  <c r="J35" i="13"/>
  <c r="I35" i="13"/>
  <c r="J34" i="13"/>
  <c r="I34" i="13"/>
  <c r="J33" i="13"/>
  <c r="I33" i="13"/>
  <c r="J32" i="13"/>
  <c r="I32" i="13"/>
  <c r="J31" i="13"/>
  <c r="I31" i="13"/>
  <c r="J30" i="13"/>
  <c r="I30" i="13"/>
  <c r="J29" i="13"/>
  <c r="I29" i="13"/>
  <c r="J28" i="13"/>
  <c r="I28" i="13"/>
  <c r="J27" i="13"/>
  <c r="I27" i="13"/>
  <c r="J26" i="13"/>
  <c r="I26" i="13"/>
  <c r="J25" i="13"/>
  <c r="I25" i="13"/>
  <c r="J24" i="13"/>
  <c r="I24" i="13"/>
  <c r="J23" i="13"/>
  <c r="I23" i="13"/>
  <c r="J22" i="13"/>
  <c r="I22" i="13"/>
  <c r="J21" i="13"/>
  <c r="I21" i="13"/>
  <c r="J20" i="13"/>
  <c r="I20" i="13"/>
  <c r="J19" i="13"/>
  <c r="I19" i="13"/>
  <c r="J18" i="13"/>
  <c r="I18" i="13"/>
  <c r="J17" i="13"/>
  <c r="I17" i="13"/>
  <c r="J16" i="13"/>
  <c r="I16" i="13"/>
  <c r="J15" i="13"/>
  <c r="I15" i="13"/>
  <c r="J14" i="13"/>
  <c r="I14" i="13"/>
  <c r="J13" i="13"/>
  <c r="I13" i="13"/>
  <c r="J12" i="13"/>
  <c r="I12" i="13"/>
  <c r="J11" i="13"/>
  <c r="I11" i="13"/>
  <c r="J10" i="13"/>
  <c r="AR10" i="13" s="1"/>
  <c r="I10" i="13"/>
  <c r="J9" i="13"/>
  <c r="AR9" i="13" s="1"/>
  <c r="I9" i="13"/>
  <c r="AP9" i="13" s="1"/>
  <c r="J8" i="13"/>
  <c r="AR8" i="13" s="1"/>
  <c r="I8" i="13"/>
  <c r="J7" i="13"/>
  <c r="I7" i="13"/>
  <c r="AP7" i="13" s="1"/>
  <c r="B134" i="13"/>
  <c r="Q137" i="13"/>
  <c r="Q53" i="13"/>
  <c r="AS36" i="13"/>
  <c r="AR36" i="13"/>
  <c r="AQ36" i="13"/>
  <c r="AP36" i="13"/>
  <c r="AL36" i="13"/>
  <c r="AK36" i="13"/>
  <c r="AJ36" i="13"/>
  <c r="AH36" i="13"/>
  <c r="AA36" i="13"/>
  <c r="P36" i="13"/>
  <c r="O36" i="13"/>
  <c r="Q36" i="13" s="1"/>
  <c r="M36" i="13"/>
  <c r="N36" i="13" s="1"/>
  <c r="K36" i="13"/>
  <c r="AS35" i="13"/>
  <c r="AR35" i="13"/>
  <c r="AQ35" i="13"/>
  <c r="AP35" i="13"/>
  <c r="AL35" i="13"/>
  <c r="AK35" i="13"/>
  <c r="AJ35" i="13"/>
  <c r="AH35" i="13"/>
  <c r="AA35" i="13"/>
  <c r="P35" i="13"/>
  <c r="O35" i="13"/>
  <c r="Q35" i="13" s="1"/>
  <c r="M35" i="13"/>
  <c r="N35" i="13" s="1"/>
  <c r="K35" i="13"/>
  <c r="AY8" i="35"/>
  <c r="AX8" i="35"/>
  <c r="AV8" i="35"/>
  <c r="AU8" i="35"/>
  <c r="AX6" i="35"/>
  <c r="L35" i="13"/>
  <c r="L36" i="13"/>
  <c r="M38" i="11"/>
  <c r="M37" i="11"/>
  <c r="M54" i="38"/>
  <c r="M50" i="38"/>
  <c r="L50" i="38"/>
  <c r="L41" i="38"/>
  <c r="G34" i="38"/>
  <c r="F34" i="38"/>
  <c r="E34" i="38"/>
  <c r="Q1451" i="38"/>
  <c r="P1451" i="38"/>
  <c r="O1451" i="38"/>
  <c r="Q1450" i="38"/>
  <c r="P1450" i="38"/>
  <c r="O1450" i="38"/>
  <c r="Q1449" i="38"/>
  <c r="P1449" i="38"/>
  <c r="O1449" i="38"/>
  <c r="Q1448" i="38"/>
  <c r="P1448" i="38"/>
  <c r="O1448" i="38"/>
  <c r="Q1447" i="38"/>
  <c r="P1447" i="38"/>
  <c r="O1447" i="38"/>
  <c r="Q1446" i="38"/>
  <c r="P1446" i="38"/>
  <c r="O1446" i="38"/>
  <c r="Q1445" i="38"/>
  <c r="P1445" i="38"/>
  <c r="O1445" i="38"/>
  <c r="Q1444" i="38"/>
  <c r="P1444" i="38"/>
  <c r="O1444" i="38"/>
  <c r="Q1443" i="38"/>
  <c r="P1443" i="38"/>
  <c r="O1443" i="38"/>
  <c r="Q1442" i="38"/>
  <c r="P1442" i="38"/>
  <c r="O1442" i="38"/>
  <c r="Q1441" i="38"/>
  <c r="P1441" i="38"/>
  <c r="O1441" i="38"/>
  <c r="Q1440" i="38"/>
  <c r="P1440" i="38"/>
  <c r="O1440" i="38"/>
  <c r="Q1439" i="38"/>
  <c r="P1439" i="38"/>
  <c r="O1439" i="38"/>
  <c r="Q1438" i="38"/>
  <c r="P1438" i="38"/>
  <c r="O1438" i="38"/>
  <c r="Q1437" i="38"/>
  <c r="P1437" i="38"/>
  <c r="O1437" i="38"/>
  <c r="Q1436" i="38"/>
  <c r="P1436" i="38"/>
  <c r="O1436" i="38"/>
  <c r="Q1435" i="38"/>
  <c r="P1435" i="38"/>
  <c r="O1435" i="38"/>
  <c r="Q1434" i="38"/>
  <c r="P1434" i="38"/>
  <c r="O1434" i="38"/>
  <c r="Q1433" i="38"/>
  <c r="P1433" i="38"/>
  <c r="O1433" i="38"/>
  <c r="Q1432" i="38"/>
  <c r="P1432" i="38"/>
  <c r="O1432" i="38"/>
  <c r="Q1431" i="38"/>
  <c r="P1431" i="38"/>
  <c r="O1431" i="38"/>
  <c r="Q1430" i="38"/>
  <c r="P1430" i="38"/>
  <c r="O1430" i="38"/>
  <c r="Q1429" i="38"/>
  <c r="P1429" i="38"/>
  <c r="O1429" i="38"/>
  <c r="Q1428" i="38"/>
  <c r="P1428" i="38"/>
  <c r="O1428" i="38"/>
  <c r="Q1427" i="38"/>
  <c r="P1427" i="38"/>
  <c r="O1427" i="38"/>
  <c r="Q1426" i="38"/>
  <c r="P1426" i="38"/>
  <c r="O1426" i="38"/>
  <c r="Q1425" i="38"/>
  <c r="P1425" i="38"/>
  <c r="O1425" i="38"/>
  <c r="Q1424" i="38"/>
  <c r="P1424" i="38"/>
  <c r="O1424" i="38"/>
  <c r="Q1423" i="38"/>
  <c r="P1423" i="38"/>
  <c r="O1423" i="38"/>
  <c r="Q1422" i="38"/>
  <c r="P1422" i="38"/>
  <c r="O1422" i="38"/>
  <c r="Q1421" i="38"/>
  <c r="P1421" i="38"/>
  <c r="O1421" i="38"/>
  <c r="Q1420" i="38"/>
  <c r="P1420" i="38"/>
  <c r="O1420" i="38"/>
  <c r="Q1419" i="38"/>
  <c r="P1419" i="38"/>
  <c r="O1419" i="38"/>
  <c r="Q1418" i="38"/>
  <c r="P1418" i="38"/>
  <c r="O1418" i="38"/>
  <c r="Q1417" i="38"/>
  <c r="P1417" i="38"/>
  <c r="O1417" i="38"/>
  <c r="Q1416" i="38"/>
  <c r="P1416" i="38"/>
  <c r="O1416" i="38"/>
  <c r="Q1415" i="38"/>
  <c r="P1415" i="38"/>
  <c r="O1415" i="38"/>
  <c r="Q1414" i="38"/>
  <c r="P1414" i="38"/>
  <c r="O1414" i="38"/>
  <c r="Q1413" i="38"/>
  <c r="P1413" i="38"/>
  <c r="O1413" i="38"/>
  <c r="Q1412" i="38"/>
  <c r="P1412" i="38"/>
  <c r="O1412" i="38"/>
  <c r="Q1411" i="38"/>
  <c r="P1411" i="38"/>
  <c r="O1411" i="38"/>
  <c r="Q1410" i="38"/>
  <c r="P1410" i="38"/>
  <c r="O1410" i="38"/>
  <c r="Q1409" i="38"/>
  <c r="P1409" i="38"/>
  <c r="O1409" i="38"/>
  <c r="Q1408" i="38"/>
  <c r="P1408" i="38"/>
  <c r="O1408" i="38"/>
  <c r="Q1407" i="38"/>
  <c r="P1407" i="38"/>
  <c r="O1407" i="38"/>
  <c r="Q1406" i="38"/>
  <c r="P1406" i="38"/>
  <c r="O1406" i="38"/>
  <c r="Q1405" i="38"/>
  <c r="P1405" i="38"/>
  <c r="O1405" i="38"/>
  <c r="Q1404" i="38"/>
  <c r="P1404" i="38"/>
  <c r="O1404" i="38"/>
  <c r="Q1403" i="38"/>
  <c r="P1403" i="38"/>
  <c r="O1403" i="38"/>
  <c r="Q1402" i="38"/>
  <c r="P1402" i="38"/>
  <c r="O1402" i="38"/>
  <c r="Q1401" i="38"/>
  <c r="P1401" i="38"/>
  <c r="O1401" i="38"/>
  <c r="Q1400" i="38"/>
  <c r="P1400" i="38"/>
  <c r="O1400" i="38"/>
  <c r="Q1399" i="38"/>
  <c r="P1399" i="38"/>
  <c r="O1399" i="38"/>
  <c r="Q1393" i="38"/>
  <c r="P1393" i="38"/>
  <c r="O1393" i="38"/>
  <c r="Q1392" i="38"/>
  <c r="P1392" i="38"/>
  <c r="O1392" i="38"/>
  <c r="Q1391" i="38"/>
  <c r="P1391" i="38"/>
  <c r="O1391" i="38"/>
  <c r="Q1390" i="38"/>
  <c r="P1390" i="38"/>
  <c r="O1390" i="38"/>
  <c r="Q1389" i="38"/>
  <c r="P1389" i="38"/>
  <c r="O1389" i="38"/>
  <c r="Q1388" i="38"/>
  <c r="P1388" i="38"/>
  <c r="O1388" i="38"/>
  <c r="Q1387" i="38"/>
  <c r="P1387" i="38"/>
  <c r="O1387" i="38"/>
  <c r="Q1386" i="38"/>
  <c r="P1386" i="38"/>
  <c r="O1386" i="38"/>
  <c r="Q1385" i="38"/>
  <c r="P1385" i="38"/>
  <c r="O1385" i="38"/>
  <c r="Q1384" i="38"/>
  <c r="P1384" i="38"/>
  <c r="O1384" i="38"/>
  <c r="Q1383" i="38"/>
  <c r="P1383" i="38"/>
  <c r="O1383" i="38"/>
  <c r="Q1382" i="38"/>
  <c r="P1382" i="38"/>
  <c r="O1382" i="38"/>
  <c r="Q1381" i="38"/>
  <c r="P1381" i="38"/>
  <c r="O1381" i="38"/>
  <c r="Q1380" i="38"/>
  <c r="P1380" i="38"/>
  <c r="O1380" i="38"/>
  <c r="Q1379" i="38"/>
  <c r="P1379" i="38"/>
  <c r="O1379" i="38"/>
  <c r="Q1378" i="38"/>
  <c r="P1378" i="38"/>
  <c r="O1378" i="38"/>
  <c r="Q1377" i="38"/>
  <c r="P1377" i="38"/>
  <c r="O1377" i="38"/>
  <c r="Q1376" i="38"/>
  <c r="P1376" i="38"/>
  <c r="O1376" i="38"/>
  <c r="Q1375" i="38"/>
  <c r="P1375" i="38"/>
  <c r="O1375" i="38"/>
  <c r="Q1374" i="38"/>
  <c r="P1374" i="38"/>
  <c r="O1374" i="38"/>
  <c r="Q1373" i="38"/>
  <c r="P1373" i="38"/>
  <c r="O1373" i="38"/>
  <c r="Q1372" i="38"/>
  <c r="P1372" i="38"/>
  <c r="O1372" i="38"/>
  <c r="Q1371" i="38"/>
  <c r="P1371" i="38"/>
  <c r="O1371" i="38"/>
  <c r="Q1370" i="38"/>
  <c r="P1370" i="38"/>
  <c r="O1370" i="38"/>
  <c r="Q1369" i="38"/>
  <c r="P1369" i="38"/>
  <c r="O1369" i="38"/>
  <c r="Q1368" i="38"/>
  <c r="P1368" i="38"/>
  <c r="O1368" i="38"/>
  <c r="Q1367" i="38"/>
  <c r="P1367" i="38"/>
  <c r="O1367" i="38"/>
  <c r="Q1366" i="38"/>
  <c r="P1366" i="38"/>
  <c r="O1366" i="38"/>
  <c r="Q1365" i="38"/>
  <c r="P1365" i="38"/>
  <c r="O1365" i="38"/>
  <c r="Q1364" i="38"/>
  <c r="P1364" i="38"/>
  <c r="O1364" i="38"/>
  <c r="Q1363" i="38"/>
  <c r="P1363" i="38"/>
  <c r="O1363" i="38"/>
  <c r="Q1362" i="38"/>
  <c r="P1362" i="38"/>
  <c r="O1362" i="38"/>
  <c r="Q1361" i="38"/>
  <c r="P1361" i="38"/>
  <c r="O1361" i="38"/>
  <c r="Q1360" i="38"/>
  <c r="P1360" i="38"/>
  <c r="O1360" i="38"/>
  <c r="Q1359" i="38"/>
  <c r="P1359" i="38"/>
  <c r="O1359" i="38"/>
  <c r="Q1358" i="38"/>
  <c r="P1358" i="38"/>
  <c r="O1358" i="38"/>
  <c r="Q1357" i="38"/>
  <c r="P1357" i="38"/>
  <c r="O1357" i="38"/>
  <c r="Q1356" i="38"/>
  <c r="P1356" i="38"/>
  <c r="O1356" i="38"/>
  <c r="Q1355" i="38"/>
  <c r="P1355" i="38"/>
  <c r="O1355" i="38"/>
  <c r="Q1354" i="38"/>
  <c r="P1354" i="38"/>
  <c r="O1354" i="38"/>
  <c r="Q1353" i="38"/>
  <c r="P1353" i="38"/>
  <c r="O1353" i="38"/>
  <c r="Q1352" i="38"/>
  <c r="P1352" i="38"/>
  <c r="O1352" i="38"/>
  <c r="Q1351" i="38"/>
  <c r="P1351" i="38"/>
  <c r="O1351" i="38"/>
  <c r="Q1350" i="38"/>
  <c r="P1350" i="38"/>
  <c r="O1350" i="38"/>
  <c r="Q1349" i="38"/>
  <c r="P1349" i="38"/>
  <c r="O1349" i="38"/>
  <c r="Q1348" i="38"/>
  <c r="P1348" i="38"/>
  <c r="O1348" i="38"/>
  <c r="Q1347" i="38"/>
  <c r="P1347" i="38"/>
  <c r="O1347" i="38"/>
  <c r="Q1346" i="38"/>
  <c r="P1346" i="38"/>
  <c r="O1346" i="38"/>
  <c r="Q1345" i="38"/>
  <c r="P1345" i="38"/>
  <c r="O1345" i="38"/>
  <c r="Q1344" i="38"/>
  <c r="P1344" i="38"/>
  <c r="O1344" i="38"/>
  <c r="Q1343" i="38"/>
  <c r="P1343" i="38"/>
  <c r="O1343" i="38"/>
  <c r="Q1342" i="38"/>
  <c r="P1342" i="38"/>
  <c r="O1342" i="38"/>
  <c r="Q1341" i="38"/>
  <c r="P1341" i="38"/>
  <c r="O1341" i="38"/>
  <c r="Q1335" i="38"/>
  <c r="P1335" i="38"/>
  <c r="O1335" i="38"/>
  <c r="Q1334" i="38"/>
  <c r="P1334" i="38"/>
  <c r="O1334" i="38"/>
  <c r="Q1333" i="38"/>
  <c r="P1333" i="38"/>
  <c r="O1333" i="38"/>
  <c r="Q1332" i="38"/>
  <c r="P1332" i="38"/>
  <c r="O1332" i="38"/>
  <c r="Q1331" i="38"/>
  <c r="P1331" i="38"/>
  <c r="O1331" i="38"/>
  <c r="Q1330" i="38"/>
  <c r="P1330" i="38"/>
  <c r="O1330" i="38"/>
  <c r="Q1329" i="38"/>
  <c r="P1329" i="38"/>
  <c r="O1329" i="38"/>
  <c r="Q1328" i="38"/>
  <c r="P1328" i="38"/>
  <c r="O1328" i="38"/>
  <c r="Q1327" i="38"/>
  <c r="P1327" i="38"/>
  <c r="O1327" i="38"/>
  <c r="Q1326" i="38"/>
  <c r="P1326" i="38"/>
  <c r="O1326" i="38"/>
  <c r="Q1325" i="38"/>
  <c r="P1325" i="38"/>
  <c r="O1325" i="38"/>
  <c r="Q1324" i="38"/>
  <c r="P1324" i="38"/>
  <c r="O1324" i="38"/>
  <c r="Q1323" i="38"/>
  <c r="P1323" i="38"/>
  <c r="O1323" i="38"/>
  <c r="Q1322" i="38"/>
  <c r="P1322" i="38"/>
  <c r="O1322" i="38"/>
  <c r="Q1321" i="38"/>
  <c r="P1321" i="38"/>
  <c r="O1321" i="38"/>
  <c r="Q1320" i="38"/>
  <c r="P1320" i="38"/>
  <c r="O1320" i="38"/>
  <c r="Q1319" i="38"/>
  <c r="P1319" i="38"/>
  <c r="O1319" i="38"/>
  <c r="Q1318" i="38"/>
  <c r="P1318" i="38"/>
  <c r="O1318" i="38"/>
  <c r="Q1317" i="38"/>
  <c r="P1317" i="38"/>
  <c r="O1317" i="38"/>
  <c r="Q1316" i="38"/>
  <c r="P1316" i="38"/>
  <c r="O1316" i="38"/>
  <c r="Q1315" i="38"/>
  <c r="P1315" i="38"/>
  <c r="O1315" i="38"/>
  <c r="Q1314" i="38"/>
  <c r="P1314" i="38"/>
  <c r="O1314" i="38"/>
  <c r="Q1313" i="38"/>
  <c r="P1313" i="38"/>
  <c r="O1313" i="38"/>
  <c r="Q1312" i="38"/>
  <c r="P1312" i="38"/>
  <c r="O1312" i="38"/>
  <c r="Q1311" i="38"/>
  <c r="P1311" i="38"/>
  <c r="O1311" i="38"/>
  <c r="Q1310" i="38"/>
  <c r="P1310" i="38"/>
  <c r="O1310" i="38"/>
  <c r="Q1309" i="38"/>
  <c r="P1309" i="38"/>
  <c r="O1309" i="38"/>
  <c r="Q1308" i="38"/>
  <c r="P1308" i="38"/>
  <c r="O1308" i="38"/>
  <c r="Q1307" i="38"/>
  <c r="P1307" i="38"/>
  <c r="O1307" i="38"/>
  <c r="Q1306" i="38"/>
  <c r="P1306" i="38"/>
  <c r="O1306" i="38"/>
  <c r="Q1305" i="38"/>
  <c r="P1305" i="38"/>
  <c r="O1305" i="38"/>
  <c r="Q1304" i="38"/>
  <c r="P1304" i="38"/>
  <c r="O1304" i="38"/>
  <c r="Q1303" i="38"/>
  <c r="P1303" i="38"/>
  <c r="O1303" i="38"/>
  <c r="Q1302" i="38"/>
  <c r="P1302" i="38"/>
  <c r="O1302" i="38"/>
  <c r="Q1301" i="38"/>
  <c r="P1301" i="38"/>
  <c r="O1301" i="38"/>
  <c r="Q1300" i="38"/>
  <c r="P1300" i="38"/>
  <c r="O1300" i="38"/>
  <c r="Q1299" i="38"/>
  <c r="P1299" i="38"/>
  <c r="O1299" i="38"/>
  <c r="Q1298" i="38"/>
  <c r="P1298" i="38"/>
  <c r="O1298" i="38"/>
  <c r="Q1297" i="38"/>
  <c r="P1297" i="38"/>
  <c r="O1297" i="38"/>
  <c r="Q1296" i="38"/>
  <c r="P1296" i="38"/>
  <c r="O1296" i="38"/>
  <c r="Q1295" i="38"/>
  <c r="P1295" i="38"/>
  <c r="O1295" i="38"/>
  <c r="Q1294" i="38"/>
  <c r="P1294" i="38"/>
  <c r="O1294" i="38"/>
  <c r="Q1293" i="38"/>
  <c r="P1293" i="38"/>
  <c r="O1293" i="38"/>
  <c r="Q1292" i="38"/>
  <c r="P1292" i="38"/>
  <c r="O1292" i="38"/>
  <c r="Q1291" i="38"/>
  <c r="P1291" i="38"/>
  <c r="O1291" i="38"/>
  <c r="Q1290" i="38"/>
  <c r="P1290" i="38"/>
  <c r="O1290" i="38"/>
  <c r="Q1289" i="38"/>
  <c r="P1289" i="38"/>
  <c r="O1289" i="38"/>
  <c r="Q1288" i="38"/>
  <c r="P1288" i="38"/>
  <c r="O1288" i="38"/>
  <c r="Q1287" i="38"/>
  <c r="P1287" i="38"/>
  <c r="O1287" i="38"/>
  <c r="Q1286" i="38"/>
  <c r="P1286" i="38"/>
  <c r="O1286" i="38"/>
  <c r="Q1285" i="38"/>
  <c r="P1285" i="38"/>
  <c r="O1285" i="38"/>
  <c r="Q1284" i="38"/>
  <c r="P1284" i="38"/>
  <c r="O1284" i="38"/>
  <c r="Q1283" i="38"/>
  <c r="P1283" i="38"/>
  <c r="O1283" i="38"/>
  <c r="Q1277" i="38"/>
  <c r="P1277" i="38"/>
  <c r="O1277" i="38"/>
  <c r="Q1276" i="38"/>
  <c r="P1276" i="38"/>
  <c r="O1276" i="38"/>
  <c r="Q1275" i="38"/>
  <c r="P1275" i="38"/>
  <c r="O1275" i="38"/>
  <c r="Q1274" i="38"/>
  <c r="P1274" i="38"/>
  <c r="O1274" i="38"/>
  <c r="Q1273" i="38"/>
  <c r="P1273" i="38"/>
  <c r="O1273" i="38"/>
  <c r="Q1272" i="38"/>
  <c r="P1272" i="38"/>
  <c r="O1272" i="38"/>
  <c r="Q1271" i="38"/>
  <c r="P1271" i="38"/>
  <c r="O1271" i="38"/>
  <c r="Q1270" i="38"/>
  <c r="P1270" i="38"/>
  <c r="O1270" i="38"/>
  <c r="Q1269" i="38"/>
  <c r="P1269" i="38"/>
  <c r="O1269" i="38"/>
  <c r="Q1268" i="38"/>
  <c r="P1268" i="38"/>
  <c r="O1268" i="38"/>
  <c r="Q1267" i="38"/>
  <c r="P1267" i="38"/>
  <c r="O1267" i="38"/>
  <c r="Q1266" i="38"/>
  <c r="P1266" i="38"/>
  <c r="O1266" i="38"/>
  <c r="Q1265" i="38"/>
  <c r="P1265" i="38"/>
  <c r="O1265" i="38"/>
  <c r="Q1264" i="38"/>
  <c r="P1264" i="38"/>
  <c r="O1264" i="38"/>
  <c r="Q1263" i="38"/>
  <c r="P1263" i="38"/>
  <c r="O1263" i="38"/>
  <c r="Q1262" i="38"/>
  <c r="P1262" i="38"/>
  <c r="O1262" i="38"/>
  <c r="Q1261" i="38"/>
  <c r="P1261" i="38"/>
  <c r="O1261" i="38"/>
  <c r="Q1260" i="38"/>
  <c r="P1260" i="38"/>
  <c r="O1260" i="38"/>
  <c r="Q1259" i="38"/>
  <c r="P1259" i="38"/>
  <c r="O1259" i="38"/>
  <c r="Q1258" i="38"/>
  <c r="P1258" i="38"/>
  <c r="O1258" i="38"/>
  <c r="Q1257" i="38"/>
  <c r="P1257" i="38"/>
  <c r="O1257" i="38"/>
  <c r="Q1256" i="38"/>
  <c r="P1256" i="38"/>
  <c r="O1256" i="38"/>
  <c r="Q1255" i="38"/>
  <c r="P1255" i="38"/>
  <c r="O1255" i="38"/>
  <c r="Q1254" i="38"/>
  <c r="P1254" i="38"/>
  <c r="O1254" i="38"/>
  <c r="Q1253" i="38"/>
  <c r="P1253" i="38"/>
  <c r="O1253" i="38"/>
  <c r="Q1252" i="38"/>
  <c r="P1252" i="38"/>
  <c r="O1252" i="38"/>
  <c r="Q1251" i="38"/>
  <c r="P1251" i="38"/>
  <c r="O1251" i="38"/>
  <c r="Q1250" i="38"/>
  <c r="P1250" i="38"/>
  <c r="O1250" i="38"/>
  <c r="Q1249" i="38"/>
  <c r="P1249" i="38"/>
  <c r="O1249" i="38"/>
  <c r="Q1248" i="38"/>
  <c r="P1248" i="38"/>
  <c r="O1248" i="38"/>
  <c r="Q1247" i="38"/>
  <c r="P1247" i="38"/>
  <c r="O1247" i="38"/>
  <c r="Q1246" i="38"/>
  <c r="P1246" i="38"/>
  <c r="O1246" i="38"/>
  <c r="Q1245" i="38"/>
  <c r="P1245" i="38"/>
  <c r="O1245" i="38"/>
  <c r="Q1244" i="38"/>
  <c r="P1244" i="38"/>
  <c r="O1244" i="38"/>
  <c r="Q1243" i="38"/>
  <c r="P1243" i="38"/>
  <c r="O1243" i="38"/>
  <c r="Q1242" i="38"/>
  <c r="P1242" i="38"/>
  <c r="O1242" i="38"/>
  <c r="Q1241" i="38"/>
  <c r="P1241" i="38"/>
  <c r="O1241" i="38"/>
  <c r="Q1240" i="38"/>
  <c r="P1240" i="38"/>
  <c r="O1240" i="38"/>
  <c r="Q1239" i="38"/>
  <c r="P1239" i="38"/>
  <c r="O1239" i="38"/>
  <c r="Q1238" i="38"/>
  <c r="P1238" i="38"/>
  <c r="O1238" i="38"/>
  <c r="Q1237" i="38"/>
  <c r="P1237" i="38"/>
  <c r="O1237" i="38"/>
  <c r="Q1236" i="38"/>
  <c r="P1236" i="38"/>
  <c r="O1236" i="38"/>
  <c r="Q1235" i="38"/>
  <c r="P1235" i="38"/>
  <c r="O1235" i="38"/>
  <c r="Q1234" i="38"/>
  <c r="P1234" i="38"/>
  <c r="O1234" i="38"/>
  <c r="Q1233" i="38"/>
  <c r="P1233" i="38"/>
  <c r="O1233" i="38"/>
  <c r="Q1232" i="38"/>
  <c r="P1232" i="38"/>
  <c r="O1232" i="38"/>
  <c r="Q1231" i="38"/>
  <c r="P1231" i="38"/>
  <c r="O1231" i="38"/>
  <c r="Q1230" i="38"/>
  <c r="P1230" i="38"/>
  <c r="O1230" i="38"/>
  <c r="Q1229" i="38"/>
  <c r="P1229" i="38"/>
  <c r="O1229" i="38"/>
  <c r="Q1228" i="38"/>
  <c r="P1228" i="38"/>
  <c r="O1228" i="38"/>
  <c r="Q1227" i="38"/>
  <c r="P1227" i="38"/>
  <c r="O1227" i="38"/>
  <c r="Q1226" i="38"/>
  <c r="P1226" i="38"/>
  <c r="O1226" i="38"/>
  <c r="Q1225" i="38"/>
  <c r="P1225" i="38"/>
  <c r="O1225" i="38"/>
  <c r="Q1219" i="38"/>
  <c r="P1219" i="38"/>
  <c r="O1219" i="38"/>
  <c r="Q1218" i="38"/>
  <c r="P1218" i="38"/>
  <c r="O1218" i="38"/>
  <c r="Q1217" i="38"/>
  <c r="P1217" i="38"/>
  <c r="O1217" i="38"/>
  <c r="Q1216" i="38"/>
  <c r="P1216" i="38"/>
  <c r="O1216" i="38"/>
  <c r="Q1215" i="38"/>
  <c r="P1215" i="38"/>
  <c r="O1215" i="38"/>
  <c r="Q1214" i="38"/>
  <c r="P1214" i="38"/>
  <c r="O1214" i="38"/>
  <c r="Q1213" i="38"/>
  <c r="P1213" i="38"/>
  <c r="O1213" i="38"/>
  <c r="Q1212" i="38"/>
  <c r="P1212" i="38"/>
  <c r="O1212" i="38"/>
  <c r="Q1211" i="38"/>
  <c r="P1211" i="38"/>
  <c r="O1211" i="38"/>
  <c r="Q1210" i="38"/>
  <c r="P1210" i="38"/>
  <c r="O1210" i="38"/>
  <c r="Q1209" i="38"/>
  <c r="P1209" i="38"/>
  <c r="O1209" i="38"/>
  <c r="Q1208" i="38"/>
  <c r="P1208" i="38"/>
  <c r="O1208" i="38"/>
  <c r="Q1207" i="38"/>
  <c r="P1207" i="38"/>
  <c r="O1207" i="38"/>
  <c r="Q1206" i="38"/>
  <c r="P1206" i="38"/>
  <c r="O1206" i="38"/>
  <c r="Q1205" i="38"/>
  <c r="P1205" i="38"/>
  <c r="O1205" i="38"/>
  <c r="Q1204" i="38"/>
  <c r="P1204" i="38"/>
  <c r="O1204" i="38"/>
  <c r="Q1203" i="38"/>
  <c r="P1203" i="38"/>
  <c r="O1203" i="38"/>
  <c r="Q1202" i="38"/>
  <c r="P1202" i="38"/>
  <c r="O1202" i="38"/>
  <c r="Q1201" i="38"/>
  <c r="P1201" i="38"/>
  <c r="O1201" i="38"/>
  <c r="Q1200" i="38"/>
  <c r="P1200" i="38"/>
  <c r="O1200" i="38"/>
  <c r="Q1199" i="38"/>
  <c r="P1199" i="38"/>
  <c r="O1199" i="38"/>
  <c r="Q1198" i="38"/>
  <c r="P1198" i="38"/>
  <c r="O1198" i="38"/>
  <c r="Q1197" i="38"/>
  <c r="P1197" i="38"/>
  <c r="O1197" i="38"/>
  <c r="Q1196" i="38"/>
  <c r="P1196" i="38"/>
  <c r="O1196" i="38"/>
  <c r="Q1195" i="38"/>
  <c r="P1195" i="38"/>
  <c r="O1195" i="38"/>
  <c r="Q1194" i="38"/>
  <c r="P1194" i="38"/>
  <c r="O1194" i="38"/>
  <c r="Q1193" i="38"/>
  <c r="P1193" i="38"/>
  <c r="O1193" i="38"/>
  <c r="Q1192" i="38"/>
  <c r="P1192" i="38"/>
  <c r="O1192" i="38"/>
  <c r="Q1191" i="38"/>
  <c r="P1191" i="38"/>
  <c r="O1191" i="38"/>
  <c r="Q1190" i="38"/>
  <c r="P1190" i="38"/>
  <c r="O1190" i="38"/>
  <c r="Q1189" i="38"/>
  <c r="P1189" i="38"/>
  <c r="O1189" i="38"/>
  <c r="Q1188" i="38"/>
  <c r="P1188" i="38"/>
  <c r="O1188" i="38"/>
  <c r="Q1187" i="38"/>
  <c r="P1187" i="38"/>
  <c r="O1187" i="38"/>
  <c r="Q1186" i="38"/>
  <c r="P1186" i="38"/>
  <c r="O1186" i="38"/>
  <c r="Q1185" i="38"/>
  <c r="P1185" i="38"/>
  <c r="O1185" i="38"/>
  <c r="Q1184" i="38"/>
  <c r="P1184" i="38"/>
  <c r="O1184" i="38"/>
  <c r="Q1183" i="38"/>
  <c r="P1183" i="38"/>
  <c r="O1183" i="38"/>
  <c r="Q1182" i="38"/>
  <c r="P1182" i="38"/>
  <c r="O1182" i="38"/>
  <c r="Q1181" i="38"/>
  <c r="P1181" i="38"/>
  <c r="O1181" i="38"/>
  <c r="Q1180" i="38"/>
  <c r="P1180" i="38"/>
  <c r="O1180" i="38"/>
  <c r="Q1179" i="38"/>
  <c r="P1179" i="38"/>
  <c r="O1179" i="38"/>
  <c r="Q1178" i="38"/>
  <c r="P1178" i="38"/>
  <c r="O1178" i="38"/>
  <c r="Q1177" i="38"/>
  <c r="P1177" i="38"/>
  <c r="O1177" i="38"/>
  <c r="Q1176" i="38"/>
  <c r="P1176" i="38"/>
  <c r="O1176" i="38"/>
  <c r="Q1175" i="38"/>
  <c r="P1175" i="38"/>
  <c r="O1175" i="38"/>
  <c r="Q1174" i="38"/>
  <c r="P1174" i="38"/>
  <c r="O1174" i="38"/>
  <c r="Q1173" i="38"/>
  <c r="P1173" i="38"/>
  <c r="O1173" i="38"/>
  <c r="Q1172" i="38"/>
  <c r="P1172" i="38"/>
  <c r="O1172" i="38"/>
  <c r="Q1171" i="38"/>
  <c r="P1171" i="38"/>
  <c r="O1171" i="38"/>
  <c r="Q1170" i="38"/>
  <c r="P1170" i="38"/>
  <c r="O1170" i="38"/>
  <c r="Q1169" i="38"/>
  <c r="P1169" i="38"/>
  <c r="O1169" i="38"/>
  <c r="Q1168" i="38"/>
  <c r="P1168" i="38"/>
  <c r="O1168" i="38"/>
  <c r="Q1167" i="38"/>
  <c r="P1167" i="38"/>
  <c r="O1167" i="38"/>
  <c r="Q1161" i="38"/>
  <c r="P1161" i="38"/>
  <c r="O1161" i="38"/>
  <c r="Q1160" i="38"/>
  <c r="P1160" i="38"/>
  <c r="O1160" i="38"/>
  <c r="Q1159" i="38"/>
  <c r="P1159" i="38"/>
  <c r="O1159" i="38"/>
  <c r="Q1158" i="38"/>
  <c r="P1158" i="38"/>
  <c r="O1158" i="38"/>
  <c r="Q1157" i="38"/>
  <c r="P1157" i="38"/>
  <c r="O1157" i="38"/>
  <c r="Q1156" i="38"/>
  <c r="P1156" i="38"/>
  <c r="O1156" i="38"/>
  <c r="Q1155" i="38"/>
  <c r="P1155" i="38"/>
  <c r="O1155" i="38"/>
  <c r="Q1154" i="38"/>
  <c r="P1154" i="38"/>
  <c r="O1154" i="38"/>
  <c r="Q1153" i="38"/>
  <c r="P1153" i="38"/>
  <c r="O1153" i="38"/>
  <c r="Q1152" i="38"/>
  <c r="P1152" i="38"/>
  <c r="O1152" i="38"/>
  <c r="Q1151" i="38"/>
  <c r="P1151" i="38"/>
  <c r="O1151" i="38"/>
  <c r="Q1150" i="38"/>
  <c r="P1150" i="38"/>
  <c r="O1150" i="38"/>
  <c r="Q1149" i="38"/>
  <c r="P1149" i="38"/>
  <c r="O1149" i="38"/>
  <c r="Q1148" i="38"/>
  <c r="P1148" i="38"/>
  <c r="O1148" i="38"/>
  <c r="Q1147" i="38"/>
  <c r="P1147" i="38"/>
  <c r="O1147" i="38"/>
  <c r="Q1146" i="38"/>
  <c r="P1146" i="38"/>
  <c r="O1146" i="38"/>
  <c r="Q1145" i="38"/>
  <c r="P1145" i="38"/>
  <c r="O1145" i="38"/>
  <c r="Q1144" i="38"/>
  <c r="P1144" i="38"/>
  <c r="O1144" i="38"/>
  <c r="Q1143" i="38"/>
  <c r="P1143" i="38"/>
  <c r="O1143" i="38"/>
  <c r="Q1142" i="38"/>
  <c r="P1142" i="38"/>
  <c r="O1142" i="38"/>
  <c r="Q1141" i="38"/>
  <c r="P1141" i="38"/>
  <c r="O1141" i="38"/>
  <c r="Q1140" i="38"/>
  <c r="P1140" i="38"/>
  <c r="O1140" i="38"/>
  <c r="Q1139" i="38"/>
  <c r="P1139" i="38"/>
  <c r="O1139" i="38"/>
  <c r="Q1138" i="38"/>
  <c r="P1138" i="38"/>
  <c r="O1138" i="38"/>
  <c r="Q1137" i="38"/>
  <c r="P1137" i="38"/>
  <c r="O1137" i="38"/>
  <c r="Q1136" i="38"/>
  <c r="P1136" i="38"/>
  <c r="O1136" i="38"/>
  <c r="Q1135" i="38"/>
  <c r="P1135" i="38"/>
  <c r="O1135" i="38"/>
  <c r="Q1134" i="38"/>
  <c r="P1134" i="38"/>
  <c r="O1134" i="38"/>
  <c r="Q1133" i="38"/>
  <c r="P1133" i="38"/>
  <c r="O1133" i="38"/>
  <c r="Q1132" i="38"/>
  <c r="P1132" i="38"/>
  <c r="O1132" i="38"/>
  <c r="Q1131" i="38"/>
  <c r="P1131" i="38"/>
  <c r="O1131" i="38"/>
  <c r="Q1130" i="38"/>
  <c r="P1130" i="38"/>
  <c r="O1130" i="38"/>
  <c r="Q1129" i="38"/>
  <c r="P1129" i="38"/>
  <c r="O1129" i="38"/>
  <c r="Q1128" i="38"/>
  <c r="P1128" i="38"/>
  <c r="O1128" i="38"/>
  <c r="Q1127" i="38"/>
  <c r="P1127" i="38"/>
  <c r="O1127" i="38"/>
  <c r="Q1126" i="38"/>
  <c r="P1126" i="38"/>
  <c r="O1126" i="38"/>
  <c r="Q1125" i="38"/>
  <c r="P1125" i="38"/>
  <c r="O1125" i="38"/>
  <c r="Q1124" i="38"/>
  <c r="P1124" i="38"/>
  <c r="O1124" i="38"/>
  <c r="Q1123" i="38"/>
  <c r="P1123" i="38"/>
  <c r="O1123" i="38"/>
  <c r="Q1122" i="38"/>
  <c r="P1122" i="38"/>
  <c r="O1122" i="38"/>
  <c r="Q1121" i="38"/>
  <c r="P1121" i="38"/>
  <c r="O1121" i="38"/>
  <c r="Q1120" i="38"/>
  <c r="P1120" i="38"/>
  <c r="O1120" i="38"/>
  <c r="Q1119" i="38"/>
  <c r="P1119" i="38"/>
  <c r="O1119" i="38"/>
  <c r="Q1118" i="38"/>
  <c r="P1118" i="38"/>
  <c r="O1118" i="38"/>
  <c r="Q1117" i="38"/>
  <c r="P1117" i="38"/>
  <c r="O1117" i="38"/>
  <c r="Q1116" i="38"/>
  <c r="P1116" i="38"/>
  <c r="O1116" i="38"/>
  <c r="Q1115" i="38"/>
  <c r="P1115" i="38"/>
  <c r="O1115" i="38"/>
  <c r="Q1114" i="38"/>
  <c r="P1114" i="38"/>
  <c r="O1114" i="38"/>
  <c r="Q1113" i="38"/>
  <c r="P1113" i="38"/>
  <c r="O1113" i="38"/>
  <c r="Q1112" i="38"/>
  <c r="P1112" i="38"/>
  <c r="O1112" i="38"/>
  <c r="Q1111" i="38"/>
  <c r="P1111" i="38"/>
  <c r="O1111" i="38"/>
  <c r="Q1110" i="38"/>
  <c r="P1110" i="38"/>
  <c r="O1110" i="38"/>
  <c r="Q1109" i="38"/>
  <c r="P1109" i="38"/>
  <c r="O1109" i="38"/>
  <c r="Q1103" i="38"/>
  <c r="P1103" i="38"/>
  <c r="O1103" i="38"/>
  <c r="Q1102" i="38"/>
  <c r="P1102" i="38"/>
  <c r="O1102" i="38"/>
  <c r="Q1101" i="38"/>
  <c r="P1101" i="38"/>
  <c r="O1101" i="38"/>
  <c r="Q1100" i="38"/>
  <c r="P1100" i="38"/>
  <c r="O1100" i="38"/>
  <c r="Q1099" i="38"/>
  <c r="P1099" i="38"/>
  <c r="O1099" i="38"/>
  <c r="Q1098" i="38"/>
  <c r="P1098" i="38"/>
  <c r="O1098" i="38"/>
  <c r="Q1097" i="38"/>
  <c r="P1097" i="38"/>
  <c r="O1097" i="38"/>
  <c r="Q1096" i="38"/>
  <c r="P1096" i="38"/>
  <c r="O1096" i="38"/>
  <c r="Q1095" i="38"/>
  <c r="P1095" i="38"/>
  <c r="O1095" i="38"/>
  <c r="Q1094" i="38"/>
  <c r="P1094" i="38"/>
  <c r="O1094" i="38"/>
  <c r="Q1093" i="38"/>
  <c r="P1093" i="38"/>
  <c r="O1093" i="38"/>
  <c r="Q1092" i="38"/>
  <c r="P1092" i="38"/>
  <c r="O1092" i="38"/>
  <c r="Q1091" i="38"/>
  <c r="P1091" i="38"/>
  <c r="O1091" i="38"/>
  <c r="Q1090" i="38"/>
  <c r="P1090" i="38"/>
  <c r="O1090" i="38"/>
  <c r="Q1089" i="38"/>
  <c r="P1089" i="38"/>
  <c r="O1089" i="38"/>
  <c r="Q1088" i="38"/>
  <c r="P1088" i="38"/>
  <c r="O1088" i="38"/>
  <c r="Q1087" i="38"/>
  <c r="P1087" i="38"/>
  <c r="O1087" i="38"/>
  <c r="Q1086" i="38"/>
  <c r="P1086" i="38"/>
  <c r="O1086" i="38"/>
  <c r="Q1085" i="38"/>
  <c r="P1085" i="38"/>
  <c r="O1085" i="38"/>
  <c r="Q1084" i="38"/>
  <c r="P1084" i="38"/>
  <c r="O1084" i="38"/>
  <c r="Q1083" i="38"/>
  <c r="P1083" i="38"/>
  <c r="O1083" i="38"/>
  <c r="Q1082" i="38"/>
  <c r="P1082" i="38"/>
  <c r="O1082" i="38"/>
  <c r="Q1081" i="38"/>
  <c r="P1081" i="38"/>
  <c r="O1081" i="38"/>
  <c r="Q1080" i="38"/>
  <c r="P1080" i="38"/>
  <c r="O1080" i="38"/>
  <c r="Q1079" i="38"/>
  <c r="P1079" i="38"/>
  <c r="O1079" i="38"/>
  <c r="Q1078" i="38"/>
  <c r="P1078" i="38"/>
  <c r="O1078" i="38"/>
  <c r="Q1077" i="38"/>
  <c r="P1077" i="38"/>
  <c r="O1077" i="38"/>
  <c r="Q1076" i="38"/>
  <c r="P1076" i="38"/>
  <c r="O1076" i="38"/>
  <c r="Q1075" i="38"/>
  <c r="P1075" i="38"/>
  <c r="O1075" i="38"/>
  <c r="Q1074" i="38"/>
  <c r="P1074" i="38"/>
  <c r="O1074" i="38"/>
  <c r="Q1073" i="38"/>
  <c r="P1073" i="38"/>
  <c r="O1073" i="38"/>
  <c r="Q1072" i="38"/>
  <c r="P1072" i="38"/>
  <c r="O1072" i="38"/>
  <c r="Q1071" i="38"/>
  <c r="P1071" i="38"/>
  <c r="O1071" i="38"/>
  <c r="Q1070" i="38"/>
  <c r="P1070" i="38"/>
  <c r="O1070" i="38"/>
  <c r="Q1069" i="38"/>
  <c r="P1069" i="38"/>
  <c r="O1069" i="38"/>
  <c r="Q1068" i="38"/>
  <c r="P1068" i="38"/>
  <c r="O1068" i="38"/>
  <c r="Q1067" i="38"/>
  <c r="P1067" i="38"/>
  <c r="O1067" i="38"/>
  <c r="Q1066" i="38"/>
  <c r="P1066" i="38"/>
  <c r="O1066" i="38"/>
  <c r="Q1065" i="38"/>
  <c r="P1065" i="38"/>
  <c r="O1065" i="38"/>
  <c r="Q1064" i="38"/>
  <c r="P1064" i="38"/>
  <c r="O1064" i="38"/>
  <c r="Q1063" i="38"/>
  <c r="P1063" i="38"/>
  <c r="O1063" i="38"/>
  <c r="Q1062" i="38"/>
  <c r="P1062" i="38"/>
  <c r="O1062" i="38"/>
  <c r="Q1061" i="38"/>
  <c r="P1061" i="38"/>
  <c r="O1061" i="38"/>
  <c r="Q1060" i="38"/>
  <c r="P1060" i="38"/>
  <c r="O1060" i="38"/>
  <c r="Q1059" i="38"/>
  <c r="P1059" i="38"/>
  <c r="O1059" i="38"/>
  <c r="Q1058" i="38"/>
  <c r="P1058" i="38"/>
  <c r="O1058" i="38"/>
  <c r="Q1057" i="38"/>
  <c r="P1057" i="38"/>
  <c r="O1057" i="38"/>
  <c r="Q1056" i="38"/>
  <c r="P1056" i="38"/>
  <c r="O1056" i="38"/>
  <c r="Q1055" i="38"/>
  <c r="P1055" i="38"/>
  <c r="O1055" i="38"/>
  <c r="Q1054" i="38"/>
  <c r="P1054" i="38"/>
  <c r="O1054" i="38"/>
  <c r="Q1053" i="38"/>
  <c r="P1053" i="38"/>
  <c r="O1053" i="38"/>
  <c r="Q1052" i="38"/>
  <c r="P1052" i="38"/>
  <c r="O1052" i="38"/>
  <c r="Q1051" i="38"/>
  <c r="P1051" i="38"/>
  <c r="O1051" i="38"/>
  <c r="Q1045" i="38"/>
  <c r="P1045" i="38"/>
  <c r="O1045" i="38"/>
  <c r="Q1044" i="38"/>
  <c r="P1044" i="38"/>
  <c r="O1044" i="38"/>
  <c r="Q1043" i="38"/>
  <c r="P1043" i="38"/>
  <c r="O1043" i="38"/>
  <c r="Q1042" i="38"/>
  <c r="P1042" i="38"/>
  <c r="O1042" i="38"/>
  <c r="Q1041" i="38"/>
  <c r="P1041" i="38"/>
  <c r="O1041" i="38"/>
  <c r="Q1040" i="38"/>
  <c r="P1040" i="38"/>
  <c r="O1040" i="38"/>
  <c r="Q1039" i="38"/>
  <c r="P1039" i="38"/>
  <c r="O1039" i="38"/>
  <c r="Q1038" i="38"/>
  <c r="P1038" i="38"/>
  <c r="O1038" i="38"/>
  <c r="Q1037" i="38"/>
  <c r="P1037" i="38"/>
  <c r="O1037" i="38"/>
  <c r="Q1036" i="38"/>
  <c r="P1036" i="38"/>
  <c r="O1036" i="38"/>
  <c r="Q1035" i="38"/>
  <c r="P1035" i="38"/>
  <c r="O1035" i="38"/>
  <c r="Q1034" i="38"/>
  <c r="P1034" i="38"/>
  <c r="O1034" i="38"/>
  <c r="Q1033" i="38"/>
  <c r="P1033" i="38"/>
  <c r="O1033" i="38"/>
  <c r="Q1032" i="38"/>
  <c r="P1032" i="38"/>
  <c r="O1032" i="38"/>
  <c r="Q1031" i="38"/>
  <c r="P1031" i="38"/>
  <c r="O1031" i="38"/>
  <c r="Q1030" i="38"/>
  <c r="P1030" i="38"/>
  <c r="O1030" i="38"/>
  <c r="Q1029" i="38"/>
  <c r="P1029" i="38"/>
  <c r="O1029" i="38"/>
  <c r="Q1028" i="38"/>
  <c r="P1028" i="38"/>
  <c r="O1028" i="38"/>
  <c r="Q1027" i="38"/>
  <c r="P1027" i="38"/>
  <c r="O1027" i="38"/>
  <c r="Q1026" i="38"/>
  <c r="P1026" i="38"/>
  <c r="O1026" i="38"/>
  <c r="Q1025" i="38"/>
  <c r="P1025" i="38"/>
  <c r="O1025" i="38"/>
  <c r="Q1024" i="38"/>
  <c r="P1024" i="38"/>
  <c r="O1024" i="38"/>
  <c r="Q1023" i="38"/>
  <c r="P1023" i="38"/>
  <c r="O1023" i="38"/>
  <c r="Q1022" i="38"/>
  <c r="P1022" i="38"/>
  <c r="O1022" i="38"/>
  <c r="Q1021" i="38"/>
  <c r="P1021" i="38"/>
  <c r="O1021" i="38"/>
  <c r="Q1020" i="38"/>
  <c r="P1020" i="38"/>
  <c r="O1020" i="38"/>
  <c r="Q1019" i="38"/>
  <c r="P1019" i="38"/>
  <c r="O1019" i="38"/>
  <c r="Q1018" i="38"/>
  <c r="P1018" i="38"/>
  <c r="O1018" i="38"/>
  <c r="Q1017" i="38"/>
  <c r="P1017" i="38"/>
  <c r="O1017" i="38"/>
  <c r="Q1016" i="38"/>
  <c r="P1016" i="38"/>
  <c r="O1016" i="38"/>
  <c r="Q1015" i="38"/>
  <c r="P1015" i="38"/>
  <c r="O1015" i="38"/>
  <c r="Q1014" i="38"/>
  <c r="P1014" i="38"/>
  <c r="O1014" i="38"/>
  <c r="Q1013" i="38"/>
  <c r="P1013" i="38"/>
  <c r="O1013" i="38"/>
  <c r="Q1012" i="38"/>
  <c r="P1012" i="38"/>
  <c r="O1012" i="38"/>
  <c r="Q1011" i="38"/>
  <c r="P1011" i="38"/>
  <c r="O1011" i="38"/>
  <c r="Q1010" i="38"/>
  <c r="P1010" i="38"/>
  <c r="O1010" i="38"/>
  <c r="Q1009" i="38"/>
  <c r="P1009" i="38"/>
  <c r="O1009" i="38"/>
  <c r="Q1008" i="38"/>
  <c r="P1008" i="38"/>
  <c r="O1008" i="38"/>
  <c r="Q1007" i="38"/>
  <c r="P1007" i="38"/>
  <c r="O1007" i="38"/>
  <c r="Q1006" i="38"/>
  <c r="P1006" i="38"/>
  <c r="O1006" i="38"/>
  <c r="Q1005" i="38"/>
  <c r="P1005" i="38"/>
  <c r="O1005" i="38"/>
  <c r="Q1004" i="38"/>
  <c r="P1004" i="38"/>
  <c r="O1004" i="38"/>
  <c r="Q1003" i="38"/>
  <c r="P1003" i="38"/>
  <c r="O1003" i="38"/>
  <c r="Q1002" i="38"/>
  <c r="P1002" i="38"/>
  <c r="O1002" i="38"/>
  <c r="Q1001" i="38"/>
  <c r="P1001" i="38"/>
  <c r="O1001" i="38"/>
  <c r="Q1000" i="38"/>
  <c r="P1000" i="38"/>
  <c r="O1000" i="38"/>
  <c r="Q999" i="38"/>
  <c r="P999" i="38"/>
  <c r="O999" i="38"/>
  <c r="Q998" i="38"/>
  <c r="P998" i="38"/>
  <c r="O998" i="38"/>
  <c r="Q997" i="38"/>
  <c r="P997" i="38"/>
  <c r="O997" i="38"/>
  <c r="Q996" i="38"/>
  <c r="P996" i="38"/>
  <c r="O996" i="38"/>
  <c r="Q995" i="38"/>
  <c r="P995" i="38"/>
  <c r="O995" i="38"/>
  <c r="Q994" i="38"/>
  <c r="P994" i="38"/>
  <c r="O994" i="38"/>
  <c r="Q993" i="38"/>
  <c r="P993" i="38"/>
  <c r="O993" i="38"/>
  <c r="Q987" i="38"/>
  <c r="P987" i="38"/>
  <c r="O987" i="38"/>
  <c r="Q986" i="38"/>
  <c r="P986" i="38"/>
  <c r="O986" i="38"/>
  <c r="Q985" i="38"/>
  <c r="P985" i="38"/>
  <c r="O985" i="38"/>
  <c r="Q984" i="38"/>
  <c r="P984" i="38"/>
  <c r="O984" i="38"/>
  <c r="Q983" i="38"/>
  <c r="P983" i="38"/>
  <c r="O983" i="38"/>
  <c r="Q982" i="38"/>
  <c r="P982" i="38"/>
  <c r="O982" i="38"/>
  <c r="Q981" i="38"/>
  <c r="P981" i="38"/>
  <c r="O981" i="38"/>
  <c r="Q980" i="38"/>
  <c r="P980" i="38"/>
  <c r="O980" i="38"/>
  <c r="Q979" i="38"/>
  <c r="P979" i="38"/>
  <c r="O979" i="38"/>
  <c r="Q978" i="38"/>
  <c r="P978" i="38"/>
  <c r="O978" i="38"/>
  <c r="Q977" i="38"/>
  <c r="P977" i="38"/>
  <c r="O977" i="38"/>
  <c r="Q976" i="38"/>
  <c r="P976" i="38"/>
  <c r="O976" i="38"/>
  <c r="Q975" i="38"/>
  <c r="P975" i="38"/>
  <c r="O975" i="38"/>
  <c r="Q974" i="38"/>
  <c r="P974" i="38"/>
  <c r="O974" i="38"/>
  <c r="Q973" i="38"/>
  <c r="P973" i="38"/>
  <c r="O973" i="38"/>
  <c r="Q972" i="38"/>
  <c r="P972" i="38"/>
  <c r="O972" i="38"/>
  <c r="Q971" i="38"/>
  <c r="P971" i="38"/>
  <c r="O971" i="38"/>
  <c r="Q970" i="38"/>
  <c r="P970" i="38"/>
  <c r="O970" i="38"/>
  <c r="Q969" i="38"/>
  <c r="P969" i="38"/>
  <c r="O969" i="38"/>
  <c r="Q968" i="38"/>
  <c r="P968" i="38"/>
  <c r="O968" i="38"/>
  <c r="Q967" i="38"/>
  <c r="P967" i="38"/>
  <c r="O967" i="38"/>
  <c r="Q966" i="38"/>
  <c r="P966" i="38"/>
  <c r="O966" i="38"/>
  <c r="Q965" i="38"/>
  <c r="P965" i="38"/>
  <c r="O965" i="38"/>
  <c r="Q964" i="38"/>
  <c r="P964" i="38"/>
  <c r="O964" i="38"/>
  <c r="Q963" i="38"/>
  <c r="P963" i="38"/>
  <c r="O963" i="38"/>
  <c r="Q962" i="38"/>
  <c r="P962" i="38"/>
  <c r="O962" i="38"/>
  <c r="Q961" i="38"/>
  <c r="P961" i="38"/>
  <c r="O961" i="38"/>
  <c r="Q960" i="38"/>
  <c r="P960" i="38"/>
  <c r="O960" i="38"/>
  <c r="Q959" i="38"/>
  <c r="P959" i="38"/>
  <c r="O959" i="38"/>
  <c r="Q958" i="38"/>
  <c r="P958" i="38"/>
  <c r="O958" i="38"/>
  <c r="Q957" i="38"/>
  <c r="P957" i="38"/>
  <c r="O957" i="38"/>
  <c r="Q956" i="38"/>
  <c r="P956" i="38"/>
  <c r="O956" i="38"/>
  <c r="Q955" i="38"/>
  <c r="P955" i="38"/>
  <c r="O955" i="38"/>
  <c r="Q954" i="38"/>
  <c r="P954" i="38"/>
  <c r="O954" i="38"/>
  <c r="Q953" i="38"/>
  <c r="P953" i="38"/>
  <c r="O953" i="38"/>
  <c r="Q952" i="38"/>
  <c r="P952" i="38"/>
  <c r="O952" i="38"/>
  <c r="Q951" i="38"/>
  <c r="P951" i="38"/>
  <c r="O951" i="38"/>
  <c r="Q950" i="38"/>
  <c r="P950" i="38"/>
  <c r="O950" i="38"/>
  <c r="Q949" i="38"/>
  <c r="P949" i="38"/>
  <c r="O949" i="38"/>
  <c r="Q948" i="38"/>
  <c r="P948" i="38"/>
  <c r="O948" i="38"/>
  <c r="Q947" i="38"/>
  <c r="P947" i="38"/>
  <c r="O947" i="38"/>
  <c r="Q946" i="38"/>
  <c r="P946" i="38"/>
  <c r="O946" i="38"/>
  <c r="Q945" i="38"/>
  <c r="P945" i="38"/>
  <c r="O945" i="38"/>
  <c r="Q944" i="38"/>
  <c r="P944" i="38"/>
  <c r="O944" i="38"/>
  <c r="Q943" i="38"/>
  <c r="P943" i="38"/>
  <c r="O943" i="38"/>
  <c r="Q942" i="38"/>
  <c r="P942" i="38"/>
  <c r="O942" i="38"/>
  <c r="Q941" i="38"/>
  <c r="P941" i="38"/>
  <c r="O941" i="38"/>
  <c r="Q940" i="38"/>
  <c r="P940" i="38"/>
  <c r="O940" i="38"/>
  <c r="Q939" i="38"/>
  <c r="P939" i="38"/>
  <c r="O939" i="38"/>
  <c r="Q938" i="38"/>
  <c r="P938" i="38"/>
  <c r="O938" i="38"/>
  <c r="Q937" i="38"/>
  <c r="P937" i="38"/>
  <c r="O937" i="38"/>
  <c r="Q936" i="38"/>
  <c r="P936" i="38"/>
  <c r="O936" i="38"/>
  <c r="Q935" i="38"/>
  <c r="P935" i="38"/>
  <c r="O935" i="38"/>
  <c r="Q929" i="38"/>
  <c r="P929" i="38"/>
  <c r="O929" i="38"/>
  <c r="Q928" i="38"/>
  <c r="P928" i="38"/>
  <c r="O928" i="38"/>
  <c r="Q927" i="38"/>
  <c r="P927" i="38"/>
  <c r="O927" i="38"/>
  <c r="Q926" i="38"/>
  <c r="P926" i="38"/>
  <c r="O926" i="38"/>
  <c r="Q925" i="38"/>
  <c r="P925" i="38"/>
  <c r="O925" i="38"/>
  <c r="Q924" i="38"/>
  <c r="P924" i="38"/>
  <c r="O924" i="38"/>
  <c r="Q923" i="38"/>
  <c r="P923" i="38"/>
  <c r="O923" i="38"/>
  <c r="Q922" i="38"/>
  <c r="P922" i="38"/>
  <c r="O922" i="38"/>
  <c r="Q921" i="38"/>
  <c r="P921" i="38"/>
  <c r="O921" i="38"/>
  <c r="Q920" i="38"/>
  <c r="P920" i="38"/>
  <c r="O920" i="38"/>
  <c r="Q919" i="38"/>
  <c r="P919" i="38"/>
  <c r="O919" i="38"/>
  <c r="Q918" i="38"/>
  <c r="P918" i="38"/>
  <c r="O918" i="38"/>
  <c r="Q917" i="38"/>
  <c r="P917" i="38"/>
  <c r="O917" i="38"/>
  <c r="Q916" i="38"/>
  <c r="P916" i="38"/>
  <c r="O916" i="38"/>
  <c r="Q915" i="38"/>
  <c r="P915" i="38"/>
  <c r="O915" i="38"/>
  <c r="Q914" i="38"/>
  <c r="P914" i="38"/>
  <c r="O914" i="38"/>
  <c r="Q913" i="38"/>
  <c r="P913" i="38"/>
  <c r="O913" i="38"/>
  <c r="Q912" i="38"/>
  <c r="P912" i="38"/>
  <c r="O912" i="38"/>
  <c r="Q911" i="38"/>
  <c r="P911" i="38"/>
  <c r="O911" i="38"/>
  <c r="Q910" i="38"/>
  <c r="P910" i="38"/>
  <c r="O910" i="38"/>
  <c r="Q909" i="38"/>
  <c r="P909" i="38"/>
  <c r="O909" i="38"/>
  <c r="Q908" i="38"/>
  <c r="P908" i="38"/>
  <c r="O908" i="38"/>
  <c r="Q907" i="38"/>
  <c r="P907" i="38"/>
  <c r="O907" i="38"/>
  <c r="Q906" i="38"/>
  <c r="P906" i="38"/>
  <c r="O906" i="38"/>
  <c r="Q905" i="38"/>
  <c r="P905" i="38"/>
  <c r="O905" i="38"/>
  <c r="Q904" i="38"/>
  <c r="P904" i="38"/>
  <c r="O904" i="38"/>
  <c r="Q903" i="38"/>
  <c r="P903" i="38"/>
  <c r="O903" i="38"/>
  <c r="Q902" i="38"/>
  <c r="P902" i="38"/>
  <c r="O902" i="38"/>
  <c r="Q901" i="38"/>
  <c r="P901" i="38"/>
  <c r="O901" i="38"/>
  <c r="Q900" i="38"/>
  <c r="P900" i="38"/>
  <c r="O900" i="38"/>
  <c r="Q899" i="38"/>
  <c r="P899" i="38"/>
  <c r="O899" i="38"/>
  <c r="Q898" i="38"/>
  <c r="P898" i="38"/>
  <c r="O898" i="38"/>
  <c r="Q897" i="38"/>
  <c r="P897" i="38"/>
  <c r="O897" i="38"/>
  <c r="Q896" i="38"/>
  <c r="P896" i="38"/>
  <c r="O896" i="38"/>
  <c r="Q895" i="38"/>
  <c r="P895" i="38"/>
  <c r="O895" i="38"/>
  <c r="Q894" i="38"/>
  <c r="P894" i="38"/>
  <c r="O894" i="38"/>
  <c r="Q893" i="38"/>
  <c r="P893" i="38"/>
  <c r="O893" i="38"/>
  <c r="Q892" i="38"/>
  <c r="P892" i="38"/>
  <c r="O892" i="38"/>
  <c r="Q891" i="38"/>
  <c r="P891" i="38"/>
  <c r="O891" i="38"/>
  <c r="Q890" i="38"/>
  <c r="P890" i="38"/>
  <c r="O890" i="38"/>
  <c r="Q889" i="38"/>
  <c r="P889" i="38"/>
  <c r="O889" i="38"/>
  <c r="Q888" i="38"/>
  <c r="P888" i="38"/>
  <c r="O888" i="38"/>
  <c r="Q887" i="38"/>
  <c r="P887" i="38"/>
  <c r="O887" i="38"/>
  <c r="Q886" i="38"/>
  <c r="P886" i="38"/>
  <c r="O886" i="38"/>
  <c r="Q885" i="38"/>
  <c r="P885" i="38"/>
  <c r="O885" i="38"/>
  <c r="Q884" i="38"/>
  <c r="P884" i="38"/>
  <c r="O884" i="38"/>
  <c r="Q883" i="38"/>
  <c r="P883" i="38"/>
  <c r="O883" i="38"/>
  <c r="Q882" i="38"/>
  <c r="P882" i="38"/>
  <c r="O882" i="38"/>
  <c r="Q881" i="38"/>
  <c r="P881" i="38"/>
  <c r="O881" i="38"/>
  <c r="Q880" i="38"/>
  <c r="P880" i="38"/>
  <c r="O880" i="38"/>
  <c r="Q879" i="38"/>
  <c r="P879" i="38"/>
  <c r="O879" i="38"/>
  <c r="Q878" i="38"/>
  <c r="P878" i="38"/>
  <c r="O878" i="38"/>
  <c r="Q877" i="38"/>
  <c r="P877" i="38"/>
  <c r="O877" i="38"/>
  <c r="Q871" i="38"/>
  <c r="P871" i="38"/>
  <c r="O871" i="38"/>
  <c r="Q870" i="38"/>
  <c r="P870" i="38"/>
  <c r="O870" i="38"/>
  <c r="Q869" i="38"/>
  <c r="P869" i="38"/>
  <c r="O869" i="38"/>
  <c r="Q868" i="38"/>
  <c r="P868" i="38"/>
  <c r="O868" i="38"/>
  <c r="Q867" i="38"/>
  <c r="P867" i="38"/>
  <c r="O867" i="38"/>
  <c r="Q866" i="38"/>
  <c r="P866" i="38"/>
  <c r="O866" i="38"/>
  <c r="Q865" i="38"/>
  <c r="P865" i="38"/>
  <c r="O865" i="38"/>
  <c r="Q864" i="38"/>
  <c r="P864" i="38"/>
  <c r="O864" i="38"/>
  <c r="Q863" i="38"/>
  <c r="P863" i="38"/>
  <c r="O863" i="38"/>
  <c r="Q862" i="38"/>
  <c r="P862" i="38"/>
  <c r="O862" i="38"/>
  <c r="Q861" i="38"/>
  <c r="P861" i="38"/>
  <c r="O861" i="38"/>
  <c r="Q860" i="38"/>
  <c r="P860" i="38"/>
  <c r="O860" i="38"/>
  <c r="Q859" i="38"/>
  <c r="P859" i="38"/>
  <c r="O859" i="38"/>
  <c r="Q858" i="38"/>
  <c r="P858" i="38"/>
  <c r="O858" i="38"/>
  <c r="Q857" i="38"/>
  <c r="P857" i="38"/>
  <c r="O857" i="38"/>
  <c r="Q856" i="38"/>
  <c r="P856" i="38"/>
  <c r="O856" i="38"/>
  <c r="Q855" i="38"/>
  <c r="P855" i="38"/>
  <c r="O855" i="38"/>
  <c r="Q854" i="38"/>
  <c r="P854" i="38"/>
  <c r="O854" i="38"/>
  <c r="Q853" i="38"/>
  <c r="P853" i="38"/>
  <c r="O853" i="38"/>
  <c r="Q852" i="38"/>
  <c r="P852" i="38"/>
  <c r="O852" i="38"/>
  <c r="Q851" i="38"/>
  <c r="P851" i="38"/>
  <c r="O851" i="38"/>
  <c r="Q850" i="38"/>
  <c r="P850" i="38"/>
  <c r="O850" i="38"/>
  <c r="Q849" i="38"/>
  <c r="P849" i="38"/>
  <c r="O849" i="38"/>
  <c r="Q848" i="38"/>
  <c r="P848" i="38"/>
  <c r="O848" i="38"/>
  <c r="Q847" i="38"/>
  <c r="P847" i="38"/>
  <c r="O847" i="38"/>
  <c r="Q846" i="38"/>
  <c r="P846" i="38"/>
  <c r="O846" i="38"/>
  <c r="Q845" i="38"/>
  <c r="P845" i="38"/>
  <c r="O845" i="38"/>
  <c r="Q844" i="38"/>
  <c r="P844" i="38"/>
  <c r="O844" i="38"/>
  <c r="Q843" i="38"/>
  <c r="P843" i="38"/>
  <c r="O843" i="38"/>
  <c r="Q842" i="38"/>
  <c r="P842" i="38"/>
  <c r="O842" i="38"/>
  <c r="Q841" i="38"/>
  <c r="P841" i="38"/>
  <c r="O841" i="38"/>
  <c r="Q840" i="38"/>
  <c r="P840" i="38"/>
  <c r="O840" i="38"/>
  <c r="Q839" i="38"/>
  <c r="P839" i="38"/>
  <c r="O839" i="38"/>
  <c r="Q838" i="38"/>
  <c r="P838" i="38"/>
  <c r="O838" i="38"/>
  <c r="Q837" i="38"/>
  <c r="P837" i="38"/>
  <c r="O837" i="38"/>
  <c r="Q836" i="38"/>
  <c r="P836" i="38"/>
  <c r="O836" i="38"/>
  <c r="Q835" i="38"/>
  <c r="P835" i="38"/>
  <c r="O835" i="38"/>
  <c r="Q834" i="38"/>
  <c r="P834" i="38"/>
  <c r="O834" i="38"/>
  <c r="Q833" i="38"/>
  <c r="P833" i="38"/>
  <c r="O833" i="38"/>
  <c r="Q832" i="38"/>
  <c r="P832" i="38"/>
  <c r="O832" i="38"/>
  <c r="Q831" i="38"/>
  <c r="P831" i="38"/>
  <c r="O831" i="38"/>
  <c r="Q830" i="38"/>
  <c r="P830" i="38"/>
  <c r="O830" i="38"/>
  <c r="Q829" i="38"/>
  <c r="P829" i="38"/>
  <c r="O829" i="38"/>
  <c r="Q828" i="38"/>
  <c r="P828" i="38"/>
  <c r="O828" i="38"/>
  <c r="Q827" i="38"/>
  <c r="P827" i="38"/>
  <c r="O827" i="38"/>
  <c r="Q826" i="38"/>
  <c r="P826" i="38"/>
  <c r="O826" i="38"/>
  <c r="Q825" i="38"/>
  <c r="P825" i="38"/>
  <c r="O825" i="38"/>
  <c r="Q824" i="38"/>
  <c r="P824" i="38"/>
  <c r="O824" i="38"/>
  <c r="Q823" i="38"/>
  <c r="P823" i="38"/>
  <c r="O823" i="38"/>
  <c r="Q822" i="38"/>
  <c r="P822" i="38"/>
  <c r="O822" i="38"/>
  <c r="Q821" i="38"/>
  <c r="P821" i="38"/>
  <c r="O821" i="38"/>
  <c r="Q820" i="38"/>
  <c r="P820" i="38"/>
  <c r="O820" i="38"/>
  <c r="Q819" i="38"/>
  <c r="P819" i="38"/>
  <c r="O819" i="38"/>
  <c r="Q813" i="38"/>
  <c r="P813" i="38"/>
  <c r="O813" i="38"/>
  <c r="Q812" i="38"/>
  <c r="P812" i="38"/>
  <c r="O812" i="38"/>
  <c r="Q811" i="38"/>
  <c r="P811" i="38"/>
  <c r="O811" i="38"/>
  <c r="Q810" i="38"/>
  <c r="P810" i="38"/>
  <c r="O810" i="38"/>
  <c r="Q809" i="38"/>
  <c r="P809" i="38"/>
  <c r="O809" i="38"/>
  <c r="Q808" i="38"/>
  <c r="P808" i="38"/>
  <c r="O808" i="38"/>
  <c r="Q807" i="38"/>
  <c r="P807" i="38"/>
  <c r="O807" i="38"/>
  <c r="Q806" i="38"/>
  <c r="P806" i="38"/>
  <c r="O806" i="38"/>
  <c r="Q805" i="38"/>
  <c r="P805" i="38"/>
  <c r="O805" i="38"/>
  <c r="Q804" i="38"/>
  <c r="P804" i="38"/>
  <c r="O804" i="38"/>
  <c r="Q803" i="38"/>
  <c r="P803" i="38"/>
  <c r="O803" i="38"/>
  <c r="Q802" i="38"/>
  <c r="P802" i="38"/>
  <c r="O802" i="38"/>
  <c r="Q801" i="38"/>
  <c r="P801" i="38"/>
  <c r="O801" i="38"/>
  <c r="Q800" i="38"/>
  <c r="P800" i="38"/>
  <c r="O800" i="38"/>
  <c r="Q799" i="38"/>
  <c r="P799" i="38"/>
  <c r="O799" i="38"/>
  <c r="Q798" i="38"/>
  <c r="P798" i="38"/>
  <c r="O798" i="38"/>
  <c r="Q797" i="38"/>
  <c r="P797" i="38"/>
  <c r="O797" i="38"/>
  <c r="Q796" i="38"/>
  <c r="P796" i="38"/>
  <c r="O796" i="38"/>
  <c r="Q795" i="38"/>
  <c r="P795" i="38"/>
  <c r="O795" i="38"/>
  <c r="Q794" i="38"/>
  <c r="P794" i="38"/>
  <c r="O794" i="38"/>
  <c r="Q793" i="38"/>
  <c r="P793" i="38"/>
  <c r="O793" i="38"/>
  <c r="Q792" i="38"/>
  <c r="P792" i="38"/>
  <c r="O792" i="38"/>
  <c r="Q791" i="38"/>
  <c r="P791" i="38"/>
  <c r="O791" i="38"/>
  <c r="Q790" i="38"/>
  <c r="P790" i="38"/>
  <c r="O790" i="38"/>
  <c r="Q789" i="38"/>
  <c r="P789" i="38"/>
  <c r="O789" i="38"/>
  <c r="Q788" i="38"/>
  <c r="P788" i="38"/>
  <c r="O788" i="38"/>
  <c r="Q787" i="38"/>
  <c r="P787" i="38"/>
  <c r="O787" i="38"/>
  <c r="Q786" i="38"/>
  <c r="P786" i="38"/>
  <c r="O786" i="38"/>
  <c r="Q785" i="38"/>
  <c r="P785" i="38"/>
  <c r="O785" i="38"/>
  <c r="Q784" i="38"/>
  <c r="P784" i="38"/>
  <c r="O784" i="38"/>
  <c r="Q783" i="38"/>
  <c r="P783" i="38"/>
  <c r="O783" i="38"/>
  <c r="Q782" i="38"/>
  <c r="P782" i="38"/>
  <c r="O782" i="38"/>
  <c r="Q781" i="38"/>
  <c r="P781" i="38"/>
  <c r="O781" i="38"/>
  <c r="Q780" i="38"/>
  <c r="P780" i="38"/>
  <c r="O780" i="38"/>
  <c r="Q779" i="38"/>
  <c r="P779" i="38"/>
  <c r="O779" i="38"/>
  <c r="Q778" i="38"/>
  <c r="P778" i="38"/>
  <c r="O778" i="38"/>
  <c r="Q777" i="38"/>
  <c r="P777" i="38"/>
  <c r="O777" i="38"/>
  <c r="Q776" i="38"/>
  <c r="P776" i="38"/>
  <c r="O776" i="38"/>
  <c r="Q775" i="38"/>
  <c r="P775" i="38"/>
  <c r="O775" i="38"/>
  <c r="Q774" i="38"/>
  <c r="P774" i="38"/>
  <c r="O774" i="38"/>
  <c r="Q773" i="38"/>
  <c r="P773" i="38"/>
  <c r="O773" i="38"/>
  <c r="Q772" i="38"/>
  <c r="P772" i="38"/>
  <c r="O772" i="38"/>
  <c r="Q771" i="38"/>
  <c r="P771" i="38"/>
  <c r="O771" i="38"/>
  <c r="Q770" i="38"/>
  <c r="P770" i="38"/>
  <c r="O770" i="38"/>
  <c r="Q769" i="38"/>
  <c r="P769" i="38"/>
  <c r="O769" i="38"/>
  <c r="Q768" i="38"/>
  <c r="P768" i="38"/>
  <c r="O768" i="38"/>
  <c r="Q767" i="38"/>
  <c r="P767" i="38"/>
  <c r="O767" i="38"/>
  <c r="Q766" i="38"/>
  <c r="P766" i="38"/>
  <c r="O766" i="38"/>
  <c r="Q765" i="38"/>
  <c r="P765" i="38"/>
  <c r="O765" i="38"/>
  <c r="Q764" i="38"/>
  <c r="P764" i="38"/>
  <c r="O764" i="38"/>
  <c r="Q763" i="38"/>
  <c r="P763" i="38"/>
  <c r="O763" i="38"/>
  <c r="Q762" i="38"/>
  <c r="P762" i="38"/>
  <c r="O762" i="38"/>
  <c r="Q761" i="38"/>
  <c r="P761" i="38"/>
  <c r="O761" i="38"/>
  <c r="Q755" i="38"/>
  <c r="P755" i="38"/>
  <c r="O755" i="38"/>
  <c r="Q754" i="38"/>
  <c r="P754" i="38"/>
  <c r="O754" i="38"/>
  <c r="Q753" i="38"/>
  <c r="P753" i="38"/>
  <c r="O753" i="38"/>
  <c r="Q752" i="38"/>
  <c r="P752" i="38"/>
  <c r="O752" i="38"/>
  <c r="Q751" i="38"/>
  <c r="P751" i="38"/>
  <c r="O751" i="38"/>
  <c r="Q750" i="38"/>
  <c r="P750" i="38"/>
  <c r="O750" i="38"/>
  <c r="Q749" i="38"/>
  <c r="P749" i="38"/>
  <c r="O749" i="38"/>
  <c r="Q748" i="38"/>
  <c r="P748" i="38"/>
  <c r="O748" i="38"/>
  <c r="Q747" i="38"/>
  <c r="P747" i="38"/>
  <c r="O747" i="38"/>
  <c r="Q746" i="38"/>
  <c r="P746" i="38"/>
  <c r="O746" i="38"/>
  <c r="Q745" i="38"/>
  <c r="P745" i="38"/>
  <c r="O745" i="38"/>
  <c r="Q744" i="38"/>
  <c r="P744" i="38"/>
  <c r="O744" i="38"/>
  <c r="Q743" i="38"/>
  <c r="P743" i="38"/>
  <c r="O743" i="38"/>
  <c r="Q742" i="38"/>
  <c r="P742" i="38"/>
  <c r="O742" i="38"/>
  <c r="Q741" i="38"/>
  <c r="P741" i="38"/>
  <c r="O741" i="38"/>
  <c r="Q740" i="38"/>
  <c r="P740" i="38"/>
  <c r="O740" i="38"/>
  <c r="Q739" i="38"/>
  <c r="P739" i="38"/>
  <c r="O739" i="38"/>
  <c r="Q738" i="38"/>
  <c r="P738" i="38"/>
  <c r="O738" i="38"/>
  <c r="Q737" i="38"/>
  <c r="P737" i="38"/>
  <c r="O737" i="38"/>
  <c r="Q736" i="38"/>
  <c r="P736" i="38"/>
  <c r="O736" i="38"/>
  <c r="Q735" i="38"/>
  <c r="P735" i="38"/>
  <c r="O735" i="38"/>
  <c r="Q734" i="38"/>
  <c r="P734" i="38"/>
  <c r="O734" i="38"/>
  <c r="Q733" i="38"/>
  <c r="P733" i="38"/>
  <c r="O733" i="38"/>
  <c r="Q732" i="38"/>
  <c r="P732" i="38"/>
  <c r="O732" i="38"/>
  <c r="Q731" i="38"/>
  <c r="P731" i="38"/>
  <c r="O731" i="38"/>
  <c r="Q730" i="38"/>
  <c r="P730" i="38"/>
  <c r="O730" i="38"/>
  <c r="Q729" i="38"/>
  <c r="P729" i="38"/>
  <c r="O729" i="38"/>
  <c r="Q728" i="38"/>
  <c r="P728" i="38"/>
  <c r="O728" i="38"/>
  <c r="Q727" i="38"/>
  <c r="P727" i="38"/>
  <c r="O727" i="38"/>
  <c r="Q726" i="38"/>
  <c r="P726" i="38"/>
  <c r="O726" i="38"/>
  <c r="Q725" i="38"/>
  <c r="P725" i="38"/>
  <c r="O725" i="38"/>
  <c r="Q724" i="38"/>
  <c r="P724" i="38"/>
  <c r="O724" i="38"/>
  <c r="Q723" i="38"/>
  <c r="P723" i="38"/>
  <c r="O723" i="38"/>
  <c r="Q722" i="38"/>
  <c r="P722" i="38"/>
  <c r="O722" i="38"/>
  <c r="Q721" i="38"/>
  <c r="P721" i="38"/>
  <c r="O721" i="38"/>
  <c r="Q720" i="38"/>
  <c r="P720" i="38"/>
  <c r="O720" i="38"/>
  <c r="Q719" i="38"/>
  <c r="P719" i="38"/>
  <c r="O719" i="38"/>
  <c r="Q718" i="38"/>
  <c r="P718" i="38"/>
  <c r="O718" i="38"/>
  <c r="Q717" i="38"/>
  <c r="P717" i="38"/>
  <c r="O717" i="38"/>
  <c r="Q716" i="38"/>
  <c r="P716" i="38"/>
  <c r="O716" i="38"/>
  <c r="Q715" i="38"/>
  <c r="P715" i="38"/>
  <c r="O715" i="38"/>
  <c r="Q714" i="38"/>
  <c r="P714" i="38"/>
  <c r="O714" i="38"/>
  <c r="Q713" i="38"/>
  <c r="P713" i="38"/>
  <c r="O713" i="38"/>
  <c r="Q712" i="38"/>
  <c r="P712" i="38"/>
  <c r="O712" i="38"/>
  <c r="Q711" i="38"/>
  <c r="P711" i="38"/>
  <c r="O711" i="38"/>
  <c r="Q710" i="38"/>
  <c r="P710" i="38"/>
  <c r="O710" i="38"/>
  <c r="Q709" i="38"/>
  <c r="P709" i="38"/>
  <c r="O709" i="38"/>
  <c r="Q708" i="38"/>
  <c r="P708" i="38"/>
  <c r="O708" i="38"/>
  <c r="Q707" i="38"/>
  <c r="P707" i="38"/>
  <c r="O707" i="38"/>
  <c r="Q706" i="38"/>
  <c r="P706" i="38"/>
  <c r="O706" i="38"/>
  <c r="Q705" i="38"/>
  <c r="P705" i="38"/>
  <c r="O705" i="38"/>
  <c r="Q704" i="38"/>
  <c r="P704" i="38"/>
  <c r="O704" i="38"/>
  <c r="Q703" i="38"/>
  <c r="P703" i="38"/>
  <c r="O703" i="38"/>
  <c r="Q697" i="38"/>
  <c r="P697" i="38"/>
  <c r="O697" i="38"/>
  <c r="Q696" i="38"/>
  <c r="P696" i="38"/>
  <c r="O696" i="38"/>
  <c r="Q695" i="38"/>
  <c r="P695" i="38"/>
  <c r="O695" i="38"/>
  <c r="Q694" i="38"/>
  <c r="P694" i="38"/>
  <c r="O694" i="38"/>
  <c r="Q693" i="38"/>
  <c r="P693" i="38"/>
  <c r="O693" i="38"/>
  <c r="Q692" i="38"/>
  <c r="P692" i="38"/>
  <c r="O692" i="38"/>
  <c r="Q691" i="38"/>
  <c r="P691" i="38"/>
  <c r="O691" i="38"/>
  <c r="Q690" i="38"/>
  <c r="P690" i="38"/>
  <c r="O690" i="38"/>
  <c r="Q689" i="38"/>
  <c r="P689" i="38"/>
  <c r="O689" i="38"/>
  <c r="Q688" i="38"/>
  <c r="P688" i="38"/>
  <c r="O688" i="38"/>
  <c r="Q687" i="38"/>
  <c r="P687" i="38"/>
  <c r="O687" i="38"/>
  <c r="Q686" i="38"/>
  <c r="P686" i="38"/>
  <c r="O686" i="38"/>
  <c r="Q685" i="38"/>
  <c r="P685" i="38"/>
  <c r="O685" i="38"/>
  <c r="Q684" i="38"/>
  <c r="P684" i="38"/>
  <c r="O684" i="38"/>
  <c r="Q683" i="38"/>
  <c r="P683" i="38"/>
  <c r="O683" i="38"/>
  <c r="Q682" i="38"/>
  <c r="P682" i="38"/>
  <c r="O682" i="38"/>
  <c r="Q681" i="38"/>
  <c r="P681" i="38"/>
  <c r="O681" i="38"/>
  <c r="Q680" i="38"/>
  <c r="P680" i="38"/>
  <c r="O680" i="38"/>
  <c r="Q679" i="38"/>
  <c r="P679" i="38"/>
  <c r="O679" i="38"/>
  <c r="Q678" i="38"/>
  <c r="P678" i="38"/>
  <c r="O678" i="38"/>
  <c r="Q677" i="38"/>
  <c r="P677" i="38"/>
  <c r="O677" i="38"/>
  <c r="Q676" i="38"/>
  <c r="P676" i="38"/>
  <c r="O676" i="38"/>
  <c r="Q675" i="38"/>
  <c r="P675" i="38"/>
  <c r="O675" i="38"/>
  <c r="Q674" i="38"/>
  <c r="P674" i="38"/>
  <c r="O674" i="38"/>
  <c r="Q673" i="38"/>
  <c r="P673" i="38"/>
  <c r="O673" i="38"/>
  <c r="Q672" i="38"/>
  <c r="P672" i="38"/>
  <c r="O672" i="38"/>
  <c r="Q671" i="38"/>
  <c r="P671" i="38"/>
  <c r="O671" i="38"/>
  <c r="Q670" i="38"/>
  <c r="P670" i="38"/>
  <c r="O670" i="38"/>
  <c r="Q669" i="38"/>
  <c r="P669" i="38"/>
  <c r="O669" i="38"/>
  <c r="Q668" i="38"/>
  <c r="P668" i="38"/>
  <c r="O668" i="38"/>
  <c r="Q667" i="38"/>
  <c r="P667" i="38"/>
  <c r="O667" i="38"/>
  <c r="Q666" i="38"/>
  <c r="P666" i="38"/>
  <c r="O666" i="38"/>
  <c r="Q665" i="38"/>
  <c r="P665" i="38"/>
  <c r="O665" i="38"/>
  <c r="Q664" i="38"/>
  <c r="P664" i="38"/>
  <c r="O664" i="38"/>
  <c r="Q663" i="38"/>
  <c r="P663" i="38"/>
  <c r="O663" i="38"/>
  <c r="Q662" i="38"/>
  <c r="P662" i="38"/>
  <c r="O662" i="38"/>
  <c r="Q661" i="38"/>
  <c r="P661" i="38"/>
  <c r="O661" i="38"/>
  <c r="Q660" i="38"/>
  <c r="P660" i="38"/>
  <c r="O660" i="38"/>
  <c r="Q659" i="38"/>
  <c r="P659" i="38"/>
  <c r="O659" i="38"/>
  <c r="Q658" i="38"/>
  <c r="P658" i="38"/>
  <c r="O658" i="38"/>
  <c r="Q657" i="38"/>
  <c r="P657" i="38"/>
  <c r="O657" i="38"/>
  <c r="Q656" i="38"/>
  <c r="P656" i="38"/>
  <c r="O656" i="38"/>
  <c r="Q655" i="38"/>
  <c r="P655" i="38"/>
  <c r="O655" i="38"/>
  <c r="Q654" i="38"/>
  <c r="P654" i="38"/>
  <c r="O654" i="38"/>
  <c r="Q653" i="38"/>
  <c r="P653" i="38"/>
  <c r="O653" i="38"/>
  <c r="Q652" i="38"/>
  <c r="P652" i="38"/>
  <c r="O652" i="38"/>
  <c r="Q651" i="38"/>
  <c r="P651" i="38"/>
  <c r="O651" i="38"/>
  <c r="Q650" i="38"/>
  <c r="P650" i="38"/>
  <c r="O650" i="38"/>
  <c r="Q649" i="38"/>
  <c r="P649" i="38"/>
  <c r="O649" i="38"/>
  <c r="Q648" i="38"/>
  <c r="P648" i="38"/>
  <c r="O648" i="38"/>
  <c r="Q647" i="38"/>
  <c r="P647" i="38"/>
  <c r="O647" i="38"/>
  <c r="Q646" i="38"/>
  <c r="P646" i="38"/>
  <c r="O646" i="38"/>
  <c r="Q645" i="38"/>
  <c r="P645" i="38"/>
  <c r="O645" i="38"/>
  <c r="Q639" i="38"/>
  <c r="P639" i="38"/>
  <c r="O639" i="38"/>
  <c r="Q638" i="38"/>
  <c r="P638" i="38"/>
  <c r="O638" i="38"/>
  <c r="Q637" i="38"/>
  <c r="P637" i="38"/>
  <c r="O637" i="38"/>
  <c r="Q636" i="38"/>
  <c r="P636" i="38"/>
  <c r="O636" i="38"/>
  <c r="Q635" i="38"/>
  <c r="P635" i="38"/>
  <c r="O635" i="38"/>
  <c r="Q634" i="38"/>
  <c r="P634" i="38"/>
  <c r="O634" i="38"/>
  <c r="Q633" i="38"/>
  <c r="P633" i="38"/>
  <c r="O633" i="38"/>
  <c r="Q632" i="38"/>
  <c r="P632" i="38"/>
  <c r="O632" i="38"/>
  <c r="Q631" i="38"/>
  <c r="P631" i="38"/>
  <c r="O631" i="38"/>
  <c r="Q630" i="38"/>
  <c r="P630" i="38"/>
  <c r="O630" i="38"/>
  <c r="Q629" i="38"/>
  <c r="P629" i="38"/>
  <c r="O629" i="38"/>
  <c r="Q628" i="38"/>
  <c r="P628" i="38"/>
  <c r="O628" i="38"/>
  <c r="Q627" i="38"/>
  <c r="P627" i="38"/>
  <c r="O627" i="38"/>
  <c r="Q626" i="38"/>
  <c r="P626" i="38"/>
  <c r="O626" i="38"/>
  <c r="Q625" i="38"/>
  <c r="P625" i="38"/>
  <c r="O625" i="38"/>
  <c r="Q624" i="38"/>
  <c r="P624" i="38"/>
  <c r="O624" i="38"/>
  <c r="Q623" i="38"/>
  <c r="P623" i="38"/>
  <c r="O623" i="38"/>
  <c r="Q622" i="38"/>
  <c r="P622" i="38"/>
  <c r="O622" i="38"/>
  <c r="Q621" i="38"/>
  <c r="P621" i="38"/>
  <c r="O621" i="38"/>
  <c r="Q620" i="38"/>
  <c r="P620" i="38"/>
  <c r="O620" i="38"/>
  <c r="Q619" i="38"/>
  <c r="P619" i="38"/>
  <c r="O619" i="38"/>
  <c r="Q618" i="38"/>
  <c r="P618" i="38"/>
  <c r="O618" i="38"/>
  <c r="Q617" i="38"/>
  <c r="P617" i="38"/>
  <c r="O617" i="38"/>
  <c r="Q616" i="38"/>
  <c r="P616" i="38"/>
  <c r="O616" i="38"/>
  <c r="Q615" i="38"/>
  <c r="P615" i="38"/>
  <c r="O615" i="38"/>
  <c r="Q614" i="38"/>
  <c r="P614" i="38"/>
  <c r="O614" i="38"/>
  <c r="Q613" i="38"/>
  <c r="P613" i="38"/>
  <c r="O613" i="38"/>
  <c r="Q612" i="38"/>
  <c r="P612" i="38"/>
  <c r="O612" i="38"/>
  <c r="Q611" i="38"/>
  <c r="P611" i="38"/>
  <c r="O611" i="38"/>
  <c r="Q610" i="38"/>
  <c r="P610" i="38"/>
  <c r="O610" i="38"/>
  <c r="Q609" i="38"/>
  <c r="P609" i="38"/>
  <c r="O609" i="38"/>
  <c r="Q608" i="38"/>
  <c r="P608" i="38"/>
  <c r="O608" i="38"/>
  <c r="Q607" i="38"/>
  <c r="P607" i="38"/>
  <c r="O607" i="38"/>
  <c r="Q606" i="38"/>
  <c r="P606" i="38"/>
  <c r="O606" i="38"/>
  <c r="Q605" i="38"/>
  <c r="P605" i="38"/>
  <c r="O605" i="38"/>
  <c r="Q604" i="38"/>
  <c r="P604" i="38"/>
  <c r="O604" i="38"/>
  <c r="Q603" i="38"/>
  <c r="P603" i="38"/>
  <c r="O603" i="38"/>
  <c r="Q602" i="38"/>
  <c r="P602" i="38"/>
  <c r="O602" i="38"/>
  <c r="Q601" i="38"/>
  <c r="P601" i="38"/>
  <c r="O601" i="38"/>
  <c r="Q600" i="38"/>
  <c r="P600" i="38"/>
  <c r="O600" i="38"/>
  <c r="Q599" i="38"/>
  <c r="P599" i="38"/>
  <c r="O599" i="38"/>
  <c r="Q598" i="38"/>
  <c r="P598" i="38"/>
  <c r="O598" i="38"/>
  <c r="Q597" i="38"/>
  <c r="P597" i="38"/>
  <c r="O597" i="38"/>
  <c r="Q596" i="38"/>
  <c r="P596" i="38"/>
  <c r="O596" i="38"/>
  <c r="Q595" i="38"/>
  <c r="P595" i="38"/>
  <c r="O595" i="38"/>
  <c r="Q594" i="38"/>
  <c r="P594" i="38"/>
  <c r="O594" i="38"/>
  <c r="Q593" i="38"/>
  <c r="P593" i="38"/>
  <c r="O593" i="38"/>
  <c r="Q592" i="38"/>
  <c r="P592" i="38"/>
  <c r="O592" i="38"/>
  <c r="Q591" i="38"/>
  <c r="P591" i="38"/>
  <c r="O591" i="38"/>
  <c r="Q590" i="38"/>
  <c r="P590" i="38"/>
  <c r="O590" i="38"/>
  <c r="Q589" i="38"/>
  <c r="P589" i="38"/>
  <c r="O589" i="38"/>
  <c r="Q588" i="38"/>
  <c r="P588" i="38"/>
  <c r="O588" i="38"/>
  <c r="Q587" i="38"/>
  <c r="P587" i="38"/>
  <c r="O587" i="38"/>
  <c r="Q581" i="38"/>
  <c r="P581" i="38"/>
  <c r="O581" i="38"/>
  <c r="Q580" i="38"/>
  <c r="P580" i="38"/>
  <c r="O580" i="38"/>
  <c r="Q579" i="38"/>
  <c r="P579" i="38"/>
  <c r="O579" i="38"/>
  <c r="Q578" i="38"/>
  <c r="P578" i="38"/>
  <c r="O578" i="38"/>
  <c r="Q577" i="38"/>
  <c r="P577" i="38"/>
  <c r="O577" i="38"/>
  <c r="Q576" i="38"/>
  <c r="P576" i="38"/>
  <c r="O576" i="38"/>
  <c r="Q575" i="38"/>
  <c r="P575" i="38"/>
  <c r="O575" i="38"/>
  <c r="Q574" i="38"/>
  <c r="P574" i="38"/>
  <c r="O574" i="38"/>
  <c r="Q573" i="38"/>
  <c r="P573" i="38"/>
  <c r="O573" i="38"/>
  <c r="Q572" i="38"/>
  <c r="P572" i="38"/>
  <c r="O572" i="38"/>
  <c r="Q571" i="38"/>
  <c r="P571" i="38"/>
  <c r="O571" i="38"/>
  <c r="Q570" i="38"/>
  <c r="P570" i="38"/>
  <c r="O570" i="38"/>
  <c r="Q569" i="38"/>
  <c r="P569" i="38"/>
  <c r="O569" i="38"/>
  <c r="Q568" i="38"/>
  <c r="P568" i="38"/>
  <c r="O568" i="38"/>
  <c r="Q567" i="38"/>
  <c r="P567" i="38"/>
  <c r="O567" i="38"/>
  <c r="Q566" i="38"/>
  <c r="P566" i="38"/>
  <c r="O566" i="38"/>
  <c r="Q565" i="38"/>
  <c r="P565" i="38"/>
  <c r="O565" i="38"/>
  <c r="Q564" i="38"/>
  <c r="P564" i="38"/>
  <c r="O564" i="38"/>
  <c r="Q563" i="38"/>
  <c r="P563" i="38"/>
  <c r="O563" i="38"/>
  <c r="Q562" i="38"/>
  <c r="P562" i="38"/>
  <c r="O562" i="38"/>
  <c r="Q561" i="38"/>
  <c r="P561" i="38"/>
  <c r="O561" i="38"/>
  <c r="Q560" i="38"/>
  <c r="P560" i="38"/>
  <c r="O560" i="38"/>
  <c r="Q559" i="38"/>
  <c r="P559" i="38"/>
  <c r="O559" i="38"/>
  <c r="Q558" i="38"/>
  <c r="P558" i="38"/>
  <c r="O558" i="38"/>
  <c r="Q557" i="38"/>
  <c r="P557" i="38"/>
  <c r="O557" i="38"/>
  <c r="Q556" i="38"/>
  <c r="P556" i="38"/>
  <c r="O556" i="38"/>
  <c r="Q555" i="38"/>
  <c r="P555" i="38"/>
  <c r="O555" i="38"/>
  <c r="Q554" i="38"/>
  <c r="P554" i="38"/>
  <c r="O554" i="38"/>
  <c r="Q553" i="38"/>
  <c r="P553" i="38"/>
  <c r="O553" i="38"/>
  <c r="Q552" i="38"/>
  <c r="P552" i="38"/>
  <c r="O552" i="38"/>
  <c r="Q551" i="38"/>
  <c r="P551" i="38"/>
  <c r="O551" i="38"/>
  <c r="Q550" i="38"/>
  <c r="P550" i="38"/>
  <c r="O550" i="38"/>
  <c r="Q549" i="38"/>
  <c r="P549" i="38"/>
  <c r="O549" i="38"/>
  <c r="Q548" i="38"/>
  <c r="P548" i="38"/>
  <c r="O548" i="38"/>
  <c r="Q547" i="38"/>
  <c r="P547" i="38"/>
  <c r="O547" i="38"/>
  <c r="Q546" i="38"/>
  <c r="P546" i="38"/>
  <c r="O546" i="38"/>
  <c r="Q545" i="38"/>
  <c r="P545" i="38"/>
  <c r="O545" i="38"/>
  <c r="Q544" i="38"/>
  <c r="P544" i="38"/>
  <c r="O544" i="38"/>
  <c r="Q543" i="38"/>
  <c r="P543" i="38"/>
  <c r="O543" i="38"/>
  <c r="Q542" i="38"/>
  <c r="P542" i="38"/>
  <c r="O542" i="38"/>
  <c r="Q541" i="38"/>
  <c r="P541" i="38"/>
  <c r="O541" i="38"/>
  <c r="Q540" i="38"/>
  <c r="P540" i="38"/>
  <c r="O540" i="38"/>
  <c r="Q539" i="38"/>
  <c r="P539" i="38"/>
  <c r="O539" i="38"/>
  <c r="Q538" i="38"/>
  <c r="P538" i="38"/>
  <c r="O538" i="38"/>
  <c r="Q537" i="38"/>
  <c r="P537" i="38"/>
  <c r="O537" i="38"/>
  <c r="Q536" i="38"/>
  <c r="P536" i="38"/>
  <c r="O536" i="38"/>
  <c r="Q535" i="38"/>
  <c r="P535" i="38"/>
  <c r="O535" i="38"/>
  <c r="Q534" i="38"/>
  <c r="P534" i="38"/>
  <c r="O534" i="38"/>
  <c r="Q533" i="38"/>
  <c r="P533" i="38"/>
  <c r="O533" i="38"/>
  <c r="Q532" i="38"/>
  <c r="P532" i="38"/>
  <c r="O532" i="38"/>
  <c r="Q531" i="38"/>
  <c r="P531" i="38"/>
  <c r="O531" i="38"/>
  <c r="Q530" i="38"/>
  <c r="P530" i="38"/>
  <c r="O530" i="38"/>
  <c r="Q529" i="38"/>
  <c r="P529" i="38"/>
  <c r="O529" i="38"/>
  <c r="Q523" i="38"/>
  <c r="P523" i="38"/>
  <c r="O523" i="38"/>
  <c r="Q522" i="38"/>
  <c r="P522" i="38"/>
  <c r="O522" i="38"/>
  <c r="Q521" i="38"/>
  <c r="P521" i="38"/>
  <c r="O521" i="38"/>
  <c r="Q520" i="38"/>
  <c r="P520" i="38"/>
  <c r="O520" i="38"/>
  <c r="Q519" i="38"/>
  <c r="P519" i="38"/>
  <c r="O519" i="38"/>
  <c r="Q518" i="38"/>
  <c r="P518" i="38"/>
  <c r="O518" i="38"/>
  <c r="Q517" i="38"/>
  <c r="P517" i="38"/>
  <c r="O517" i="38"/>
  <c r="Q516" i="38"/>
  <c r="P516" i="38"/>
  <c r="O516" i="38"/>
  <c r="Q515" i="38"/>
  <c r="P515" i="38"/>
  <c r="O515" i="38"/>
  <c r="Q514" i="38"/>
  <c r="P514" i="38"/>
  <c r="O514" i="38"/>
  <c r="Q513" i="38"/>
  <c r="P513" i="38"/>
  <c r="O513" i="38"/>
  <c r="Q512" i="38"/>
  <c r="P512" i="38"/>
  <c r="O512" i="38"/>
  <c r="Q511" i="38"/>
  <c r="P511" i="38"/>
  <c r="O511" i="38"/>
  <c r="Q510" i="38"/>
  <c r="P510" i="38"/>
  <c r="O510" i="38"/>
  <c r="Q509" i="38"/>
  <c r="P509" i="38"/>
  <c r="O509" i="38"/>
  <c r="Q508" i="38"/>
  <c r="P508" i="38"/>
  <c r="O508" i="38"/>
  <c r="Q507" i="38"/>
  <c r="P507" i="38"/>
  <c r="O507" i="38"/>
  <c r="Q506" i="38"/>
  <c r="P506" i="38"/>
  <c r="O506" i="38"/>
  <c r="Q505" i="38"/>
  <c r="P505" i="38"/>
  <c r="O505" i="38"/>
  <c r="Q504" i="38"/>
  <c r="P504" i="38"/>
  <c r="O504" i="38"/>
  <c r="Q503" i="38"/>
  <c r="P503" i="38"/>
  <c r="O503" i="38"/>
  <c r="Q502" i="38"/>
  <c r="P502" i="38"/>
  <c r="O502" i="38"/>
  <c r="Q501" i="38"/>
  <c r="P501" i="38"/>
  <c r="O501" i="38"/>
  <c r="Q500" i="38"/>
  <c r="P500" i="38"/>
  <c r="O500" i="38"/>
  <c r="Q499" i="38"/>
  <c r="P499" i="38"/>
  <c r="O499" i="38"/>
  <c r="Q498" i="38"/>
  <c r="P498" i="38"/>
  <c r="O498" i="38"/>
  <c r="Q497" i="38"/>
  <c r="P497" i="38"/>
  <c r="O497" i="38"/>
  <c r="Q496" i="38"/>
  <c r="P496" i="38"/>
  <c r="O496" i="38"/>
  <c r="Q495" i="38"/>
  <c r="P495" i="38"/>
  <c r="O495" i="38"/>
  <c r="Q494" i="38"/>
  <c r="P494" i="38"/>
  <c r="O494" i="38"/>
  <c r="Q493" i="38"/>
  <c r="P493" i="38"/>
  <c r="O493" i="38"/>
  <c r="Q492" i="38"/>
  <c r="P492" i="38"/>
  <c r="O492" i="38"/>
  <c r="Q491" i="38"/>
  <c r="P491" i="38"/>
  <c r="O491" i="38"/>
  <c r="Q490" i="38"/>
  <c r="P490" i="38"/>
  <c r="O490" i="38"/>
  <c r="Q489" i="38"/>
  <c r="P489" i="38"/>
  <c r="O489" i="38"/>
  <c r="Q488" i="38"/>
  <c r="P488" i="38"/>
  <c r="O488" i="38"/>
  <c r="Q487" i="38"/>
  <c r="P487" i="38"/>
  <c r="O487" i="38"/>
  <c r="Q486" i="38"/>
  <c r="P486" i="38"/>
  <c r="O486" i="38"/>
  <c r="Q485" i="38"/>
  <c r="P485" i="38"/>
  <c r="O485" i="38"/>
  <c r="Q484" i="38"/>
  <c r="P484" i="38"/>
  <c r="O484" i="38"/>
  <c r="Q483" i="38"/>
  <c r="P483" i="38"/>
  <c r="O483" i="38"/>
  <c r="Q482" i="38"/>
  <c r="P482" i="38"/>
  <c r="O482" i="38"/>
  <c r="Q481" i="38"/>
  <c r="P481" i="38"/>
  <c r="O481" i="38"/>
  <c r="Q480" i="38"/>
  <c r="P480" i="38"/>
  <c r="O480" i="38"/>
  <c r="Q479" i="38"/>
  <c r="P479" i="38"/>
  <c r="O479" i="38"/>
  <c r="Q478" i="38"/>
  <c r="P478" i="38"/>
  <c r="O478" i="38"/>
  <c r="Q477" i="38"/>
  <c r="P477" i="38"/>
  <c r="O477" i="38"/>
  <c r="Q476" i="38"/>
  <c r="P476" i="38"/>
  <c r="O476" i="38"/>
  <c r="Q475" i="38"/>
  <c r="P475" i="38"/>
  <c r="O475" i="38"/>
  <c r="Q474" i="38"/>
  <c r="P474" i="38"/>
  <c r="O474" i="38"/>
  <c r="Q473" i="38"/>
  <c r="P473" i="38"/>
  <c r="O473" i="38"/>
  <c r="Q472" i="38"/>
  <c r="P472" i="38"/>
  <c r="O472" i="38"/>
  <c r="Q471" i="38"/>
  <c r="P471" i="38"/>
  <c r="O471" i="38"/>
  <c r="Q465" i="38"/>
  <c r="P465" i="38"/>
  <c r="O465" i="38"/>
  <c r="Q464" i="38"/>
  <c r="P464" i="38"/>
  <c r="O464" i="38"/>
  <c r="Q463" i="38"/>
  <c r="P463" i="38"/>
  <c r="O463" i="38"/>
  <c r="Q462" i="38"/>
  <c r="P462" i="38"/>
  <c r="O462" i="38"/>
  <c r="Q461" i="38"/>
  <c r="P461" i="38"/>
  <c r="O461" i="38"/>
  <c r="Q460" i="38"/>
  <c r="P460" i="38"/>
  <c r="O460" i="38"/>
  <c r="Q459" i="38"/>
  <c r="P459" i="38"/>
  <c r="O459" i="38"/>
  <c r="Q458" i="38"/>
  <c r="P458" i="38"/>
  <c r="O458" i="38"/>
  <c r="Q457" i="38"/>
  <c r="P457" i="38"/>
  <c r="O457" i="38"/>
  <c r="Q456" i="38"/>
  <c r="P456" i="38"/>
  <c r="O456" i="38"/>
  <c r="Q455" i="38"/>
  <c r="P455" i="38"/>
  <c r="O455" i="38"/>
  <c r="Q454" i="38"/>
  <c r="P454" i="38"/>
  <c r="O454" i="38"/>
  <c r="Q453" i="38"/>
  <c r="P453" i="38"/>
  <c r="O453" i="38"/>
  <c r="Q452" i="38"/>
  <c r="P452" i="38"/>
  <c r="O452" i="38"/>
  <c r="Q451" i="38"/>
  <c r="P451" i="38"/>
  <c r="O451" i="38"/>
  <c r="Q450" i="38"/>
  <c r="P450" i="38"/>
  <c r="O450" i="38"/>
  <c r="Q449" i="38"/>
  <c r="P449" i="38"/>
  <c r="O449" i="38"/>
  <c r="Q448" i="38"/>
  <c r="P448" i="38"/>
  <c r="O448" i="38"/>
  <c r="Q447" i="38"/>
  <c r="P447" i="38"/>
  <c r="O447" i="38"/>
  <c r="Q446" i="38"/>
  <c r="P446" i="38"/>
  <c r="O446" i="38"/>
  <c r="Q445" i="38"/>
  <c r="P445" i="38"/>
  <c r="O445" i="38"/>
  <c r="Q444" i="38"/>
  <c r="P444" i="38"/>
  <c r="O444" i="38"/>
  <c r="Q443" i="38"/>
  <c r="P443" i="38"/>
  <c r="O443" i="38"/>
  <c r="Q442" i="38"/>
  <c r="P442" i="38"/>
  <c r="O442" i="38"/>
  <c r="Q441" i="38"/>
  <c r="P441" i="38"/>
  <c r="O441" i="38"/>
  <c r="Q440" i="38"/>
  <c r="P440" i="38"/>
  <c r="O440" i="38"/>
  <c r="Q439" i="38"/>
  <c r="P439" i="38"/>
  <c r="O439" i="38"/>
  <c r="Q438" i="38"/>
  <c r="P438" i="38"/>
  <c r="O438" i="38"/>
  <c r="Q437" i="38"/>
  <c r="P437" i="38"/>
  <c r="O437" i="38"/>
  <c r="Q436" i="38"/>
  <c r="P436" i="38"/>
  <c r="O436" i="38"/>
  <c r="Q435" i="38"/>
  <c r="P435" i="38"/>
  <c r="O435" i="38"/>
  <c r="Q434" i="38"/>
  <c r="P434" i="38"/>
  <c r="O434" i="38"/>
  <c r="Q433" i="38"/>
  <c r="P433" i="38"/>
  <c r="O433" i="38"/>
  <c r="Q432" i="38"/>
  <c r="P432" i="38"/>
  <c r="O432" i="38"/>
  <c r="Q431" i="38"/>
  <c r="P431" i="38"/>
  <c r="O431" i="38"/>
  <c r="Q430" i="38"/>
  <c r="P430" i="38"/>
  <c r="O430" i="38"/>
  <c r="Q429" i="38"/>
  <c r="P429" i="38"/>
  <c r="O429" i="38"/>
  <c r="Q428" i="38"/>
  <c r="P428" i="38"/>
  <c r="O428" i="38"/>
  <c r="Q427" i="38"/>
  <c r="P427" i="38"/>
  <c r="O427" i="38"/>
  <c r="Q426" i="38"/>
  <c r="P426" i="38"/>
  <c r="O426" i="38"/>
  <c r="Q425" i="38"/>
  <c r="P425" i="38"/>
  <c r="O425" i="38"/>
  <c r="Q424" i="38"/>
  <c r="P424" i="38"/>
  <c r="O424" i="38"/>
  <c r="Q423" i="38"/>
  <c r="P423" i="38"/>
  <c r="O423" i="38"/>
  <c r="Q422" i="38"/>
  <c r="P422" i="38"/>
  <c r="O422" i="38"/>
  <c r="Q421" i="38"/>
  <c r="P421" i="38"/>
  <c r="O421" i="38"/>
  <c r="Q420" i="38"/>
  <c r="P420" i="38"/>
  <c r="O420" i="38"/>
  <c r="Q419" i="38"/>
  <c r="P419" i="38"/>
  <c r="O419" i="38"/>
  <c r="Q418" i="38"/>
  <c r="P418" i="38"/>
  <c r="O418" i="38"/>
  <c r="Q417" i="38"/>
  <c r="P417" i="38"/>
  <c r="O417" i="38"/>
  <c r="Q416" i="38"/>
  <c r="P416" i="38"/>
  <c r="O416" i="38"/>
  <c r="Q415" i="38"/>
  <c r="P415" i="38"/>
  <c r="O415" i="38"/>
  <c r="Q414" i="38"/>
  <c r="P414" i="38"/>
  <c r="O414" i="38"/>
  <c r="Q413" i="38"/>
  <c r="P413" i="38"/>
  <c r="O413" i="38"/>
  <c r="Q407" i="38"/>
  <c r="P407" i="38"/>
  <c r="O407" i="38"/>
  <c r="Q406" i="38"/>
  <c r="P406" i="38"/>
  <c r="O406" i="38"/>
  <c r="Q405" i="38"/>
  <c r="P405" i="38"/>
  <c r="O405" i="38"/>
  <c r="Q404" i="38"/>
  <c r="P404" i="38"/>
  <c r="O404" i="38"/>
  <c r="Q403" i="38"/>
  <c r="P403" i="38"/>
  <c r="O403" i="38"/>
  <c r="Q402" i="38"/>
  <c r="P402" i="38"/>
  <c r="O402" i="38"/>
  <c r="Q401" i="38"/>
  <c r="P401" i="38"/>
  <c r="O401" i="38"/>
  <c r="Q400" i="38"/>
  <c r="P400" i="38"/>
  <c r="O400" i="38"/>
  <c r="Q399" i="38"/>
  <c r="P399" i="38"/>
  <c r="O399" i="38"/>
  <c r="Q398" i="38"/>
  <c r="P398" i="38"/>
  <c r="O398" i="38"/>
  <c r="Q397" i="38"/>
  <c r="P397" i="38"/>
  <c r="O397" i="38"/>
  <c r="Q396" i="38"/>
  <c r="P396" i="38"/>
  <c r="O396" i="38"/>
  <c r="Q395" i="38"/>
  <c r="P395" i="38"/>
  <c r="O395" i="38"/>
  <c r="Q394" i="38"/>
  <c r="P394" i="38"/>
  <c r="O394" i="38"/>
  <c r="Q393" i="38"/>
  <c r="P393" i="38"/>
  <c r="O393" i="38"/>
  <c r="Q392" i="38"/>
  <c r="P392" i="38"/>
  <c r="O392" i="38"/>
  <c r="Q391" i="38"/>
  <c r="P391" i="38"/>
  <c r="O391" i="38"/>
  <c r="Q390" i="38"/>
  <c r="P390" i="38"/>
  <c r="O390" i="38"/>
  <c r="Q389" i="38"/>
  <c r="P389" i="38"/>
  <c r="O389" i="38"/>
  <c r="Q388" i="38"/>
  <c r="P388" i="38"/>
  <c r="O388" i="38"/>
  <c r="Q387" i="38"/>
  <c r="P387" i="38"/>
  <c r="O387" i="38"/>
  <c r="Q386" i="38"/>
  <c r="P386" i="38"/>
  <c r="O386" i="38"/>
  <c r="Q385" i="38"/>
  <c r="P385" i="38"/>
  <c r="O385" i="38"/>
  <c r="Q384" i="38"/>
  <c r="P384" i="38"/>
  <c r="O384" i="38"/>
  <c r="Q383" i="38"/>
  <c r="P383" i="38"/>
  <c r="O383" i="38"/>
  <c r="Q382" i="38"/>
  <c r="P382" i="38"/>
  <c r="O382" i="38"/>
  <c r="Q381" i="38"/>
  <c r="P381" i="38"/>
  <c r="O381" i="38"/>
  <c r="Q380" i="38"/>
  <c r="P380" i="38"/>
  <c r="O380" i="38"/>
  <c r="Q379" i="38"/>
  <c r="P379" i="38"/>
  <c r="O379" i="38"/>
  <c r="Q378" i="38"/>
  <c r="P378" i="38"/>
  <c r="O378" i="38"/>
  <c r="Q377" i="38"/>
  <c r="P377" i="38"/>
  <c r="O377" i="38"/>
  <c r="Q376" i="38"/>
  <c r="P376" i="38"/>
  <c r="O376" i="38"/>
  <c r="Q375" i="38"/>
  <c r="P375" i="38"/>
  <c r="O375" i="38"/>
  <c r="Q374" i="38"/>
  <c r="P374" i="38"/>
  <c r="O374" i="38"/>
  <c r="Q373" i="38"/>
  <c r="P373" i="38"/>
  <c r="O373" i="38"/>
  <c r="Q372" i="38"/>
  <c r="P372" i="38"/>
  <c r="O372" i="38"/>
  <c r="Q371" i="38"/>
  <c r="P371" i="38"/>
  <c r="O371" i="38"/>
  <c r="Q370" i="38"/>
  <c r="P370" i="38"/>
  <c r="O370" i="38"/>
  <c r="Q369" i="38"/>
  <c r="P369" i="38"/>
  <c r="O369" i="38"/>
  <c r="Q368" i="38"/>
  <c r="P368" i="38"/>
  <c r="O368" i="38"/>
  <c r="Q367" i="38"/>
  <c r="P367" i="38"/>
  <c r="O367" i="38"/>
  <c r="Q366" i="38"/>
  <c r="P366" i="38"/>
  <c r="O366" i="38"/>
  <c r="Q365" i="38"/>
  <c r="P365" i="38"/>
  <c r="O365" i="38"/>
  <c r="Q364" i="38"/>
  <c r="P364" i="38"/>
  <c r="O364" i="38"/>
  <c r="Q363" i="38"/>
  <c r="P363" i="38"/>
  <c r="O363" i="38"/>
  <c r="Q362" i="38"/>
  <c r="P362" i="38"/>
  <c r="O362" i="38"/>
  <c r="Q361" i="38"/>
  <c r="P361" i="38"/>
  <c r="O361" i="38"/>
  <c r="Q360" i="38"/>
  <c r="P360" i="38"/>
  <c r="O360" i="38"/>
  <c r="Q359" i="38"/>
  <c r="P359" i="38"/>
  <c r="O359" i="38"/>
  <c r="Q358" i="38"/>
  <c r="P358" i="38"/>
  <c r="O358" i="38"/>
  <c r="Q357" i="38"/>
  <c r="P357" i="38"/>
  <c r="O357" i="38"/>
  <c r="Q356" i="38"/>
  <c r="P356" i="38"/>
  <c r="O356" i="38"/>
  <c r="Q355" i="38"/>
  <c r="P355" i="38"/>
  <c r="O355" i="38"/>
  <c r="Q349" i="38"/>
  <c r="P349" i="38"/>
  <c r="O349" i="38"/>
  <c r="Q348" i="38"/>
  <c r="P348" i="38"/>
  <c r="O348" i="38"/>
  <c r="Q347" i="38"/>
  <c r="P347" i="38"/>
  <c r="O347" i="38"/>
  <c r="Q346" i="38"/>
  <c r="P346" i="38"/>
  <c r="O346" i="38"/>
  <c r="Q345" i="38"/>
  <c r="P345" i="38"/>
  <c r="O345" i="38"/>
  <c r="Q344" i="38"/>
  <c r="P344" i="38"/>
  <c r="O344" i="38"/>
  <c r="Q343" i="38"/>
  <c r="P343" i="38"/>
  <c r="O343" i="38"/>
  <c r="Q342" i="38"/>
  <c r="P342" i="38"/>
  <c r="O342" i="38"/>
  <c r="Q341" i="38"/>
  <c r="P341" i="38"/>
  <c r="O341" i="38"/>
  <c r="Q340" i="38"/>
  <c r="P340" i="38"/>
  <c r="O340" i="38"/>
  <c r="Q339" i="38"/>
  <c r="P339" i="38"/>
  <c r="O339" i="38"/>
  <c r="Q338" i="38"/>
  <c r="P338" i="38"/>
  <c r="O338" i="38"/>
  <c r="Q337" i="38"/>
  <c r="P337" i="38"/>
  <c r="O337" i="38"/>
  <c r="Q336" i="38"/>
  <c r="P336" i="38"/>
  <c r="O336" i="38"/>
  <c r="Q335" i="38"/>
  <c r="P335" i="38"/>
  <c r="O335" i="38"/>
  <c r="Q334" i="38"/>
  <c r="P334" i="38"/>
  <c r="O334" i="38"/>
  <c r="Q333" i="38"/>
  <c r="P333" i="38"/>
  <c r="O333" i="38"/>
  <c r="Q332" i="38"/>
  <c r="P332" i="38"/>
  <c r="O332" i="38"/>
  <c r="Q331" i="38"/>
  <c r="P331" i="38"/>
  <c r="O331" i="38"/>
  <c r="Q330" i="38"/>
  <c r="P330" i="38"/>
  <c r="O330" i="38"/>
  <c r="Q329" i="38"/>
  <c r="P329" i="38"/>
  <c r="O329" i="38"/>
  <c r="Q328" i="38"/>
  <c r="P328" i="38"/>
  <c r="O328" i="38"/>
  <c r="Q327" i="38"/>
  <c r="P327" i="38"/>
  <c r="O327" i="38"/>
  <c r="Q326" i="38"/>
  <c r="P326" i="38"/>
  <c r="O326" i="38"/>
  <c r="Q325" i="38"/>
  <c r="P325" i="38"/>
  <c r="O325" i="38"/>
  <c r="Q324" i="38"/>
  <c r="P324" i="38"/>
  <c r="O324" i="38"/>
  <c r="Q323" i="38"/>
  <c r="P323" i="38"/>
  <c r="O323" i="38"/>
  <c r="Q322" i="38"/>
  <c r="P322" i="38"/>
  <c r="O322" i="38"/>
  <c r="Q321" i="38"/>
  <c r="P321" i="38"/>
  <c r="O321" i="38"/>
  <c r="Q320" i="38"/>
  <c r="P320" i="38"/>
  <c r="O320" i="38"/>
  <c r="Q319" i="38"/>
  <c r="P319" i="38"/>
  <c r="O319" i="38"/>
  <c r="Q318" i="38"/>
  <c r="P318" i="38"/>
  <c r="O318" i="38"/>
  <c r="Q317" i="38"/>
  <c r="P317" i="38"/>
  <c r="O317" i="38"/>
  <c r="Q316" i="38"/>
  <c r="P316" i="38"/>
  <c r="O316" i="38"/>
  <c r="Q315" i="38"/>
  <c r="P315" i="38"/>
  <c r="O315" i="38"/>
  <c r="Q314" i="38"/>
  <c r="P314" i="38"/>
  <c r="O314" i="38"/>
  <c r="Q313" i="38"/>
  <c r="P313" i="38"/>
  <c r="O313" i="38"/>
  <c r="Q312" i="38"/>
  <c r="P312" i="38"/>
  <c r="O312" i="38"/>
  <c r="Q311" i="38"/>
  <c r="P311" i="38"/>
  <c r="O311" i="38"/>
  <c r="Q310" i="38"/>
  <c r="P310" i="38"/>
  <c r="O310" i="38"/>
  <c r="Q309" i="38"/>
  <c r="P309" i="38"/>
  <c r="O309" i="38"/>
  <c r="Q308" i="38"/>
  <c r="P308" i="38"/>
  <c r="O308" i="38"/>
  <c r="Q307" i="38"/>
  <c r="P307" i="38"/>
  <c r="O307" i="38"/>
  <c r="Q306" i="38"/>
  <c r="P306" i="38"/>
  <c r="O306" i="38"/>
  <c r="Q305" i="38"/>
  <c r="P305" i="38"/>
  <c r="O305" i="38"/>
  <c r="Q304" i="38"/>
  <c r="P304" i="38"/>
  <c r="O304" i="38"/>
  <c r="Q303" i="38"/>
  <c r="P303" i="38"/>
  <c r="O303" i="38"/>
  <c r="Q302" i="38"/>
  <c r="P302" i="38"/>
  <c r="O302" i="38"/>
  <c r="Q301" i="38"/>
  <c r="P301" i="38"/>
  <c r="O301" i="38"/>
  <c r="Q300" i="38"/>
  <c r="P300" i="38"/>
  <c r="O300" i="38"/>
  <c r="Q299" i="38"/>
  <c r="P299" i="38"/>
  <c r="O299" i="38"/>
  <c r="Q298" i="38"/>
  <c r="P298" i="38"/>
  <c r="O298" i="38"/>
  <c r="Q297" i="38"/>
  <c r="P297" i="38"/>
  <c r="O297" i="38"/>
  <c r="Q291" i="38"/>
  <c r="P291" i="38"/>
  <c r="O291" i="38"/>
  <c r="Q290" i="38"/>
  <c r="P290" i="38"/>
  <c r="O290" i="38"/>
  <c r="Q289" i="38"/>
  <c r="P289" i="38"/>
  <c r="O289" i="38"/>
  <c r="Q288" i="38"/>
  <c r="P288" i="38"/>
  <c r="O288" i="38"/>
  <c r="Q287" i="38"/>
  <c r="P287" i="38"/>
  <c r="O287" i="38"/>
  <c r="Q286" i="38"/>
  <c r="P286" i="38"/>
  <c r="O286" i="38"/>
  <c r="Q285" i="38"/>
  <c r="P285" i="38"/>
  <c r="O285" i="38"/>
  <c r="Q284" i="38"/>
  <c r="P284" i="38"/>
  <c r="O284" i="38"/>
  <c r="Q283" i="38"/>
  <c r="P283" i="38"/>
  <c r="O283" i="38"/>
  <c r="Q282" i="38"/>
  <c r="P282" i="38"/>
  <c r="O282" i="38"/>
  <c r="Q281" i="38"/>
  <c r="P281" i="38"/>
  <c r="O281" i="38"/>
  <c r="Q280" i="38"/>
  <c r="P280" i="38"/>
  <c r="O280" i="38"/>
  <c r="Q279" i="38"/>
  <c r="P279" i="38"/>
  <c r="O279" i="38"/>
  <c r="Q278" i="38"/>
  <c r="P278" i="38"/>
  <c r="O278" i="38"/>
  <c r="Q277" i="38"/>
  <c r="P277" i="38"/>
  <c r="O277" i="38"/>
  <c r="Q276" i="38"/>
  <c r="P276" i="38"/>
  <c r="O276" i="38"/>
  <c r="Q275" i="38"/>
  <c r="P275" i="38"/>
  <c r="O275" i="38"/>
  <c r="Q274" i="38"/>
  <c r="P274" i="38"/>
  <c r="O274" i="38"/>
  <c r="Q273" i="38"/>
  <c r="P273" i="38"/>
  <c r="O273" i="38"/>
  <c r="Q272" i="38"/>
  <c r="P272" i="38"/>
  <c r="O272" i="38"/>
  <c r="Q271" i="38"/>
  <c r="P271" i="38"/>
  <c r="O271" i="38"/>
  <c r="Q270" i="38"/>
  <c r="P270" i="38"/>
  <c r="O270" i="38"/>
  <c r="Q269" i="38"/>
  <c r="P269" i="38"/>
  <c r="O269" i="38"/>
  <c r="Q268" i="38"/>
  <c r="P268" i="38"/>
  <c r="O268" i="38"/>
  <c r="Q267" i="38"/>
  <c r="P267" i="38"/>
  <c r="O267" i="38"/>
  <c r="Q266" i="38"/>
  <c r="P266" i="38"/>
  <c r="O266" i="38"/>
  <c r="Q265" i="38"/>
  <c r="P265" i="38"/>
  <c r="O265" i="38"/>
  <c r="Q264" i="38"/>
  <c r="P264" i="38"/>
  <c r="O264" i="38"/>
  <c r="Q263" i="38"/>
  <c r="P263" i="38"/>
  <c r="O263" i="38"/>
  <c r="Q262" i="38"/>
  <c r="P262" i="38"/>
  <c r="O262" i="38"/>
  <c r="Q261" i="38"/>
  <c r="P261" i="38"/>
  <c r="O261" i="38"/>
  <c r="Q260" i="38"/>
  <c r="P260" i="38"/>
  <c r="O260" i="38"/>
  <c r="Q259" i="38"/>
  <c r="P259" i="38"/>
  <c r="O259" i="38"/>
  <c r="Q258" i="38"/>
  <c r="P258" i="38"/>
  <c r="O258" i="38"/>
  <c r="Q257" i="38"/>
  <c r="P257" i="38"/>
  <c r="O257" i="38"/>
  <c r="Q256" i="38"/>
  <c r="P256" i="38"/>
  <c r="O256" i="38"/>
  <c r="Q255" i="38"/>
  <c r="P255" i="38"/>
  <c r="O255" i="38"/>
  <c r="Q254" i="38"/>
  <c r="P254" i="38"/>
  <c r="O254" i="38"/>
  <c r="Q253" i="38"/>
  <c r="P253" i="38"/>
  <c r="O253" i="38"/>
  <c r="Q252" i="38"/>
  <c r="P252" i="38"/>
  <c r="O252" i="38"/>
  <c r="Q251" i="38"/>
  <c r="P251" i="38"/>
  <c r="O251" i="38"/>
  <c r="Q250" i="38"/>
  <c r="P250" i="38"/>
  <c r="O250" i="38"/>
  <c r="Q249" i="38"/>
  <c r="P249" i="38"/>
  <c r="O249" i="38"/>
  <c r="Q248" i="38"/>
  <c r="P248" i="38"/>
  <c r="O248" i="38"/>
  <c r="Q247" i="38"/>
  <c r="P247" i="38"/>
  <c r="O247" i="38"/>
  <c r="Q246" i="38"/>
  <c r="P246" i="38"/>
  <c r="O246" i="38"/>
  <c r="Q245" i="38"/>
  <c r="P245" i="38"/>
  <c r="O245" i="38"/>
  <c r="Q244" i="38"/>
  <c r="P244" i="38"/>
  <c r="O244" i="38"/>
  <c r="Q243" i="38"/>
  <c r="P243" i="38"/>
  <c r="O243" i="38"/>
  <c r="Q242" i="38"/>
  <c r="P242" i="38"/>
  <c r="O242" i="38"/>
  <c r="Q241" i="38"/>
  <c r="P241" i="38"/>
  <c r="O241" i="38"/>
  <c r="Q240" i="38"/>
  <c r="P240" i="38"/>
  <c r="O240" i="38"/>
  <c r="Q239" i="38"/>
  <c r="P239" i="38"/>
  <c r="O239" i="38"/>
  <c r="Q233" i="38"/>
  <c r="P233" i="38"/>
  <c r="O233" i="38"/>
  <c r="Q232" i="38"/>
  <c r="P232" i="38"/>
  <c r="O232" i="38"/>
  <c r="Q231" i="38"/>
  <c r="P231" i="38"/>
  <c r="O231" i="38"/>
  <c r="Q230" i="38"/>
  <c r="P230" i="38"/>
  <c r="O230" i="38"/>
  <c r="Q229" i="38"/>
  <c r="P229" i="38"/>
  <c r="O229" i="38"/>
  <c r="Q228" i="38"/>
  <c r="P228" i="38"/>
  <c r="O228" i="38"/>
  <c r="Q227" i="38"/>
  <c r="P227" i="38"/>
  <c r="O227" i="38"/>
  <c r="Q226" i="38"/>
  <c r="P226" i="38"/>
  <c r="O226" i="38"/>
  <c r="Q225" i="38"/>
  <c r="P225" i="38"/>
  <c r="O225" i="38"/>
  <c r="Q224" i="38"/>
  <c r="P224" i="38"/>
  <c r="O224" i="38"/>
  <c r="Q223" i="38"/>
  <c r="P223" i="38"/>
  <c r="O223" i="38"/>
  <c r="Q222" i="38"/>
  <c r="P222" i="38"/>
  <c r="O222" i="38"/>
  <c r="Q221" i="38"/>
  <c r="P221" i="38"/>
  <c r="O221" i="38"/>
  <c r="Q220" i="38"/>
  <c r="P220" i="38"/>
  <c r="O220" i="38"/>
  <c r="Q219" i="38"/>
  <c r="P219" i="38"/>
  <c r="O219" i="38"/>
  <c r="Q218" i="38"/>
  <c r="P218" i="38"/>
  <c r="O218" i="38"/>
  <c r="Q217" i="38"/>
  <c r="P217" i="38"/>
  <c r="O217" i="38"/>
  <c r="Q216" i="38"/>
  <c r="P216" i="38"/>
  <c r="O216" i="38"/>
  <c r="Q215" i="38"/>
  <c r="P215" i="38"/>
  <c r="O215" i="38"/>
  <c r="Q214" i="38"/>
  <c r="P214" i="38"/>
  <c r="O214" i="38"/>
  <c r="Q213" i="38"/>
  <c r="P213" i="38"/>
  <c r="O213" i="38"/>
  <c r="Q212" i="38"/>
  <c r="P212" i="38"/>
  <c r="O212" i="38"/>
  <c r="Q211" i="38"/>
  <c r="P211" i="38"/>
  <c r="O211" i="38"/>
  <c r="Q210" i="38"/>
  <c r="P210" i="38"/>
  <c r="O210" i="38"/>
  <c r="Q209" i="38"/>
  <c r="P209" i="38"/>
  <c r="O209" i="38"/>
  <c r="Q208" i="38"/>
  <c r="P208" i="38"/>
  <c r="O208" i="38"/>
  <c r="Q207" i="38"/>
  <c r="P207" i="38"/>
  <c r="O207" i="38"/>
  <c r="Q206" i="38"/>
  <c r="P206" i="38"/>
  <c r="O206" i="38"/>
  <c r="Q205" i="38"/>
  <c r="P205" i="38"/>
  <c r="O205" i="38"/>
  <c r="Q204" i="38"/>
  <c r="P204" i="38"/>
  <c r="O204" i="38"/>
  <c r="Q203" i="38"/>
  <c r="P203" i="38"/>
  <c r="O203" i="38"/>
  <c r="Q202" i="38"/>
  <c r="P202" i="38"/>
  <c r="O202" i="38"/>
  <c r="Q201" i="38"/>
  <c r="P201" i="38"/>
  <c r="O201" i="38"/>
  <c r="Q200" i="38"/>
  <c r="P200" i="38"/>
  <c r="O200" i="38"/>
  <c r="Q199" i="38"/>
  <c r="P199" i="38"/>
  <c r="O199" i="38"/>
  <c r="Q198" i="38"/>
  <c r="P198" i="38"/>
  <c r="O198" i="38"/>
  <c r="Q197" i="38"/>
  <c r="P197" i="38"/>
  <c r="O197" i="38"/>
  <c r="Q196" i="38"/>
  <c r="P196" i="38"/>
  <c r="O196" i="38"/>
  <c r="Q195" i="38"/>
  <c r="P195" i="38"/>
  <c r="O195" i="38"/>
  <c r="Q194" i="38"/>
  <c r="P194" i="38"/>
  <c r="O194" i="38"/>
  <c r="Q193" i="38"/>
  <c r="P193" i="38"/>
  <c r="O193" i="38"/>
  <c r="Q192" i="38"/>
  <c r="P192" i="38"/>
  <c r="O192" i="38"/>
  <c r="Q191" i="38"/>
  <c r="P191" i="38"/>
  <c r="O191" i="38"/>
  <c r="Q190" i="38"/>
  <c r="P190" i="38"/>
  <c r="O190" i="38"/>
  <c r="Q189" i="38"/>
  <c r="P189" i="38"/>
  <c r="O189" i="38"/>
  <c r="Q188" i="38"/>
  <c r="P188" i="38"/>
  <c r="O188" i="38"/>
  <c r="Q187" i="38"/>
  <c r="P187" i="38"/>
  <c r="O187" i="38"/>
  <c r="Q186" i="38"/>
  <c r="P186" i="38"/>
  <c r="O186" i="38"/>
  <c r="Q185" i="38"/>
  <c r="P185" i="38"/>
  <c r="O185" i="38"/>
  <c r="Q184" i="38"/>
  <c r="P184" i="38"/>
  <c r="O184" i="38"/>
  <c r="Q183" i="38"/>
  <c r="P183" i="38"/>
  <c r="O183" i="38"/>
  <c r="Q182" i="38"/>
  <c r="P182" i="38"/>
  <c r="O182" i="38"/>
  <c r="Q181" i="38"/>
  <c r="P181" i="38"/>
  <c r="O181" i="38"/>
  <c r="Q175" i="38"/>
  <c r="P175" i="38"/>
  <c r="O175" i="38"/>
  <c r="Q174" i="38"/>
  <c r="P174" i="38"/>
  <c r="O174" i="38"/>
  <c r="Q173" i="38"/>
  <c r="P173" i="38"/>
  <c r="O173" i="38"/>
  <c r="Q172" i="38"/>
  <c r="P172" i="38"/>
  <c r="O172" i="38"/>
  <c r="Q171" i="38"/>
  <c r="P171" i="38"/>
  <c r="O171" i="38"/>
  <c r="Q170" i="38"/>
  <c r="P170" i="38"/>
  <c r="O170" i="38"/>
  <c r="Q169" i="38"/>
  <c r="P169" i="38"/>
  <c r="O169" i="38"/>
  <c r="Q168" i="38"/>
  <c r="P168" i="38"/>
  <c r="O168" i="38"/>
  <c r="Q167" i="38"/>
  <c r="P167" i="38"/>
  <c r="O167" i="38"/>
  <c r="Q166" i="38"/>
  <c r="P166" i="38"/>
  <c r="O166" i="38"/>
  <c r="Q165" i="38"/>
  <c r="P165" i="38"/>
  <c r="O165" i="38"/>
  <c r="Q164" i="38"/>
  <c r="P164" i="38"/>
  <c r="O164" i="38"/>
  <c r="Q163" i="38"/>
  <c r="P163" i="38"/>
  <c r="O163" i="38"/>
  <c r="Q162" i="38"/>
  <c r="P162" i="38"/>
  <c r="O162" i="38"/>
  <c r="Q161" i="38"/>
  <c r="P161" i="38"/>
  <c r="O161" i="38"/>
  <c r="Q160" i="38"/>
  <c r="P160" i="38"/>
  <c r="O160" i="38"/>
  <c r="Q159" i="38"/>
  <c r="P159" i="38"/>
  <c r="O159" i="38"/>
  <c r="Q158" i="38"/>
  <c r="P158" i="38"/>
  <c r="O158" i="38"/>
  <c r="Q157" i="38"/>
  <c r="P157" i="38"/>
  <c r="O157" i="38"/>
  <c r="Q156" i="38"/>
  <c r="P156" i="38"/>
  <c r="O156" i="38"/>
  <c r="Q155" i="38"/>
  <c r="P155" i="38"/>
  <c r="O155" i="38"/>
  <c r="Q154" i="38"/>
  <c r="P154" i="38"/>
  <c r="O154" i="38"/>
  <c r="Q153" i="38"/>
  <c r="P153" i="38"/>
  <c r="O153" i="38"/>
  <c r="Q152" i="38"/>
  <c r="P152" i="38"/>
  <c r="O152" i="38"/>
  <c r="Q151" i="38"/>
  <c r="P151" i="38"/>
  <c r="O151" i="38"/>
  <c r="Q150" i="38"/>
  <c r="P150" i="38"/>
  <c r="O150" i="38"/>
  <c r="Q149" i="38"/>
  <c r="P149" i="38"/>
  <c r="O149" i="38"/>
  <c r="Q148" i="38"/>
  <c r="P148" i="38"/>
  <c r="O148" i="38"/>
  <c r="Q147" i="38"/>
  <c r="P147" i="38"/>
  <c r="O147" i="38"/>
  <c r="Q146" i="38"/>
  <c r="P146" i="38"/>
  <c r="O146" i="38"/>
  <c r="Q145" i="38"/>
  <c r="P145" i="38"/>
  <c r="O145" i="38"/>
  <c r="Q144" i="38"/>
  <c r="P144" i="38"/>
  <c r="O144" i="38"/>
  <c r="Q143" i="38"/>
  <c r="P143" i="38"/>
  <c r="O143" i="38"/>
  <c r="Q142" i="38"/>
  <c r="P142" i="38"/>
  <c r="O142" i="38"/>
  <c r="Q141" i="38"/>
  <c r="P141" i="38"/>
  <c r="O141" i="38"/>
  <c r="Q140" i="38"/>
  <c r="P140" i="38"/>
  <c r="O140" i="38"/>
  <c r="Q139" i="38"/>
  <c r="P139" i="38"/>
  <c r="O139" i="38"/>
  <c r="Q138" i="38"/>
  <c r="P138" i="38"/>
  <c r="O138" i="38"/>
  <c r="Q137" i="38"/>
  <c r="P137" i="38"/>
  <c r="O137" i="38"/>
  <c r="Q136" i="38"/>
  <c r="P136" i="38"/>
  <c r="O136" i="38"/>
  <c r="Q135" i="38"/>
  <c r="P135" i="38"/>
  <c r="O135" i="38"/>
  <c r="Q134" i="38"/>
  <c r="P134" i="38"/>
  <c r="O134" i="38"/>
  <c r="Q133" i="38"/>
  <c r="P133" i="38"/>
  <c r="O133" i="38"/>
  <c r="Q132" i="38"/>
  <c r="P132" i="38"/>
  <c r="O132" i="38"/>
  <c r="Q131" i="38"/>
  <c r="P131" i="38"/>
  <c r="O131" i="38"/>
  <c r="Q130" i="38"/>
  <c r="P130" i="38"/>
  <c r="O130" i="38"/>
  <c r="Q129" i="38"/>
  <c r="P129" i="38"/>
  <c r="O129" i="38"/>
  <c r="Q128" i="38"/>
  <c r="P128" i="38"/>
  <c r="O128" i="38"/>
  <c r="Q127" i="38"/>
  <c r="P127" i="38"/>
  <c r="O127" i="38"/>
  <c r="Q126" i="38"/>
  <c r="P126" i="38"/>
  <c r="O126" i="38"/>
  <c r="Q125" i="38"/>
  <c r="P125" i="38"/>
  <c r="O125" i="38"/>
  <c r="Q124" i="38"/>
  <c r="P124" i="38"/>
  <c r="O124" i="38"/>
  <c r="Q123" i="38"/>
  <c r="P123" i="38"/>
  <c r="O123" i="38"/>
  <c r="Q117" i="38"/>
  <c r="P117" i="38"/>
  <c r="O117" i="38"/>
  <c r="Q116" i="38"/>
  <c r="P116" i="38"/>
  <c r="O116" i="38"/>
  <c r="Q115" i="38"/>
  <c r="P115" i="38"/>
  <c r="O115" i="38"/>
  <c r="Q114" i="38"/>
  <c r="P114" i="38"/>
  <c r="O114" i="38"/>
  <c r="Q113" i="38"/>
  <c r="P113" i="38"/>
  <c r="O113" i="38"/>
  <c r="Q112" i="38"/>
  <c r="P112" i="38"/>
  <c r="O112" i="38"/>
  <c r="Q111" i="38"/>
  <c r="P111" i="38"/>
  <c r="O111" i="38"/>
  <c r="Q110" i="38"/>
  <c r="P110" i="38"/>
  <c r="O110" i="38"/>
  <c r="Q109" i="38"/>
  <c r="P109" i="38"/>
  <c r="O109" i="38"/>
  <c r="Q108" i="38"/>
  <c r="P108" i="38"/>
  <c r="O108" i="38"/>
  <c r="Q107" i="38"/>
  <c r="P107" i="38"/>
  <c r="O107" i="38"/>
  <c r="Q106" i="38"/>
  <c r="P106" i="38"/>
  <c r="O106" i="38"/>
  <c r="Q105" i="38"/>
  <c r="P105" i="38"/>
  <c r="O105" i="38"/>
  <c r="Q104" i="38"/>
  <c r="P104" i="38"/>
  <c r="O104" i="38"/>
  <c r="Q103" i="38"/>
  <c r="P103" i="38"/>
  <c r="O103" i="38"/>
  <c r="Q102" i="38"/>
  <c r="P102" i="38"/>
  <c r="O102" i="38"/>
  <c r="Q101" i="38"/>
  <c r="P101" i="38"/>
  <c r="O101" i="38"/>
  <c r="Q100" i="38"/>
  <c r="P100" i="38"/>
  <c r="O100" i="38"/>
  <c r="Q99" i="38"/>
  <c r="P99" i="38"/>
  <c r="O99" i="38"/>
  <c r="Q98" i="38"/>
  <c r="P98" i="38"/>
  <c r="O98" i="38"/>
  <c r="Q97" i="38"/>
  <c r="P97" i="38"/>
  <c r="O97" i="38"/>
  <c r="Q96" i="38"/>
  <c r="P96" i="38"/>
  <c r="O96" i="38"/>
  <c r="Q95" i="38"/>
  <c r="P95" i="38"/>
  <c r="O95" i="38"/>
  <c r="Q94" i="38"/>
  <c r="P94" i="38"/>
  <c r="O94" i="38"/>
  <c r="Q93" i="38"/>
  <c r="P93" i="38"/>
  <c r="O93" i="38"/>
  <c r="Q92" i="38"/>
  <c r="P92" i="38"/>
  <c r="O92" i="38"/>
  <c r="Q91" i="38"/>
  <c r="P91" i="38"/>
  <c r="O91" i="38"/>
  <c r="Q90" i="38"/>
  <c r="P90" i="38"/>
  <c r="O90" i="38"/>
  <c r="Q89" i="38"/>
  <c r="P89" i="38"/>
  <c r="O89" i="38"/>
  <c r="Q88" i="38"/>
  <c r="P88" i="38"/>
  <c r="O88" i="38"/>
  <c r="Q87" i="38"/>
  <c r="P87" i="38"/>
  <c r="O87" i="38"/>
  <c r="Q86" i="38"/>
  <c r="P86" i="38"/>
  <c r="O86" i="38"/>
  <c r="Q85" i="38"/>
  <c r="P85" i="38"/>
  <c r="O85" i="38"/>
  <c r="Q84" i="38"/>
  <c r="P84" i="38"/>
  <c r="O84" i="38"/>
  <c r="Q83" i="38"/>
  <c r="P83" i="38"/>
  <c r="O83" i="38"/>
  <c r="Q82" i="38"/>
  <c r="P82" i="38"/>
  <c r="O82" i="38"/>
  <c r="Q81" i="38"/>
  <c r="P81" i="38"/>
  <c r="O81" i="38"/>
  <c r="Q80" i="38"/>
  <c r="P80" i="38"/>
  <c r="O80" i="38"/>
  <c r="Q79" i="38"/>
  <c r="P79" i="38"/>
  <c r="O79" i="38"/>
  <c r="Q78" i="38"/>
  <c r="P78" i="38"/>
  <c r="O78" i="38"/>
  <c r="Q77" i="38"/>
  <c r="P77" i="38"/>
  <c r="O77" i="38"/>
  <c r="Q76" i="38"/>
  <c r="P76" i="38"/>
  <c r="O76" i="38"/>
  <c r="Q75" i="38"/>
  <c r="P75" i="38"/>
  <c r="O75" i="38"/>
  <c r="Q74" i="38"/>
  <c r="P74" i="38"/>
  <c r="O74" i="38"/>
  <c r="Q73" i="38"/>
  <c r="P73" i="38"/>
  <c r="O73" i="38"/>
  <c r="Q72" i="38"/>
  <c r="P72" i="38"/>
  <c r="O72" i="38"/>
  <c r="Q71" i="38"/>
  <c r="P71" i="38"/>
  <c r="O71" i="38"/>
  <c r="Q70" i="38"/>
  <c r="P70" i="38"/>
  <c r="O70" i="38"/>
  <c r="Q69" i="38"/>
  <c r="P69" i="38"/>
  <c r="O69" i="38"/>
  <c r="Q68" i="38"/>
  <c r="P68" i="38"/>
  <c r="O68" i="38"/>
  <c r="Q67" i="38"/>
  <c r="P67" i="38"/>
  <c r="O67" i="38"/>
  <c r="Q66" i="38"/>
  <c r="P66" i="38"/>
  <c r="O66" i="38"/>
  <c r="Q65" i="38"/>
  <c r="P65" i="38"/>
  <c r="O65" i="38"/>
  <c r="Q4" i="38"/>
  <c r="P4" i="38"/>
  <c r="O4" i="38"/>
  <c r="Q32" i="38"/>
  <c r="Q31" i="38"/>
  <c r="Q30" i="38"/>
  <c r="Q29" i="38"/>
  <c r="Q28" i="38"/>
  <c r="Q27" i="38"/>
  <c r="Q26" i="38"/>
  <c r="Q25" i="38"/>
  <c r="Q24" i="38"/>
  <c r="Q23" i="38"/>
  <c r="Q22" i="38"/>
  <c r="Q21" i="38"/>
  <c r="Q20" i="38"/>
  <c r="Q19" i="38"/>
  <c r="Q18" i="38"/>
  <c r="Q17" i="38"/>
  <c r="Q16" i="38"/>
  <c r="Q15" i="38"/>
  <c r="Q14" i="38"/>
  <c r="Q13" i="38"/>
  <c r="Q12" i="38"/>
  <c r="Q11" i="38"/>
  <c r="Q10" i="38"/>
  <c r="Q9" i="38"/>
  <c r="Q8" i="38"/>
  <c r="Q6" i="38"/>
  <c r="Q5" i="38"/>
  <c r="R142" i="13"/>
  <c r="N54" i="21"/>
  <c r="N53" i="21"/>
  <c r="F89" i="30"/>
  <c r="B89" i="30"/>
  <c r="F88" i="30"/>
  <c r="B88" i="30"/>
  <c r="B10" i="30"/>
  <c r="AF47" i="35"/>
  <c r="AE47" i="35"/>
  <c r="AF46" i="35"/>
  <c r="AE46" i="35"/>
  <c r="AF45" i="35"/>
  <c r="AE45" i="35"/>
  <c r="O45" i="35"/>
  <c r="AF44" i="35"/>
  <c r="AE44" i="35"/>
  <c r="AF43" i="35"/>
  <c r="AE43" i="35"/>
  <c r="AF42" i="35"/>
  <c r="AE42" i="35"/>
  <c r="AF41" i="35"/>
  <c r="AE41" i="35"/>
  <c r="O41" i="35" s="1"/>
  <c r="AF40" i="35"/>
  <c r="AE40" i="35"/>
  <c r="AF39" i="35"/>
  <c r="AE39" i="35"/>
  <c r="AF38" i="35"/>
  <c r="AE38" i="35"/>
  <c r="AF37" i="35"/>
  <c r="AE37" i="35"/>
  <c r="O37" i="35" s="1"/>
  <c r="AF36" i="35"/>
  <c r="AE36" i="35"/>
  <c r="AF35" i="35"/>
  <c r="AE35" i="35"/>
  <c r="AF34" i="35"/>
  <c r="AE34" i="35"/>
  <c r="AF33" i="35"/>
  <c r="AE33" i="35"/>
  <c r="O33" i="35" s="1"/>
  <c r="AF32" i="35"/>
  <c r="AE32" i="35"/>
  <c r="AF31" i="35"/>
  <c r="AE31" i="35"/>
  <c r="AF30" i="35"/>
  <c r="AE30" i="35"/>
  <c r="AF29" i="35"/>
  <c r="AE29" i="35"/>
  <c r="O29" i="35"/>
  <c r="AF28" i="35"/>
  <c r="AE28" i="35"/>
  <c r="AF27" i="35"/>
  <c r="AE27" i="35"/>
  <c r="AF26" i="35"/>
  <c r="AE26" i="35"/>
  <c r="AF25" i="35"/>
  <c r="AE25" i="35"/>
  <c r="AF24" i="35"/>
  <c r="AE24" i="35"/>
  <c r="AF23" i="35"/>
  <c r="O23" i="35"/>
  <c r="AE23" i="35"/>
  <c r="AF22" i="35"/>
  <c r="AE22" i="35"/>
  <c r="AF21" i="35"/>
  <c r="O21" i="35" s="1"/>
  <c r="AE21" i="35"/>
  <c r="AF20" i="35"/>
  <c r="AE20" i="35"/>
  <c r="AF19" i="35"/>
  <c r="AE19" i="35"/>
  <c r="O19" i="35" s="1"/>
  <c r="AF18" i="35"/>
  <c r="AE18" i="35"/>
  <c r="AF17" i="35"/>
  <c r="AE17" i="35"/>
  <c r="O17" i="35"/>
  <c r="AF16" i="35"/>
  <c r="AE16" i="35"/>
  <c r="AF15" i="35"/>
  <c r="O15" i="35"/>
  <c r="AE15" i="35"/>
  <c r="AF14" i="35"/>
  <c r="AE14" i="35"/>
  <c r="AF13" i="35"/>
  <c r="O13" i="35" s="1"/>
  <c r="AE13" i="35"/>
  <c r="AF12" i="35"/>
  <c r="AE12" i="35"/>
  <c r="AF11" i="35"/>
  <c r="AE11" i="35"/>
  <c r="O11" i="35" s="1"/>
  <c r="AF10" i="35"/>
  <c r="AE10" i="35"/>
  <c r="AF9" i="35"/>
  <c r="AE9" i="35"/>
  <c r="O9" i="35"/>
  <c r="AF8" i="35"/>
  <c r="AE8" i="35"/>
  <c r="AD47" i="35"/>
  <c r="AD46" i="35"/>
  <c r="AD45" i="35"/>
  <c r="AD44" i="35"/>
  <c r="AD43" i="35"/>
  <c r="AD42" i="35"/>
  <c r="AD41" i="35"/>
  <c r="AD40" i="35"/>
  <c r="AD39" i="35"/>
  <c r="AD38" i="35"/>
  <c r="AD37" i="35"/>
  <c r="AD36" i="35"/>
  <c r="AD35" i="35"/>
  <c r="AD34" i="35"/>
  <c r="AD33" i="35"/>
  <c r="AD32" i="35"/>
  <c r="AD31" i="35"/>
  <c r="AD30" i="35"/>
  <c r="AD29" i="35"/>
  <c r="AD28" i="35"/>
  <c r="AD27" i="35"/>
  <c r="AD26" i="35"/>
  <c r="AD25" i="35"/>
  <c r="AD24" i="35"/>
  <c r="AD23" i="35"/>
  <c r="AD22" i="35"/>
  <c r="AD21" i="35"/>
  <c r="AD20" i="35"/>
  <c r="AD19" i="35"/>
  <c r="AD18" i="35"/>
  <c r="AD17" i="35"/>
  <c r="AD16" i="35"/>
  <c r="AD15" i="35"/>
  <c r="AD14" i="35"/>
  <c r="AD13" i="35"/>
  <c r="AD12" i="35"/>
  <c r="AD11" i="35"/>
  <c r="AD10" i="35"/>
  <c r="AD9" i="35"/>
  <c r="AD8" i="35"/>
  <c r="AA47" i="35"/>
  <c r="Z47" i="35"/>
  <c r="AA46" i="35"/>
  <c r="Z46" i="35"/>
  <c r="AA45" i="35"/>
  <c r="L45" i="35"/>
  <c r="Z45" i="35"/>
  <c r="AA44" i="35"/>
  <c r="Z44" i="35"/>
  <c r="AA43" i="35"/>
  <c r="Z43" i="35"/>
  <c r="AA42" i="35"/>
  <c r="Z42" i="35"/>
  <c r="AA41" i="35"/>
  <c r="Z41" i="35"/>
  <c r="AA40" i="35"/>
  <c r="Z40" i="35"/>
  <c r="AA39" i="35"/>
  <c r="Z39" i="35"/>
  <c r="AA38" i="35"/>
  <c r="Z38" i="35"/>
  <c r="AA37" i="35"/>
  <c r="Z37" i="35"/>
  <c r="L37" i="35" s="1"/>
  <c r="AA36" i="35"/>
  <c r="Z36" i="35"/>
  <c r="AA35" i="35"/>
  <c r="Z35" i="35"/>
  <c r="AA34" i="35"/>
  <c r="Z34" i="35"/>
  <c r="L34" i="35" s="1"/>
  <c r="AA33" i="35"/>
  <c r="Z33" i="35"/>
  <c r="L33" i="35" s="1"/>
  <c r="AA32" i="35"/>
  <c r="Z32" i="35"/>
  <c r="AA31" i="35"/>
  <c r="Z31" i="35"/>
  <c r="AA30" i="35"/>
  <c r="Z30" i="35"/>
  <c r="AA29" i="35"/>
  <c r="Z29" i="35"/>
  <c r="L29" i="35" s="1"/>
  <c r="AA28" i="35"/>
  <c r="Z28" i="35"/>
  <c r="AA27" i="35"/>
  <c r="Z27" i="35"/>
  <c r="AA26" i="35"/>
  <c r="Z26" i="35"/>
  <c r="AA25" i="35"/>
  <c r="L25" i="35"/>
  <c r="Z25" i="35"/>
  <c r="AA24" i="35"/>
  <c r="Z24" i="35"/>
  <c r="AA23" i="35"/>
  <c r="Z23" i="35"/>
  <c r="AA22" i="35"/>
  <c r="Z22" i="35"/>
  <c r="AA21" i="35"/>
  <c r="Z21" i="35"/>
  <c r="AA20" i="35"/>
  <c r="Z20" i="35"/>
  <c r="AA19" i="35"/>
  <c r="Z19" i="35"/>
  <c r="AA18" i="35"/>
  <c r="Z18" i="35"/>
  <c r="AA17" i="35"/>
  <c r="Z17" i="35"/>
  <c r="AA16" i="35"/>
  <c r="Z16" i="35"/>
  <c r="AA15" i="35"/>
  <c r="Z15" i="35"/>
  <c r="AA14" i="35"/>
  <c r="Z14" i="35"/>
  <c r="L14" i="35" s="1"/>
  <c r="AA13" i="35"/>
  <c r="Z13" i="35"/>
  <c r="L13" i="35" s="1"/>
  <c r="AA12" i="35"/>
  <c r="Z12" i="35"/>
  <c r="AA11" i="35"/>
  <c r="Z11" i="35"/>
  <c r="AA10" i="35"/>
  <c r="L10" i="35" s="1"/>
  <c r="Z10" i="35"/>
  <c r="AA9" i="35"/>
  <c r="Z9" i="35"/>
  <c r="AA8" i="35"/>
  <c r="Z8" i="35"/>
  <c r="Y47" i="35"/>
  <c r="X47" i="35"/>
  <c r="Y46" i="35"/>
  <c r="X46" i="35"/>
  <c r="Y45" i="35"/>
  <c r="X45" i="35"/>
  <c r="Y44" i="35"/>
  <c r="K44" i="35" s="1"/>
  <c r="X44" i="35"/>
  <c r="Y43" i="35"/>
  <c r="X43" i="35"/>
  <c r="K43" i="35" s="1"/>
  <c r="Y42" i="35"/>
  <c r="X42" i="35"/>
  <c r="Y41" i="35"/>
  <c r="X41" i="35"/>
  <c r="Y40" i="35"/>
  <c r="X40" i="35"/>
  <c r="Y39" i="35"/>
  <c r="X39" i="35"/>
  <c r="Y38" i="35"/>
  <c r="X38" i="35"/>
  <c r="Y37" i="35"/>
  <c r="X37" i="35"/>
  <c r="Y36" i="35"/>
  <c r="X36" i="35"/>
  <c r="Y35" i="35"/>
  <c r="K35" i="35"/>
  <c r="X35" i="35"/>
  <c r="Y34" i="35"/>
  <c r="X34" i="35"/>
  <c r="Y33" i="35"/>
  <c r="X33" i="35"/>
  <c r="Y32" i="35"/>
  <c r="X32" i="35"/>
  <c r="Y31" i="35"/>
  <c r="X31" i="35"/>
  <c r="K31" i="35" s="1"/>
  <c r="Y30" i="35"/>
  <c r="X30" i="35"/>
  <c r="Y29" i="35"/>
  <c r="X29" i="35"/>
  <c r="Y28" i="35"/>
  <c r="X28" i="35"/>
  <c r="K28" i="35" s="1"/>
  <c r="Y27" i="35"/>
  <c r="X27" i="35"/>
  <c r="K27" i="35" s="1"/>
  <c r="Y26" i="35"/>
  <c r="X26" i="35"/>
  <c r="Y25" i="35"/>
  <c r="X25" i="35"/>
  <c r="Y24" i="35"/>
  <c r="X24" i="35"/>
  <c r="Y23" i="35"/>
  <c r="X23" i="35"/>
  <c r="K23" i="35" s="1"/>
  <c r="Y22" i="35"/>
  <c r="X22" i="35"/>
  <c r="Y21" i="35"/>
  <c r="X21" i="35"/>
  <c r="Y20" i="35"/>
  <c r="X20" i="35"/>
  <c r="Y19" i="35"/>
  <c r="X19" i="35"/>
  <c r="Y18" i="35"/>
  <c r="X18" i="35"/>
  <c r="Y17" i="35"/>
  <c r="X17" i="35"/>
  <c r="Y16" i="35"/>
  <c r="X16" i="35"/>
  <c r="Y15" i="35"/>
  <c r="K15" i="35"/>
  <c r="X15" i="35"/>
  <c r="Y14" i="35"/>
  <c r="X14" i="35"/>
  <c r="Y13" i="35"/>
  <c r="X13" i="35"/>
  <c r="Y12" i="35"/>
  <c r="X12" i="35"/>
  <c r="Y11" i="35"/>
  <c r="X11" i="35"/>
  <c r="Y10" i="35"/>
  <c r="X10" i="35"/>
  <c r="Y9" i="35"/>
  <c r="X9" i="35"/>
  <c r="Y8" i="35"/>
  <c r="X8" i="35"/>
  <c r="V47" i="35"/>
  <c r="I47" i="35"/>
  <c r="V46" i="35"/>
  <c r="V45" i="35"/>
  <c r="I45" i="35" s="1"/>
  <c r="V44" i="35"/>
  <c r="V43" i="35"/>
  <c r="I43" i="35" s="1"/>
  <c r="V42" i="35"/>
  <c r="I42" i="35" s="1"/>
  <c r="V41" i="35"/>
  <c r="V40" i="35"/>
  <c r="V39" i="35"/>
  <c r="I39" i="35"/>
  <c r="V38" i="35"/>
  <c r="V37" i="35"/>
  <c r="V36" i="35"/>
  <c r="V35" i="35"/>
  <c r="I35" i="35" s="1"/>
  <c r="V34" i="35"/>
  <c r="V33" i="35"/>
  <c r="V32" i="35"/>
  <c r="V31" i="35"/>
  <c r="I31" i="35"/>
  <c r="V30" i="35"/>
  <c r="V29" i="35"/>
  <c r="I29" i="35" s="1"/>
  <c r="V28" i="35"/>
  <c r="V27" i="35"/>
  <c r="I27" i="35" s="1"/>
  <c r="V26" i="35"/>
  <c r="I26" i="35" s="1"/>
  <c r="V25" i="35"/>
  <c r="V24" i="35"/>
  <c r="V23" i="35"/>
  <c r="V22" i="35"/>
  <c r="I22" i="35" s="1"/>
  <c r="V21" i="35"/>
  <c r="V20" i="35"/>
  <c r="V19" i="35"/>
  <c r="I19" i="35"/>
  <c r="V18" i="35"/>
  <c r="V17" i="35"/>
  <c r="V16" i="35"/>
  <c r="V15" i="35"/>
  <c r="V14" i="35"/>
  <c r="V13" i="35"/>
  <c r="V12" i="35"/>
  <c r="V11" i="35"/>
  <c r="I11" i="35" s="1"/>
  <c r="V10" i="35"/>
  <c r="V9" i="35"/>
  <c r="V8" i="35"/>
  <c r="I8" i="35" s="1"/>
  <c r="AR47" i="35"/>
  <c r="AQ47" i="35"/>
  <c r="AP47" i="35"/>
  <c r="AO47" i="35"/>
  <c r="AN47" i="35"/>
  <c r="AM47" i="35"/>
  <c r="AL47" i="35"/>
  <c r="AK47" i="35"/>
  <c r="AJ47" i="35"/>
  <c r="AI47" i="35"/>
  <c r="AH47" i="35"/>
  <c r="AG47" i="35"/>
  <c r="K47" i="35"/>
  <c r="W47" i="35"/>
  <c r="AR46" i="35"/>
  <c r="AQ46" i="35"/>
  <c r="AP46" i="35"/>
  <c r="AO46" i="35"/>
  <c r="AN46" i="35"/>
  <c r="AM46" i="35"/>
  <c r="AL46" i="35"/>
  <c r="AK46" i="35"/>
  <c r="AJ46" i="35"/>
  <c r="AI46" i="35"/>
  <c r="AH46" i="35"/>
  <c r="AG46" i="35"/>
  <c r="L46" i="35"/>
  <c r="W46" i="35"/>
  <c r="J46" i="35" s="1"/>
  <c r="AR45" i="35"/>
  <c r="AQ45" i="35"/>
  <c r="AP45" i="35"/>
  <c r="AO45" i="35"/>
  <c r="AN45" i="35"/>
  <c r="AM45" i="35"/>
  <c r="AL45" i="35"/>
  <c r="AK45" i="35"/>
  <c r="AJ45" i="35"/>
  <c r="AI45" i="35"/>
  <c r="AH45" i="35"/>
  <c r="AG45" i="35"/>
  <c r="N45" i="35"/>
  <c r="W45" i="35"/>
  <c r="AR44" i="35"/>
  <c r="AQ44" i="35"/>
  <c r="AP44" i="35"/>
  <c r="AO44" i="35"/>
  <c r="AN44" i="35"/>
  <c r="AM44" i="35"/>
  <c r="AL44" i="35"/>
  <c r="AK44" i="35"/>
  <c r="AJ44" i="35"/>
  <c r="AI44" i="35"/>
  <c r="AH44" i="35"/>
  <c r="AG44" i="35"/>
  <c r="W44" i="35"/>
  <c r="AR43" i="35"/>
  <c r="AQ43" i="35"/>
  <c r="AP43" i="35"/>
  <c r="AO43" i="35"/>
  <c r="AN43" i="35"/>
  <c r="AM43" i="35"/>
  <c r="AL43" i="35"/>
  <c r="AK43" i="35"/>
  <c r="AJ43" i="35"/>
  <c r="AI43" i="35"/>
  <c r="AH43" i="35"/>
  <c r="AG43" i="35"/>
  <c r="Q43" i="35" s="1"/>
  <c r="W43" i="35"/>
  <c r="AR42" i="35"/>
  <c r="AQ42" i="35"/>
  <c r="AP42" i="35"/>
  <c r="AO42" i="35"/>
  <c r="AN42" i="35"/>
  <c r="AM42" i="35"/>
  <c r="AL42" i="35"/>
  <c r="AK42" i="35"/>
  <c r="AJ42" i="35"/>
  <c r="AI42" i="35"/>
  <c r="AH42" i="35"/>
  <c r="AG42" i="35"/>
  <c r="L42" i="35"/>
  <c r="W42" i="35"/>
  <c r="J42" i="35" s="1"/>
  <c r="AR41" i="35"/>
  <c r="AQ41" i="35"/>
  <c r="AP41" i="35"/>
  <c r="AO41" i="35"/>
  <c r="AN41" i="35"/>
  <c r="AM41" i="35"/>
  <c r="AL41" i="35"/>
  <c r="AK41" i="35"/>
  <c r="AJ41" i="35"/>
  <c r="AI41" i="35"/>
  <c r="AH41" i="35"/>
  <c r="AG41" i="35"/>
  <c r="N41" i="35"/>
  <c r="W41" i="35"/>
  <c r="I41" i="35"/>
  <c r="AR40" i="35"/>
  <c r="AQ40" i="35"/>
  <c r="AP40" i="35"/>
  <c r="AO40" i="35"/>
  <c r="AN40" i="35"/>
  <c r="AM40" i="35"/>
  <c r="AL40" i="35"/>
  <c r="AK40" i="35"/>
  <c r="AJ40" i="35"/>
  <c r="AI40" i="35"/>
  <c r="AH40" i="35"/>
  <c r="AG40" i="35"/>
  <c r="Q40" i="35" s="1"/>
  <c r="K40" i="35"/>
  <c r="W40" i="35"/>
  <c r="AR39" i="35"/>
  <c r="AQ39" i="35"/>
  <c r="AP39" i="35"/>
  <c r="AO39" i="35"/>
  <c r="AN39" i="35"/>
  <c r="AM39" i="35"/>
  <c r="AL39" i="35"/>
  <c r="AK39" i="35"/>
  <c r="AJ39" i="35"/>
  <c r="AI39" i="35"/>
  <c r="AH39" i="35"/>
  <c r="AG39" i="35"/>
  <c r="Q39" i="35" s="1"/>
  <c r="W39" i="35"/>
  <c r="AR38" i="35"/>
  <c r="AQ38" i="35"/>
  <c r="AP38" i="35"/>
  <c r="AO38" i="35"/>
  <c r="AN38" i="35"/>
  <c r="AM38" i="35"/>
  <c r="AL38" i="35"/>
  <c r="AK38" i="35"/>
  <c r="AJ38" i="35"/>
  <c r="AI38" i="35"/>
  <c r="AH38" i="35"/>
  <c r="AG38" i="35"/>
  <c r="Q38" i="35" s="1"/>
  <c r="L38" i="35"/>
  <c r="W38" i="35"/>
  <c r="J38" i="35" s="1"/>
  <c r="AR37" i="35"/>
  <c r="AQ37" i="35"/>
  <c r="AP37" i="35"/>
  <c r="AO37" i="35"/>
  <c r="AN37" i="35"/>
  <c r="AM37" i="35"/>
  <c r="AL37" i="35"/>
  <c r="AK37" i="35"/>
  <c r="AJ37" i="35"/>
  <c r="AI37" i="35"/>
  <c r="AH37" i="35"/>
  <c r="AG37" i="35"/>
  <c r="N37" i="35"/>
  <c r="W37" i="35"/>
  <c r="AR36" i="35"/>
  <c r="AQ36" i="35"/>
  <c r="AP36" i="35"/>
  <c r="AO36" i="35"/>
  <c r="AN36" i="35"/>
  <c r="AM36" i="35"/>
  <c r="AL36" i="35"/>
  <c r="AK36" i="35"/>
  <c r="AJ36" i="35"/>
  <c r="AI36" i="35"/>
  <c r="AH36" i="35"/>
  <c r="AG36" i="35"/>
  <c r="Q36" i="35" s="1"/>
  <c r="W36" i="35"/>
  <c r="AR35" i="35"/>
  <c r="AQ35" i="35"/>
  <c r="AP35" i="35"/>
  <c r="AO35" i="35"/>
  <c r="AN35" i="35"/>
  <c r="AM35" i="35"/>
  <c r="AL35" i="35"/>
  <c r="AK35" i="35"/>
  <c r="AJ35" i="35"/>
  <c r="AI35" i="35"/>
  <c r="AH35" i="35"/>
  <c r="AG35" i="35"/>
  <c r="Q35" i="35" s="1"/>
  <c r="W35" i="35"/>
  <c r="AR34" i="35"/>
  <c r="AQ34" i="35"/>
  <c r="AP34" i="35"/>
  <c r="AO34" i="35"/>
  <c r="AN34" i="35"/>
  <c r="AM34" i="35"/>
  <c r="AL34" i="35"/>
  <c r="AK34" i="35"/>
  <c r="AJ34" i="35"/>
  <c r="AI34" i="35"/>
  <c r="AH34" i="35"/>
  <c r="AG34" i="35"/>
  <c r="W34" i="35"/>
  <c r="J34" i="35"/>
  <c r="AR33" i="35"/>
  <c r="AQ33" i="35"/>
  <c r="AP33" i="35"/>
  <c r="AO33" i="35"/>
  <c r="AN33" i="35"/>
  <c r="AM33" i="35"/>
  <c r="AL33" i="35"/>
  <c r="AK33" i="35"/>
  <c r="AJ33" i="35"/>
  <c r="AI33" i="35"/>
  <c r="AH33" i="35"/>
  <c r="AG33" i="35"/>
  <c r="N33" i="35"/>
  <c r="W33" i="35"/>
  <c r="I33" i="35"/>
  <c r="AR32" i="35"/>
  <c r="AQ32" i="35"/>
  <c r="AP32" i="35"/>
  <c r="AO32" i="35"/>
  <c r="AN32" i="35"/>
  <c r="AM32" i="35"/>
  <c r="AL32" i="35"/>
  <c r="AK32" i="35"/>
  <c r="AJ32" i="35"/>
  <c r="AI32" i="35"/>
  <c r="AH32" i="35"/>
  <c r="AG32" i="35"/>
  <c r="Q32" i="35" s="1"/>
  <c r="K32" i="35"/>
  <c r="W32" i="35"/>
  <c r="AR31" i="35"/>
  <c r="AQ31" i="35"/>
  <c r="AP31" i="35"/>
  <c r="AO31" i="35"/>
  <c r="AN31" i="35"/>
  <c r="AM31" i="35"/>
  <c r="AL31" i="35"/>
  <c r="AK31" i="35"/>
  <c r="AJ31" i="35"/>
  <c r="AI31" i="35"/>
  <c r="AH31" i="35"/>
  <c r="AG31" i="35"/>
  <c r="Q31" i="35" s="1"/>
  <c r="W31" i="35"/>
  <c r="AR30" i="35"/>
  <c r="AQ30" i="35"/>
  <c r="AP30" i="35"/>
  <c r="AO30" i="35"/>
  <c r="AN30" i="35"/>
  <c r="AM30" i="35"/>
  <c r="AL30" i="35"/>
  <c r="AK30" i="35"/>
  <c r="AJ30" i="35"/>
  <c r="AI30" i="35"/>
  <c r="AH30" i="35"/>
  <c r="AG30" i="35"/>
  <c r="W30" i="35"/>
  <c r="J30" i="35" s="1"/>
  <c r="AR29" i="35"/>
  <c r="AQ29" i="35"/>
  <c r="AP29" i="35"/>
  <c r="AO29" i="35"/>
  <c r="AN29" i="35"/>
  <c r="AM29" i="35"/>
  <c r="AL29" i="35"/>
  <c r="AK29" i="35"/>
  <c r="AJ29" i="35"/>
  <c r="AI29" i="35"/>
  <c r="AH29" i="35"/>
  <c r="AG29" i="35"/>
  <c r="Q29" i="35" s="1"/>
  <c r="N29" i="35"/>
  <c r="W29" i="35"/>
  <c r="AR28" i="35"/>
  <c r="AQ28" i="35"/>
  <c r="AP28" i="35"/>
  <c r="AO28" i="35"/>
  <c r="AN28" i="35"/>
  <c r="AM28" i="35"/>
  <c r="AL28" i="35"/>
  <c r="AK28" i="35"/>
  <c r="AJ28" i="35"/>
  <c r="AI28" i="35"/>
  <c r="AH28" i="35"/>
  <c r="AG28" i="35"/>
  <c r="Q28" i="35" s="1"/>
  <c r="W28" i="35"/>
  <c r="AR27" i="35"/>
  <c r="AQ27" i="35"/>
  <c r="AP27" i="35"/>
  <c r="AO27" i="35"/>
  <c r="AN27" i="35"/>
  <c r="AM27" i="35"/>
  <c r="AL27" i="35"/>
  <c r="AK27" i="35"/>
  <c r="AJ27" i="35"/>
  <c r="AI27" i="35"/>
  <c r="AH27" i="35"/>
  <c r="AG27" i="35"/>
  <c r="M27" i="35"/>
  <c r="W27" i="35"/>
  <c r="AR26" i="35"/>
  <c r="AQ26" i="35"/>
  <c r="AP26" i="35"/>
  <c r="AO26" i="35"/>
  <c r="AN26" i="35"/>
  <c r="AM26" i="35"/>
  <c r="AL26" i="35"/>
  <c r="AK26" i="35"/>
  <c r="AJ26" i="35"/>
  <c r="AI26" i="35"/>
  <c r="AH26" i="35"/>
  <c r="AG26" i="35"/>
  <c r="Q26" i="35" s="1"/>
  <c r="L26" i="35"/>
  <c r="W26" i="35"/>
  <c r="J26" i="35" s="1"/>
  <c r="AR25" i="35"/>
  <c r="AQ25" i="35"/>
  <c r="AP25" i="35"/>
  <c r="AO25" i="35"/>
  <c r="AN25" i="35"/>
  <c r="AM25" i="35"/>
  <c r="AL25" i="35"/>
  <c r="AK25" i="35"/>
  <c r="AJ25" i="35"/>
  <c r="AI25" i="35"/>
  <c r="AH25" i="35"/>
  <c r="AG25" i="35"/>
  <c r="N25" i="35"/>
  <c r="W25" i="35"/>
  <c r="AR24" i="35"/>
  <c r="AQ24" i="35"/>
  <c r="AP24" i="35"/>
  <c r="AO24" i="35"/>
  <c r="AN24" i="35"/>
  <c r="AM24" i="35"/>
  <c r="AL24" i="35"/>
  <c r="AK24" i="35"/>
  <c r="AJ24" i="35"/>
  <c r="AI24" i="35"/>
  <c r="AH24" i="35"/>
  <c r="AG24" i="35"/>
  <c r="K24" i="35"/>
  <c r="W24" i="35"/>
  <c r="AR23" i="35"/>
  <c r="AQ23" i="35"/>
  <c r="AP23" i="35"/>
  <c r="AO23" i="35"/>
  <c r="AN23" i="35"/>
  <c r="AM23" i="35"/>
  <c r="AL23" i="35"/>
  <c r="AK23" i="35"/>
  <c r="AJ23" i="35"/>
  <c r="AI23" i="35"/>
  <c r="AH23" i="35"/>
  <c r="AG23" i="35"/>
  <c r="W23" i="35"/>
  <c r="AR22" i="35"/>
  <c r="AQ22" i="35"/>
  <c r="AP22" i="35"/>
  <c r="AO22" i="35"/>
  <c r="AN22" i="35"/>
  <c r="AM22" i="35"/>
  <c r="AL22" i="35"/>
  <c r="AK22" i="35"/>
  <c r="AJ22" i="35"/>
  <c r="AI22" i="35"/>
  <c r="AH22" i="35"/>
  <c r="AG22" i="35"/>
  <c r="Q22" i="35" s="1"/>
  <c r="L22" i="35"/>
  <c r="W22" i="35"/>
  <c r="J22" i="35" s="1"/>
  <c r="AR21" i="35"/>
  <c r="AQ21" i="35"/>
  <c r="AP21" i="35"/>
  <c r="AO21" i="35"/>
  <c r="AN21" i="35"/>
  <c r="AM21" i="35"/>
  <c r="AL21" i="35"/>
  <c r="AK21" i="35"/>
  <c r="AJ21" i="35"/>
  <c r="AI21" i="35"/>
  <c r="AH21" i="35"/>
  <c r="AG21" i="35"/>
  <c r="Q21" i="35" s="1"/>
  <c r="N21" i="35"/>
  <c r="W21" i="35"/>
  <c r="I21" i="35"/>
  <c r="AR20" i="35"/>
  <c r="AQ20" i="35"/>
  <c r="AP20" i="35"/>
  <c r="AO20" i="35"/>
  <c r="AN20" i="35"/>
  <c r="AM20" i="35"/>
  <c r="AL20" i="35"/>
  <c r="AK20" i="35"/>
  <c r="AJ20" i="35"/>
  <c r="AI20" i="35"/>
  <c r="AH20" i="35"/>
  <c r="AG20" i="35"/>
  <c r="Q20" i="35" s="1"/>
  <c r="W20" i="35"/>
  <c r="AR19" i="35"/>
  <c r="AQ19" i="35"/>
  <c r="AP19" i="35"/>
  <c r="AO19" i="35"/>
  <c r="AN19" i="35"/>
  <c r="AM19" i="35"/>
  <c r="AL19" i="35"/>
  <c r="AK19" i="35"/>
  <c r="AJ19" i="35"/>
  <c r="AI19" i="35"/>
  <c r="AH19" i="35"/>
  <c r="AG19" i="35"/>
  <c r="Q19" i="35" s="1"/>
  <c r="M19" i="35"/>
  <c r="W19" i="35"/>
  <c r="AR18" i="35"/>
  <c r="AQ18" i="35"/>
  <c r="AP18" i="35"/>
  <c r="AO18" i="35"/>
  <c r="AN18" i="35"/>
  <c r="AM18" i="35"/>
  <c r="AL18" i="35"/>
  <c r="AK18" i="35"/>
  <c r="AJ18" i="35"/>
  <c r="AI18" i="35"/>
  <c r="AH18" i="35"/>
  <c r="AG18" i="35"/>
  <c r="Q18" i="35" s="1"/>
  <c r="L18" i="35"/>
  <c r="W18" i="35"/>
  <c r="J18" i="35" s="1"/>
  <c r="AR17" i="35"/>
  <c r="AQ17" i="35"/>
  <c r="AP17" i="35"/>
  <c r="AO17" i="35"/>
  <c r="AN17" i="35"/>
  <c r="AM17" i="35"/>
  <c r="AL17" i="35"/>
  <c r="AK17" i="35"/>
  <c r="AJ17" i="35"/>
  <c r="AI17" i="35"/>
  <c r="AH17" i="35"/>
  <c r="AG17" i="35"/>
  <c r="Q17" i="35" s="1"/>
  <c r="N17" i="35"/>
  <c r="W17" i="35"/>
  <c r="I17" i="35"/>
  <c r="AR16" i="35"/>
  <c r="AQ16" i="35"/>
  <c r="AP16" i="35"/>
  <c r="AO16" i="35"/>
  <c r="AN16" i="35"/>
  <c r="AM16" i="35"/>
  <c r="AL16" i="35"/>
  <c r="AK16" i="35"/>
  <c r="AJ16" i="35"/>
  <c r="AI16" i="35"/>
  <c r="AH16" i="35"/>
  <c r="AG16" i="35"/>
  <c r="W16" i="35"/>
  <c r="AR15" i="35"/>
  <c r="AQ15" i="35"/>
  <c r="AP15" i="35"/>
  <c r="AO15" i="35"/>
  <c r="AN15" i="35"/>
  <c r="AM15" i="35"/>
  <c r="AL15" i="35"/>
  <c r="AK15" i="35"/>
  <c r="AJ15" i="35"/>
  <c r="AI15" i="35"/>
  <c r="AH15" i="35"/>
  <c r="AG15" i="35"/>
  <c r="Q15" i="35" s="1"/>
  <c r="W15" i="35"/>
  <c r="AR14" i="35"/>
  <c r="AQ14" i="35"/>
  <c r="AP14" i="35"/>
  <c r="AO14" i="35"/>
  <c r="AN14" i="35"/>
  <c r="AM14" i="35"/>
  <c r="AL14" i="35"/>
  <c r="AK14" i="35"/>
  <c r="AJ14" i="35"/>
  <c r="AI14" i="35"/>
  <c r="AH14" i="35"/>
  <c r="AG14" i="35"/>
  <c r="W14" i="35"/>
  <c r="J14" i="35" s="1"/>
  <c r="AR13" i="35"/>
  <c r="AQ13" i="35"/>
  <c r="AP13" i="35"/>
  <c r="AO13" i="35"/>
  <c r="AN13" i="35"/>
  <c r="AM13" i="35"/>
  <c r="AL13" i="35"/>
  <c r="AK13" i="35"/>
  <c r="AJ13" i="35"/>
  <c r="AI13" i="35"/>
  <c r="AH13" i="35"/>
  <c r="AG13" i="35"/>
  <c r="Q13" i="35" s="1"/>
  <c r="N13" i="35"/>
  <c r="W13" i="35"/>
  <c r="I13" i="35"/>
  <c r="AR12" i="35"/>
  <c r="AQ12" i="35"/>
  <c r="AP12" i="35"/>
  <c r="AO12" i="35"/>
  <c r="AN12" i="35"/>
  <c r="AM12" i="35"/>
  <c r="AL12" i="35"/>
  <c r="AK12" i="35"/>
  <c r="AJ12" i="35"/>
  <c r="AI12" i="35"/>
  <c r="AH12" i="35"/>
  <c r="AG12" i="35"/>
  <c r="W12" i="35"/>
  <c r="AR11" i="35"/>
  <c r="AQ11" i="35"/>
  <c r="AP11" i="35"/>
  <c r="AO11" i="35"/>
  <c r="AN11" i="35"/>
  <c r="AM11" i="35"/>
  <c r="AL11" i="35"/>
  <c r="AK11" i="35"/>
  <c r="AJ11" i="35"/>
  <c r="AI11" i="35"/>
  <c r="AH11" i="35"/>
  <c r="AG11" i="35"/>
  <c r="Q11" i="35" s="1"/>
  <c r="M11" i="35"/>
  <c r="W11" i="35"/>
  <c r="AR10" i="35"/>
  <c r="AQ10" i="35"/>
  <c r="AP10" i="35"/>
  <c r="AO10" i="35"/>
  <c r="AN10" i="35"/>
  <c r="AM10" i="35"/>
  <c r="AL10" i="35"/>
  <c r="AK10" i="35"/>
  <c r="AJ10" i="35"/>
  <c r="AI10" i="35"/>
  <c r="AH10" i="35"/>
  <c r="AG10" i="35"/>
  <c r="Q10" i="35" s="1"/>
  <c r="W10" i="35"/>
  <c r="J10" i="35"/>
  <c r="AR9" i="35"/>
  <c r="AQ9" i="35"/>
  <c r="AP9" i="35"/>
  <c r="AO9" i="35"/>
  <c r="AN9" i="35"/>
  <c r="AM9" i="35"/>
  <c r="AL9" i="35"/>
  <c r="AK9" i="35"/>
  <c r="AJ9" i="35"/>
  <c r="AI9" i="35"/>
  <c r="AH9" i="35"/>
  <c r="AG9" i="35"/>
  <c r="Q9" i="35" s="1"/>
  <c r="N9" i="35"/>
  <c r="W9" i="35"/>
  <c r="I9" i="35"/>
  <c r="AR8" i="35"/>
  <c r="AQ8" i="35"/>
  <c r="AP8" i="35"/>
  <c r="AM8" i="35"/>
  <c r="AK8" i="35"/>
  <c r="AJ8" i="35"/>
  <c r="C51" i="35"/>
  <c r="S47" i="35"/>
  <c r="S46" i="35"/>
  <c r="S45" i="35"/>
  <c r="S44" i="35"/>
  <c r="S43" i="35"/>
  <c r="S42" i="35"/>
  <c r="S41" i="35"/>
  <c r="S40" i="35"/>
  <c r="S39" i="35"/>
  <c r="S38" i="35"/>
  <c r="S37" i="35"/>
  <c r="S36" i="35"/>
  <c r="S35" i="35"/>
  <c r="S34" i="35"/>
  <c r="S33" i="35"/>
  <c r="S32" i="35"/>
  <c r="S31" i="35"/>
  <c r="S30" i="35"/>
  <c r="S29" i="35"/>
  <c r="S28" i="35"/>
  <c r="S27" i="35"/>
  <c r="S26" i="35"/>
  <c r="S25" i="35"/>
  <c r="S24" i="35"/>
  <c r="S23" i="35"/>
  <c r="S22" i="35"/>
  <c r="S21" i="35"/>
  <c r="S20" i="35"/>
  <c r="S19" i="35"/>
  <c r="S18" i="35"/>
  <c r="S17" i="35"/>
  <c r="S16" i="35"/>
  <c r="S15" i="35"/>
  <c r="S14" i="35"/>
  <c r="S13" i="35"/>
  <c r="S12" i="35"/>
  <c r="S11" i="35"/>
  <c r="S10" i="35"/>
  <c r="S9" i="35"/>
  <c r="AO8" i="35"/>
  <c r="AN8" i="35"/>
  <c r="AI8" i="35"/>
  <c r="AH8" i="35"/>
  <c r="S8" i="35"/>
  <c r="AU6" i="35"/>
  <c r="D4" i="35"/>
  <c r="AM6" i="35" s="1"/>
  <c r="AF3" i="35"/>
  <c r="R46" i="35" s="1"/>
  <c r="A1" i="35"/>
  <c r="AL8" i="35"/>
  <c r="AL6" i="35"/>
  <c r="AG8" i="35"/>
  <c r="Q8" i="35" s="1"/>
  <c r="AG6" i="35"/>
  <c r="I46" i="35"/>
  <c r="I38" i="35"/>
  <c r="I37" i="35"/>
  <c r="I34" i="35"/>
  <c r="I30" i="35"/>
  <c r="I25" i="35"/>
  <c r="I18" i="35"/>
  <c r="I14" i="35"/>
  <c r="I10" i="35"/>
  <c r="AL130" i="13"/>
  <c r="AK130" i="13"/>
  <c r="AJ130" i="13"/>
  <c r="AH130" i="13"/>
  <c r="AL129" i="13"/>
  <c r="AK129" i="13"/>
  <c r="AJ129" i="13"/>
  <c r="AH129" i="13"/>
  <c r="AL128" i="13"/>
  <c r="AM129" i="13" s="1"/>
  <c r="AN129" i="13" s="1"/>
  <c r="AK128" i="13"/>
  <c r="AJ128" i="13"/>
  <c r="AH128" i="13"/>
  <c r="AL127" i="13"/>
  <c r="AM128" i="13" s="1"/>
  <c r="AN128" i="13" s="1"/>
  <c r="AK127" i="13"/>
  <c r="AJ127" i="13"/>
  <c r="AH127" i="13"/>
  <c r="AL126" i="13"/>
  <c r="AK126" i="13"/>
  <c r="AJ126" i="13"/>
  <c r="AH126" i="13"/>
  <c r="AL125" i="13"/>
  <c r="AM126" i="13" s="1"/>
  <c r="AN126" i="13" s="1"/>
  <c r="AK125" i="13"/>
  <c r="AJ125" i="13"/>
  <c r="AH125" i="13"/>
  <c r="AL124" i="13"/>
  <c r="AM125" i="13" s="1"/>
  <c r="AN125" i="13" s="1"/>
  <c r="AK124" i="13"/>
  <c r="AJ124" i="13"/>
  <c r="AH124" i="13"/>
  <c r="AL123" i="13"/>
  <c r="AM124" i="13" s="1"/>
  <c r="AN124" i="13" s="1"/>
  <c r="AK123" i="13"/>
  <c r="AJ123" i="13"/>
  <c r="AH123" i="13"/>
  <c r="AL122" i="13"/>
  <c r="AK122" i="13"/>
  <c r="AJ122" i="13"/>
  <c r="AH122" i="13"/>
  <c r="AL121" i="13"/>
  <c r="AK121" i="13"/>
  <c r="AJ121" i="13"/>
  <c r="AH121" i="13"/>
  <c r="AL120" i="13"/>
  <c r="AK120" i="13"/>
  <c r="AJ120" i="13"/>
  <c r="AH120" i="13"/>
  <c r="AL119" i="13"/>
  <c r="AK119" i="13"/>
  <c r="AJ119" i="13"/>
  <c r="AH119" i="13"/>
  <c r="AL118" i="13"/>
  <c r="AM119" i="13" s="1"/>
  <c r="AN119" i="13" s="1"/>
  <c r="AK118" i="13"/>
  <c r="AJ118" i="13"/>
  <c r="AH118" i="13"/>
  <c r="AL117" i="13"/>
  <c r="AK117" i="13"/>
  <c r="AJ117" i="13"/>
  <c r="AH117" i="13"/>
  <c r="AL116" i="13"/>
  <c r="AM117" i="13" s="1"/>
  <c r="AN117" i="13" s="1"/>
  <c r="AK116" i="13"/>
  <c r="AJ116" i="13"/>
  <c r="AH116" i="13"/>
  <c r="AL115" i="13"/>
  <c r="AK115" i="13"/>
  <c r="AJ115" i="13"/>
  <c r="AH115" i="13"/>
  <c r="AL114" i="13"/>
  <c r="AK114" i="13"/>
  <c r="AJ114" i="13"/>
  <c r="AH114" i="13"/>
  <c r="AL113" i="13"/>
  <c r="AK113" i="13"/>
  <c r="AJ113" i="13"/>
  <c r="AH113" i="13"/>
  <c r="AL112" i="13"/>
  <c r="AK112" i="13"/>
  <c r="AJ112" i="13"/>
  <c r="AH112" i="13"/>
  <c r="AL111" i="13"/>
  <c r="AK111" i="13"/>
  <c r="AJ111" i="13"/>
  <c r="AH111" i="13"/>
  <c r="AL110" i="13"/>
  <c r="AK110" i="13"/>
  <c r="AJ110" i="13"/>
  <c r="AH110" i="13"/>
  <c r="AL109" i="13"/>
  <c r="AK109" i="13"/>
  <c r="AJ109" i="13"/>
  <c r="AH109" i="13"/>
  <c r="AL108" i="13"/>
  <c r="AK108" i="13"/>
  <c r="AJ108" i="13"/>
  <c r="AH108" i="13"/>
  <c r="AL107" i="13"/>
  <c r="AM108" i="13" s="1"/>
  <c r="AN108" i="13" s="1"/>
  <c r="AK107" i="13"/>
  <c r="AJ107" i="13"/>
  <c r="AH107" i="13"/>
  <c r="AL106" i="13"/>
  <c r="AK106" i="13"/>
  <c r="AJ106" i="13"/>
  <c r="AH106" i="13"/>
  <c r="AL105" i="13"/>
  <c r="AK105" i="13"/>
  <c r="AJ105" i="13"/>
  <c r="AH105" i="13"/>
  <c r="AL104" i="13"/>
  <c r="AK104" i="13"/>
  <c r="AJ104" i="13"/>
  <c r="AH104" i="13"/>
  <c r="AL103" i="13"/>
  <c r="AK103" i="13"/>
  <c r="AJ103" i="13"/>
  <c r="AH103" i="13"/>
  <c r="AL102" i="13"/>
  <c r="AM103" i="13" s="1"/>
  <c r="AN103" i="13" s="1"/>
  <c r="AK102" i="13"/>
  <c r="AJ102" i="13"/>
  <c r="AH102" i="13"/>
  <c r="AL101" i="13"/>
  <c r="AM102" i="13" s="1"/>
  <c r="AN102" i="13" s="1"/>
  <c r="AK101" i="13"/>
  <c r="AJ101" i="13"/>
  <c r="AH101" i="13"/>
  <c r="AL100" i="13"/>
  <c r="AM101" i="13" s="1"/>
  <c r="AN101" i="13" s="1"/>
  <c r="AK100" i="13"/>
  <c r="AJ100" i="13"/>
  <c r="AH100" i="13"/>
  <c r="AL99" i="13"/>
  <c r="AM100" i="13" s="1"/>
  <c r="AN100" i="13" s="1"/>
  <c r="AK99" i="13"/>
  <c r="AJ99" i="13"/>
  <c r="AH99" i="13"/>
  <c r="AL98" i="13"/>
  <c r="AK98" i="13"/>
  <c r="AJ98" i="13"/>
  <c r="AH98" i="13"/>
  <c r="AL97" i="13"/>
  <c r="AM98" i="13" s="1"/>
  <c r="AN98" i="13" s="1"/>
  <c r="AK97" i="13"/>
  <c r="AJ97" i="13"/>
  <c r="AH97" i="13"/>
  <c r="AL96" i="13"/>
  <c r="AM97" i="13" s="1"/>
  <c r="AN97" i="13" s="1"/>
  <c r="AK96" i="13"/>
  <c r="AJ96" i="13"/>
  <c r="AH96" i="13"/>
  <c r="AL95" i="13"/>
  <c r="AM96" i="13" s="1"/>
  <c r="AN96" i="13" s="1"/>
  <c r="AK95" i="13"/>
  <c r="AJ95" i="13"/>
  <c r="AH95" i="13"/>
  <c r="AL94" i="13"/>
  <c r="AM95" i="13" s="1"/>
  <c r="AN95" i="13" s="1"/>
  <c r="AK94" i="13"/>
  <c r="AJ94" i="13"/>
  <c r="AH94" i="13"/>
  <c r="AL93" i="13"/>
  <c r="AM94" i="13" s="1"/>
  <c r="AN94" i="13" s="1"/>
  <c r="AK93" i="13"/>
  <c r="AJ93" i="13"/>
  <c r="AH93" i="13"/>
  <c r="AL92" i="13"/>
  <c r="AM93" i="13" s="1"/>
  <c r="AN93" i="13" s="1"/>
  <c r="AK92" i="13"/>
  <c r="AJ92" i="13"/>
  <c r="AH92" i="13"/>
  <c r="AL91" i="13"/>
  <c r="AM92" i="13" s="1"/>
  <c r="AN92" i="13" s="1"/>
  <c r="AK91" i="13"/>
  <c r="AJ91" i="13"/>
  <c r="AH91" i="13"/>
  <c r="AL90" i="13"/>
  <c r="AM91" i="13" s="1"/>
  <c r="AN91" i="13" s="1"/>
  <c r="AK90" i="13"/>
  <c r="AH90" i="13"/>
  <c r="P42" i="15"/>
  <c r="P41" i="15"/>
  <c r="P40" i="15"/>
  <c r="P39" i="15"/>
  <c r="P38" i="15"/>
  <c r="P37" i="15"/>
  <c r="P36" i="15"/>
  <c r="P35" i="15"/>
  <c r="P34" i="15"/>
  <c r="P33" i="15"/>
  <c r="P32" i="15"/>
  <c r="P31" i="15"/>
  <c r="P30" i="15"/>
  <c r="P29" i="15"/>
  <c r="P28" i="15"/>
  <c r="P27" i="15"/>
  <c r="P26" i="15"/>
  <c r="P25" i="15"/>
  <c r="P24" i="15"/>
  <c r="P23" i="15"/>
  <c r="P22" i="15"/>
  <c r="P21" i="15"/>
  <c r="P20" i="15"/>
  <c r="P19" i="15"/>
  <c r="P18" i="15"/>
  <c r="P17" i="15"/>
  <c r="P16" i="15"/>
  <c r="P15" i="15"/>
  <c r="P14" i="15"/>
  <c r="P13" i="15"/>
  <c r="P12" i="15"/>
  <c r="P11" i="15"/>
  <c r="P10" i="15"/>
  <c r="P9" i="15"/>
  <c r="P8" i="15"/>
  <c r="P7" i="15"/>
  <c r="P6" i="15"/>
  <c r="P5" i="15"/>
  <c r="N121" i="30"/>
  <c r="P120" i="30"/>
  <c r="P117" i="30"/>
  <c r="F120" i="30"/>
  <c r="B120" i="30"/>
  <c r="AL46" i="13"/>
  <c r="AK46" i="13"/>
  <c r="AL45" i="13"/>
  <c r="AK45" i="13"/>
  <c r="AL44" i="13"/>
  <c r="AK44" i="13"/>
  <c r="AL43" i="13"/>
  <c r="AK43" i="13"/>
  <c r="AL42" i="13"/>
  <c r="AK42" i="13"/>
  <c r="AL41" i="13"/>
  <c r="AK41" i="13"/>
  <c r="AL40" i="13"/>
  <c r="AK40" i="13"/>
  <c r="AL39" i="13"/>
  <c r="AK39" i="13"/>
  <c r="AL38" i="13"/>
  <c r="AK38" i="13"/>
  <c r="AL37" i="13"/>
  <c r="AM37" i="13" s="1"/>
  <c r="AK37" i="13"/>
  <c r="AL34" i="13"/>
  <c r="AK34" i="13"/>
  <c r="AL33" i="13"/>
  <c r="AK33" i="13"/>
  <c r="AL32" i="13"/>
  <c r="AK32" i="13"/>
  <c r="AL31" i="13"/>
  <c r="AK31" i="13"/>
  <c r="AL30" i="13"/>
  <c r="AK30" i="13"/>
  <c r="AL29" i="13"/>
  <c r="AK29" i="13"/>
  <c r="AL28" i="13"/>
  <c r="AK28" i="13"/>
  <c r="AL27" i="13"/>
  <c r="AK27" i="13"/>
  <c r="AL26" i="13"/>
  <c r="AK26" i="13"/>
  <c r="AL25" i="13"/>
  <c r="AK25" i="13"/>
  <c r="AL24" i="13"/>
  <c r="AK24" i="13"/>
  <c r="AL23" i="13"/>
  <c r="AK23" i="13"/>
  <c r="AL22" i="13"/>
  <c r="AK22" i="13"/>
  <c r="AL21" i="13"/>
  <c r="AK21" i="13"/>
  <c r="AL20" i="13"/>
  <c r="AK20" i="13"/>
  <c r="AL19" i="13"/>
  <c r="AK19" i="13"/>
  <c r="AL18" i="13"/>
  <c r="AK18" i="13"/>
  <c r="AL17" i="13"/>
  <c r="AK17" i="13"/>
  <c r="AL16" i="13"/>
  <c r="AK16" i="13"/>
  <c r="AL15" i="13"/>
  <c r="AK15" i="13"/>
  <c r="AL14" i="13"/>
  <c r="AK14" i="13"/>
  <c r="AL13" i="13"/>
  <c r="AK13" i="13"/>
  <c r="AL12" i="13"/>
  <c r="AK12" i="13"/>
  <c r="AL11" i="13"/>
  <c r="AK11" i="13"/>
  <c r="AL10" i="13"/>
  <c r="AK10" i="13"/>
  <c r="AL9" i="13"/>
  <c r="AK9" i="13"/>
  <c r="AL8" i="13"/>
  <c r="AK8" i="13"/>
  <c r="AL7" i="13"/>
  <c r="AK7" i="13"/>
  <c r="AL6" i="13"/>
  <c r="AK6" i="13"/>
  <c r="B115" i="30"/>
  <c r="B114" i="30"/>
  <c r="B113" i="30"/>
  <c r="B112" i="30"/>
  <c r="B111" i="30"/>
  <c r="B110" i="30"/>
  <c r="B109" i="30"/>
  <c r="B106" i="30"/>
  <c r="B105" i="30"/>
  <c r="B104" i="30"/>
  <c r="B16" i="30"/>
  <c r="B7" i="30"/>
  <c r="L3" i="16"/>
  <c r="C39" i="31"/>
  <c r="J33" i="24"/>
  <c r="I33" i="24"/>
  <c r="I34" i="24"/>
  <c r="F124" i="30"/>
  <c r="B124" i="30" s="1"/>
  <c r="B33" i="24"/>
  <c r="B39" i="24"/>
  <c r="AA46" i="13"/>
  <c r="AA45" i="13"/>
  <c r="AA44" i="13"/>
  <c r="AA43" i="13"/>
  <c r="AA42" i="13"/>
  <c r="AA41" i="13"/>
  <c r="AA40" i="13"/>
  <c r="AA39" i="13"/>
  <c r="AA38" i="13"/>
  <c r="AA37" i="13"/>
  <c r="AA34" i="13"/>
  <c r="AA33" i="13"/>
  <c r="AA32" i="13"/>
  <c r="AA31" i="13"/>
  <c r="AA30" i="13"/>
  <c r="AA29" i="13"/>
  <c r="AA28" i="13"/>
  <c r="AA27" i="13"/>
  <c r="AA26" i="13"/>
  <c r="AA25" i="13"/>
  <c r="AA24" i="13"/>
  <c r="AA23" i="13"/>
  <c r="AA22" i="13"/>
  <c r="AA21" i="13"/>
  <c r="AA20" i="13"/>
  <c r="AA19" i="13"/>
  <c r="AA18" i="13"/>
  <c r="AA17" i="13"/>
  <c r="AA16" i="13"/>
  <c r="AA15" i="13"/>
  <c r="AA14" i="13"/>
  <c r="AA13" i="13"/>
  <c r="AA12" i="13"/>
  <c r="AA11" i="13"/>
  <c r="AA10" i="13"/>
  <c r="AA9" i="13"/>
  <c r="AA8" i="13"/>
  <c r="AA7" i="13"/>
  <c r="W24" i="16"/>
  <c r="W23" i="16"/>
  <c r="W22" i="16"/>
  <c r="W25" i="16" s="1"/>
  <c r="W26" i="16" s="1"/>
  <c r="W16" i="16"/>
  <c r="W15" i="16"/>
  <c r="W14" i="16"/>
  <c r="W7" i="16"/>
  <c r="W6" i="16"/>
  <c r="W5" i="16"/>
  <c r="W4" i="16"/>
  <c r="Q24" i="16"/>
  <c r="Q23" i="16"/>
  <c r="Q22" i="16"/>
  <c r="Q16" i="16"/>
  <c r="Q15" i="16"/>
  <c r="Q14" i="16"/>
  <c r="Q7" i="16"/>
  <c r="Q6" i="16"/>
  <c r="Q5" i="16"/>
  <c r="Q4" i="16"/>
  <c r="D36" i="31"/>
  <c r="F134" i="30" s="1"/>
  <c r="B134" i="30" s="1"/>
  <c r="F115" i="30"/>
  <c r="F114" i="30"/>
  <c r="F113" i="30"/>
  <c r="F112" i="30"/>
  <c r="F111" i="30"/>
  <c r="F110" i="30"/>
  <c r="F109" i="30"/>
  <c r="F106" i="30"/>
  <c r="F105" i="30"/>
  <c r="F104" i="30"/>
  <c r="C48" i="38"/>
  <c r="B15" i="35"/>
  <c r="L42" i="15"/>
  <c r="L41" i="15"/>
  <c r="L40" i="15"/>
  <c r="L39" i="15"/>
  <c r="L38" i="15"/>
  <c r="L37" i="15"/>
  <c r="L36" i="15"/>
  <c r="L35" i="15"/>
  <c r="L34" i="15"/>
  <c r="L33" i="15"/>
  <c r="L32" i="15"/>
  <c r="L31" i="15"/>
  <c r="L30" i="15"/>
  <c r="L29" i="15"/>
  <c r="L28" i="15"/>
  <c r="L27" i="15"/>
  <c r="L26" i="15"/>
  <c r="L25" i="15"/>
  <c r="L24" i="15"/>
  <c r="L23" i="15"/>
  <c r="L22" i="15"/>
  <c r="L21" i="15"/>
  <c r="L20" i="15"/>
  <c r="L19" i="15"/>
  <c r="L18" i="15"/>
  <c r="L17" i="15"/>
  <c r="L16" i="15"/>
  <c r="L15" i="15"/>
  <c r="L14" i="15"/>
  <c r="L13" i="15"/>
  <c r="L12" i="15"/>
  <c r="L11" i="15"/>
  <c r="L10" i="15"/>
  <c r="L9" i="15"/>
  <c r="L8" i="15"/>
  <c r="L7" i="15"/>
  <c r="L6" i="15"/>
  <c r="L5" i="15"/>
  <c r="N145" i="30"/>
  <c r="N144" i="30"/>
  <c r="N143" i="30"/>
  <c r="M145" i="30"/>
  <c r="M144" i="30"/>
  <c r="M143" i="30"/>
  <c r="L145" i="30"/>
  <c r="L144" i="30"/>
  <c r="L143" i="30"/>
  <c r="K145" i="30"/>
  <c r="K144" i="30"/>
  <c r="K143" i="30"/>
  <c r="M51" i="30"/>
  <c r="L51" i="30"/>
  <c r="F51" i="30" s="1"/>
  <c r="B51" i="30" s="1"/>
  <c r="K51" i="30"/>
  <c r="M38" i="30"/>
  <c r="L38" i="30"/>
  <c r="K38" i="30"/>
  <c r="V44" i="34"/>
  <c r="V35" i="34"/>
  <c r="V27" i="34"/>
  <c r="V23" i="34"/>
  <c r="S19" i="34"/>
  <c r="V15" i="34"/>
  <c r="S11" i="34"/>
  <c r="L66" i="34"/>
  <c r="R2" i="34" s="1"/>
  <c r="L67" i="34"/>
  <c r="S2" i="34" s="1"/>
  <c r="S7" i="34" s="1"/>
  <c r="P2" i="34"/>
  <c r="F145" i="30"/>
  <c r="B145" i="30" s="1"/>
  <c r="F144" i="30"/>
  <c r="B144" i="30" s="1"/>
  <c r="F143" i="30"/>
  <c r="B143" i="30" s="1"/>
  <c r="D27" i="30"/>
  <c r="C27" i="30" s="1"/>
  <c r="G25" i="30"/>
  <c r="G27" i="30"/>
  <c r="G54" i="33"/>
  <c r="G55" i="33"/>
  <c r="D25" i="30"/>
  <c r="C25" i="30" s="1"/>
  <c r="T98" i="21"/>
  <c r="S98" i="21"/>
  <c r="T97" i="21"/>
  <c r="S97" i="21"/>
  <c r="T96" i="21"/>
  <c r="S96" i="21"/>
  <c r="T95" i="21"/>
  <c r="S95" i="21"/>
  <c r="T94" i="21"/>
  <c r="S94" i="21"/>
  <c r="T93" i="21"/>
  <c r="S93" i="21"/>
  <c r="T92" i="21"/>
  <c r="S92" i="21"/>
  <c r="T91" i="21"/>
  <c r="S91" i="21"/>
  <c r="T90" i="21"/>
  <c r="S90" i="21"/>
  <c r="T89" i="21"/>
  <c r="S89" i="21"/>
  <c r="T88" i="21"/>
  <c r="S88" i="21"/>
  <c r="T87" i="21"/>
  <c r="S87" i="21"/>
  <c r="T86" i="21"/>
  <c r="S86" i="21"/>
  <c r="T85" i="21"/>
  <c r="S85" i="21"/>
  <c r="T84" i="21"/>
  <c r="S84" i="21"/>
  <c r="T83" i="21"/>
  <c r="S83" i="21"/>
  <c r="T82" i="21"/>
  <c r="S82" i="21"/>
  <c r="T81" i="21"/>
  <c r="S81" i="21"/>
  <c r="T80" i="21"/>
  <c r="S80" i="21"/>
  <c r="T79" i="21"/>
  <c r="S79" i="21"/>
  <c r="T78" i="21"/>
  <c r="S78" i="21"/>
  <c r="T77" i="21"/>
  <c r="S77" i="21"/>
  <c r="T76" i="21"/>
  <c r="S76" i="21"/>
  <c r="N98" i="21"/>
  <c r="C27" i="21" s="1"/>
  <c r="M98" i="21"/>
  <c r="N97" i="21"/>
  <c r="M97" i="21"/>
  <c r="N96" i="21"/>
  <c r="C25" i="21"/>
  <c r="M96" i="21"/>
  <c r="N95" i="21"/>
  <c r="M95" i="21"/>
  <c r="N94" i="21"/>
  <c r="C23" i="21" s="1"/>
  <c r="M94" i="21"/>
  <c r="N93" i="21"/>
  <c r="M93" i="21"/>
  <c r="N92" i="21"/>
  <c r="M92" i="21"/>
  <c r="N91" i="21"/>
  <c r="M91" i="21"/>
  <c r="N90" i="21"/>
  <c r="C19" i="21"/>
  <c r="M90" i="21"/>
  <c r="N89" i="21"/>
  <c r="M89" i="21"/>
  <c r="N88" i="21"/>
  <c r="C17" i="21" s="1"/>
  <c r="M88" i="21"/>
  <c r="N87" i="21"/>
  <c r="M87" i="21"/>
  <c r="N86" i="21"/>
  <c r="M86" i="21"/>
  <c r="N85" i="21"/>
  <c r="M85" i="21"/>
  <c r="N84" i="21"/>
  <c r="C13" i="21"/>
  <c r="M84" i="21"/>
  <c r="N83" i="21"/>
  <c r="M83" i="21"/>
  <c r="N82" i="21"/>
  <c r="C11" i="21" s="1"/>
  <c r="M82" i="21"/>
  <c r="N81" i="21"/>
  <c r="M81" i="21"/>
  <c r="N80" i="21"/>
  <c r="C9" i="21"/>
  <c r="M80" i="21"/>
  <c r="N79" i="21"/>
  <c r="M79" i="21"/>
  <c r="N78" i="21"/>
  <c r="C7" i="21" s="1"/>
  <c r="M78" i="21"/>
  <c r="N77" i="21"/>
  <c r="M77" i="21"/>
  <c r="N76" i="21"/>
  <c r="C5" i="21"/>
  <c r="M76" i="21"/>
  <c r="D141" i="30"/>
  <c r="D140" i="30"/>
  <c r="D139" i="30"/>
  <c r="G126" i="30"/>
  <c r="D126" i="30"/>
  <c r="C126" i="30" s="1"/>
  <c r="G125" i="30"/>
  <c r="D125" i="30"/>
  <c r="C125" i="30"/>
  <c r="G124" i="30"/>
  <c r="D124" i="30"/>
  <c r="C124" i="30" s="1"/>
  <c r="G123" i="30"/>
  <c r="D123" i="30"/>
  <c r="C123" i="30"/>
  <c r="G122" i="30"/>
  <c r="D122" i="30"/>
  <c r="C122" i="30" s="1"/>
  <c r="F121" i="30"/>
  <c r="B121" i="30" s="1"/>
  <c r="F118" i="30"/>
  <c r="B118" i="30" s="1"/>
  <c r="F117" i="30"/>
  <c r="B117" i="30" s="1"/>
  <c r="F116" i="30"/>
  <c r="B116" i="30" s="1"/>
  <c r="F108" i="30"/>
  <c r="B108" i="30" s="1"/>
  <c r="F107" i="30"/>
  <c r="B107" i="30" s="1"/>
  <c r="B13" i="30"/>
  <c r="F103" i="30"/>
  <c r="B103" i="30"/>
  <c r="G102" i="30"/>
  <c r="E102" i="30"/>
  <c r="D102" i="30"/>
  <c r="G101" i="30"/>
  <c r="E101" i="30"/>
  <c r="D101" i="30"/>
  <c r="G100" i="30"/>
  <c r="E100" i="30"/>
  <c r="D100" i="30"/>
  <c r="G99" i="30"/>
  <c r="E99" i="30"/>
  <c r="D99" i="30"/>
  <c r="G98" i="30"/>
  <c r="E98" i="30"/>
  <c r="D98" i="30"/>
  <c r="G97" i="30"/>
  <c r="E97" i="30"/>
  <c r="D97" i="30"/>
  <c r="G96" i="30"/>
  <c r="E96" i="30"/>
  <c r="D96" i="30"/>
  <c r="C96" i="30"/>
  <c r="G95" i="30"/>
  <c r="E95" i="30"/>
  <c r="D95" i="30"/>
  <c r="C95" i="30"/>
  <c r="G94" i="30"/>
  <c r="E94" i="30"/>
  <c r="D94" i="30"/>
  <c r="C94" i="30"/>
  <c r="G93" i="30"/>
  <c r="G92" i="30"/>
  <c r="G91" i="30"/>
  <c r="E93" i="30"/>
  <c r="D93" i="30"/>
  <c r="C93" i="30"/>
  <c r="E92" i="30"/>
  <c r="D92" i="30"/>
  <c r="C92" i="30" s="1"/>
  <c r="E91" i="30"/>
  <c r="D91" i="30"/>
  <c r="C91" i="30"/>
  <c r="L71" i="34"/>
  <c r="W2" i="34"/>
  <c r="L70" i="34"/>
  <c r="V2" i="34"/>
  <c r="V39" i="34" s="1"/>
  <c r="L69" i="34"/>
  <c r="U2" i="34"/>
  <c r="U44" i="34" s="1"/>
  <c r="L68" i="34"/>
  <c r="T2" i="34"/>
  <c r="T18" i="34" s="1"/>
  <c r="L65" i="34"/>
  <c r="Q2" i="34" s="1"/>
  <c r="L64" i="34"/>
  <c r="L63" i="34"/>
  <c r="O2" i="34" s="1"/>
  <c r="L62" i="34"/>
  <c r="N2" i="34" s="1"/>
  <c r="L61" i="34"/>
  <c r="M2" i="34" s="1"/>
  <c r="L60" i="34"/>
  <c r="L2" i="34" s="1"/>
  <c r="L59" i="34"/>
  <c r="C53" i="34"/>
  <c r="C52" i="34"/>
  <c r="C51" i="34"/>
  <c r="C48" i="34"/>
  <c r="C50" i="34"/>
  <c r="C49" i="34"/>
  <c r="C87" i="30"/>
  <c r="F87" i="30"/>
  <c r="B87" i="30"/>
  <c r="D87" i="30"/>
  <c r="F84" i="30"/>
  <c r="B84" i="30" s="1"/>
  <c r="F83" i="30"/>
  <c r="B85" i="30" s="1"/>
  <c r="F82" i="30"/>
  <c r="B82" i="30" s="1"/>
  <c r="E82" i="30"/>
  <c r="C81" i="30"/>
  <c r="D81" i="30"/>
  <c r="F81" i="30"/>
  <c r="B81" i="30"/>
  <c r="D79" i="30"/>
  <c r="D75" i="30"/>
  <c r="C75" i="30"/>
  <c r="B119" i="30"/>
  <c r="B65" i="30"/>
  <c r="D28" i="30"/>
  <c r="C28" i="30"/>
  <c r="G28" i="30"/>
  <c r="G64" i="30"/>
  <c r="G63" i="30"/>
  <c r="G62" i="30"/>
  <c r="G61" i="30"/>
  <c r="G60" i="30"/>
  <c r="G59" i="30"/>
  <c r="G58" i="30"/>
  <c r="G57" i="30"/>
  <c r="G56" i="30"/>
  <c r="D64" i="30"/>
  <c r="C64" i="30"/>
  <c r="D63" i="30"/>
  <c r="C63" i="30"/>
  <c r="D62" i="30"/>
  <c r="C62" i="30"/>
  <c r="D61" i="30"/>
  <c r="C61" i="30"/>
  <c r="D60" i="30"/>
  <c r="C60" i="30"/>
  <c r="D59" i="30"/>
  <c r="C59" i="30"/>
  <c r="D58" i="30"/>
  <c r="C58" i="30"/>
  <c r="D57" i="30"/>
  <c r="C57" i="30"/>
  <c r="D56" i="30"/>
  <c r="C56" i="30"/>
  <c r="C55" i="30"/>
  <c r="D55" i="30"/>
  <c r="F53" i="30"/>
  <c r="B53" i="30" s="1"/>
  <c r="C53" i="30"/>
  <c r="D53" i="30"/>
  <c r="F52" i="30"/>
  <c r="B52" i="30" s="1"/>
  <c r="D52" i="30"/>
  <c r="F49" i="30"/>
  <c r="B49" i="30" s="1"/>
  <c r="D49" i="30"/>
  <c r="F45" i="30"/>
  <c r="B45" i="30" s="1"/>
  <c r="F44" i="30"/>
  <c r="H44" i="30" s="1"/>
  <c r="D45" i="30"/>
  <c r="D44" i="30"/>
  <c r="D43" i="30"/>
  <c r="D42" i="30"/>
  <c r="F41" i="30"/>
  <c r="B41" i="30" s="1"/>
  <c r="D37" i="30"/>
  <c r="D36" i="30"/>
  <c r="C38" i="30"/>
  <c r="D38" i="30"/>
  <c r="L138" i="13"/>
  <c r="L140" i="13"/>
  <c r="L56" i="13"/>
  <c r="L54" i="13"/>
  <c r="L89" i="13"/>
  <c r="L88" i="13"/>
  <c r="V88" i="13"/>
  <c r="V4" i="13"/>
  <c r="L5" i="13"/>
  <c r="L4" i="13"/>
  <c r="D35" i="30"/>
  <c r="D34" i="30"/>
  <c r="C35" i="30"/>
  <c r="C34" i="30"/>
  <c r="F4" i="30"/>
  <c r="E4" i="30"/>
  <c r="F3" i="30"/>
  <c r="E3" i="30"/>
  <c r="D4" i="30"/>
  <c r="C4" i="30"/>
  <c r="C3" i="30"/>
  <c r="D3" i="30"/>
  <c r="G1451" i="38"/>
  <c r="I1451" i="38"/>
  <c r="G1450" i="38"/>
  <c r="I1450" i="38"/>
  <c r="G1449" i="38"/>
  <c r="I1449" i="38"/>
  <c r="G1448" i="38"/>
  <c r="I1448" i="38"/>
  <c r="G1447" i="38"/>
  <c r="I1447" i="38"/>
  <c r="G1446" i="38"/>
  <c r="I1446" i="38"/>
  <c r="G1445" i="38"/>
  <c r="I1445" i="38"/>
  <c r="G1444" i="38"/>
  <c r="I1444" i="38"/>
  <c r="G1443" i="38"/>
  <c r="I1443" i="38"/>
  <c r="G1442" i="38"/>
  <c r="I1442" i="38"/>
  <c r="G1441" i="38"/>
  <c r="I1441" i="38"/>
  <c r="G1440" i="38"/>
  <c r="I1440" i="38"/>
  <c r="G1439" i="38"/>
  <c r="I1439" i="38"/>
  <c r="G1438" i="38"/>
  <c r="I1438" i="38"/>
  <c r="G1437" i="38"/>
  <c r="I1437" i="38"/>
  <c r="G1436" i="38"/>
  <c r="I1436" i="38"/>
  <c r="G1435" i="38"/>
  <c r="I1435" i="38"/>
  <c r="G1434" i="38"/>
  <c r="I1434" i="38"/>
  <c r="G1433" i="38"/>
  <c r="I1433" i="38"/>
  <c r="G1432" i="38"/>
  <c r="I1432" i="38"/>
  <c r="G1431" i="38"/>
  <c r="I1431" i="38"/>
  <c r="G1430" i="38"/>
  <c r="I1430" i="38"/>
  <c r="G1429" i="38"/>
  <c r="I1429" i="38"/>
  <c r="G1428" i="38"/>
  <c r="I1428" i="38"/>
  <c r="G1427" i="38"/>
  <c r="I1427" i="38"/>
  <c r="G1426" i="38"/>
  <c r="I1426" i="38"/>
  <c r="G1425" i="38"/>
  <c r="I1425" i="38"/>
  <c r="G1424" i="38"/>
  <c r="I1424" i="38"/>
  <c r="G1423" i="38"/>
  <c r="I1423" i="38"/>
  <c r="G1422" i="38"/>
  <c r="I1422" i="38"/>
  <c r="G1421" i="38"/>
  <c r="I1421" i="38"/>
  <c r="G1420" i="38"/>
  <c r="I1420" i="38"/>
  <c r="G1419" i="38"/>
  <c r="I1419" i="38"/>
  <c r="G1418" i="38"/>
  <c r="I1418" i="38"/>
  <c r="G1417" i="38"/>
  <c r="I1417" i="38"/>
  <c r="G1416" i="38"/>
  <c r="I1416" i="38"/>
  <c r="G1415" i="38"/>
  <c r="I1415" i="38"/>
  <c r="G1414" i="38"/>
  <c r="I1414" i="38"/>
  <c r="G1413" i="38"/>
  <c r="I1413" i="38"/>
  <c r="G1412" i="38"/>
  <c r="I1412" i="38"/>
  <c r="G1411" i="38"/>
  <c r="I1411" i="38"/>
  <c r="G1410" i="38"/>
  <c r="I1410" i="38"/>
  <c r="G1409" i="38"/>
  <c r="I1409" i="38"/>
  <c r="G1408" i="38"/>
  <c r="I1408" i="38"/>
  <c r="G1407" i="38"/>
  <c r="I1407" i="38"/>
  <c r="G1406" i="38"/>
  <c r="I1406" i="38"/>
  <c r="G1405" i="38"/>
  <c r="I1405" i="38"/>
  <c r="G1404" i="38"/>
  <c r="I1404" i="38"/>
  <c r="G1403" i="38"/>
  <c r="I1403" i="38"/>
  <c r="G1402" i="38"/>
  <c r="I1402" i="38"/>
  <c r="G1401" i="38"/>
  <c r="I1401" i="38"/>
  <c r="G1400" i="38"/>
  <c r="I1400" i="38"/>
  <c r="A1396" i="38"/>
  <c r="G1393" i="38"/>
  <c r="I1393" i="38" s="1"/>
  <c r="G1392" i="38"/>
  <c r="I1392" i="38" s="1"/>
  <c r="G1391" i="38"/>
  <c r="I1391" i="38" s="1"/>
  <c r="G1390" i="38"/>
  <c r="I1390" i="38" s="1"/>
  <c r="G1389" i="38"/>
  <c r="I1389" i="38" s="1"/>
  <c r="G1388" i="38"/>
  <c r="I1388" i="38" s="1"/>
  <c r="G1387" i="38"/>
  <c r="I1387" i="38" s="1"/>
  <c r="G1386" i="38"/>
  <c r="I1386" i="38" s="1"/>
  <c r="G1385" i="38"/>
  <c r="I1385" i="38" s="1"/>
  <c r="G1384" i="38"/>
  <c r="I1384" i="38" s="1"/>
  <c r="G1383" i="38"/>
  <c r="I1383" i="38" s="1"/>
  <c r="G1382" i="38"/>
  <c r="I1382" i="38" s="1"/>
  <c r="G1381" i="38"/>
  <c r="I1381" i="38" s="1"/>
  <c r="G1380" i="38"/>
  <c r="I1380" i="38" s="1"/>
  <c r="G1379" i="38"/>
  <c r="I1379" i="38" s="1"/>
  <c r="G1378" i="38"/>
  <c r="I1378" i="38" s="1"/>
  <c r="G1377" i="38"/>
  <c r="I1377" i="38" s="1"/>
  <c r="G1376" i="38"/>
  <c r="I1376" i="38" s="1"/>
  <c r="G1375" i="38"/>
  <c r="I1375" i="38" s="1"/>
  <c r="G1374" i="38"/>
  <c r="I1374" i="38" s="1"/>
  <c r="G1373" i="38"/>
  <c r="I1373" i="38" s="1"/>
  <c r="G1372" i="38"/>
  <c r="I1372" i="38" s="1"/>
  <c r="G1371" i="38"/>
  <c r="I1371" i="38" s="1"/>
  <c r="G1370" i="38"/>
  <c r="I1370" i="38" s="1"/>
  <c r="G1369" i="38"/>
  <c r="I1369" i="38" s="1"/>
  <c r="G1368" i="38"/>
  <c r="I1368" i="38" s="1"/>
  <c r="G1367" i="38"/>
  <c r="I1367" i="38" s="1"/>
  <c r="G1366" i="38"/>
  <c r="I1366" i="38" s="1"/>
  <c r="G1365" i="38"/>
  <c r="I1365" i="38" s="1"/>
  <c r="G1364" i="38"/>
  <c r="I1364" i="38" s="1"/>
  <c r="G1363" i="38"/>
  <c r="I1363" i="38" s="1"/>
  <c r="G1362" i="38"/>
  <c r="I1362" i="38" s="1"/>
  <c r="G1361" i="38"/>
  <c r="I1361" i="38" s="1"/>
  <c r="G1360" i="38"/>
  <c r="I1360" i="38" s="1"/>
  <c r="G1359" i="38"/>
  <c r="I1359" i="38" s="1"/>
  <c r="G1358" i="38"/>
  <c r="I1358" i="38" s="1"/>
  <c r="G1357" i="38"/>
  <c r="I1357" i="38" s="1"/>
  <c r="G1356" i="38"/>
  <c r="I1356" i="38" s="1"/>
  <c r="G1355" i="38"/>
  <c r="I1355" i="38" s="1"/>
  <c r="G1354" i="38"/>
  <c r="I1354" i="38" s="1"/>
  <c r="G1353" i="38"/>
  <c r="I1353" i="38" s="1"/>
  <c r="G1352" i="38"/>
  <c r="I1352" i="38" s="1"/>
  <c r="G1351" i="38"/>
  <c r="I1351" i="38" s="1"/>
  <c r="G1350" i="38"/>
  <c r="I1350" i="38" s="1"/>
  <c r="G1349" i="38"/>
  <c r="I1349" i="38" s="1"/>
  <c r="G1348" i="38"/>
  <c r="I1348" i="38" s="1"/>
  <c r="G1347" i="38"/>
  <c r="I1347" i="38" s="1"/>
  <c r="G1346" i="38"/>
  <c r="I1346" i="38" s="1"/>
  <c r="G1345" i="38"/>
  <c r="I1345" i="38" s="1"/>
  <c r="G1344" i="38"/>
  <c r="I1344" i="38" s="1"/>
  <c r="G1343" i="38"/>
  <c r="I1343" i="38" s="1"/>
  <c r="G1342" i="38"/>
  <c r="I1342" i="38" s="1"/>
  <c r="A1338" i="38"/>
  <c r="G1335" i="38"/>
  <c r="I1335" i="38"/>
  <c r="G1334" i="38"/>
  <c r="I1334" i="38"/>
  <c r="G1333" i="38"/>
  <c r="I1333" i="38"/>
  <c r="G1332" i="38"/>
  <c r="I1332" i="38"/>
  <c r="G1331" i="38"/>
  <c r="I1331" i="38"/>
  <c r="G1330" i="38"/>
  <c r="I1330" i="38"/>
  <c r="G1329" i="38"/>
  <c r="I1329" i="38"/>
  <c r="G1328" i="38"/>
  <c r="I1328" i="38"/>
  <c r="G1327" i="38"/>
  <c r="I1327" i="38"/>
  <c r="G1326" i="38"/>
  <c r="I1326" i="38"/>
  <c r="G1325" i="38"/>
  <c r="I1325" i="38"/>
  <c r="G1324" i="38"/>
  <c r="I1324" i="38"/>
  <c r="G1323" i="38"/>
  <c r="I1323" i="38"/>
  <c r="G1322" i="38"/>
  <c r="I1322" i="38"/>
  <c r="G1321" i="38"/>
  <c r="I1321" i="38"/>
  <c r="G1320" i="38"/>
  <c r="I1320" i="38"/>
  <c r="G1319" i="38"/>
  <c r="I1319" i="38"/>
  <c r="G1318" i="38"/>
  <c r="I1318" i="38"/>
  <c r="G1317" i="38"/>
  <c r="I1317" i="38"/>
  <c r="G1316" i="38"/>
  <c r="I1316" i="38"/>
  <c r="G1315" i="38"/>
  <c r="I1315" i="38"/>
  <c r="G1314" i="38"/>
  <c r="I1314" i="38"/>
  <c r="G1313" i="38"/>
  <c r="I1313" i="38"/>
  <c r="G1312" i="38"/>
  <c r="I1312" i="38"/>
  <c r="G1311" i="38"/>
  <c r="I1311" i="38"/>
  <c r="G1310" i="38"/>
  <c r="I1310" i="38"/>
  <c r="G1309" i="38"/>
  <c r="I1309" i="38"/>
  <c r="G1308" i="38"/>
  <c r="I1308" i="38"/>
  <c r="G1307" i="38"/>
  <c r="I1307" i="38"/>
  <c r="G1306" i="38"/>
  <c r="I1306" i="38"/>
  <c r="G1305" i="38"/>
  <c r="I1305" i="38"/>
  <c r="G1304" i="38"/>
  <c r="I1304" i="38"/>
  <c r="G1303" i="38"/>
  <c r="I1303" i="38"/>
  <c r="G1302" i="38"/>
  <c r="I1302" i="38"/>
  <c r="G1301" i="38"/>
  <c r="I1301" i="38"/>
  <c r="G1300" i="38"/>
  <c r="I1300" i="38"/>
  <c r="G1299" i="38"/>
  <c r="I1299" i="38"/>
  <c r="G1298" i="38"/>
  <c r="I1298" i="38"/>
  <c r="G1297" i="38"/>
  <c r="I1297" i="38"/>
  <c r="G1296" i="38"/>
  <c r="I1296" i="38"/>
  <c r="G1295" i="38"/>
  <c r="I1295" i="38"/>
  <c r="G1294" i="38"/>
  <c r="I1294" i="38"/>
  <c r="G1293" i="38"/>
  <c r="I1293" i="38"/>
  <c r="G1292" i="38"/>
  <c r="I1292" i="38"/>
  <c r="G1291" i="38"/>
  <c r="I1291" i="38"/>
  <c r="G1290" i="38"/>
  <c r="I1290" i="38"/>
  <c r="G1289" i="38"/>
  <c r="I1289" i="38"/>
  <c r="G1288" i="38"/>
  <c r="I1288" i="38"/>
  <c r="G1287" i="38"/>
  <c r="I1287" i="38"/>
  <c r="G1286" i="38"/>
  <c r="I1286" i="38"/>
  <c r="G1285" i="38"/>
  <c r="I1285" i="38"/>
  <c r="G1284" i="38"/>
  <c r="I1284" i="38"/>
  <c r="A1280" i="38"/>
  <c r="G1277" i="38"/>
  <c r="I1277" i="38" s="1"/>
  <c r="G1276" i="38"/>
  <c r="I1276" i="38"/>
  <c r="G1275" i="38"/>
  <c r="I1275" i="38" s="1"/>
  <c r="G1274" i="38"/>
  <c r="I1274" i="38" s="1"/>
  <c r="G1273" i="38"/>
  <c r="I1273" i="38" s="1"/>
  <c r="G1272" i="38"/>
  <c r="I1272" i="38"/>
  <c r="G1271" i="38"/>
  <c r="I1271" i="38" s="1"/>
  <c r="G1270" i="38"/>
  <c r="I1270" i="38" s="1"/>
  <c r="G1269" i="38"/>
  <c r="I1269" i="38" s="1"/>
  <c r="G1268" i="38"/>
  <c r="I1268" i="38"/>
  <c r="G1267" i="38"/>
  <c r="I1267" i="38" s="1"/>
  <c r="G1266" i="38"/>
  <c r="I1266" i="38" s="1"/>
  <c r="G1265" i="38"/>
  <c r="I1265" i="38" s="1"/>
  <c r="G1264" i="38"/>
  <c r="I1264" i="38"/>
  <c r="G1263" i="38"/>
  <c r="I1263" i="38" s="1"/>
  <c r="G1262" i="38"/>
  <c r="I1262" i="38" s="1"/>
  <c r="G1261" i="38"/>
  <c r="I1261" i="38" s="1"/>
  <c r="G1260" i="38"/>
  <c r="I1260" i="38" s="1"/>
  <c r="G1259" i="38"/>
  <c r="I1259" i="38" s="1"/>
  <c r="G1258" i="38"/>
  <c r="I1258" i="38" s="1"/>
  <c r="G1257" i="38"/>
  <c r="I1257" i="38" s="1"/>
  <c r="G1256" i="38"/>
  <c r="I1256" i="38" s="1"/>
  <c r="G1255" i="38"/>
  <c r="I1255" i="38" s="1"/>
  <c r="G1254" i="38"/>
  <c r="I1254" i="38" s="1"/>
  <c r="G1253" i="38"/>
  <c r="I1253" i="38" s="1"/>
  <c r="G1252" i="38"/>
  <c r="I1252" i="38" s="1"/>
  <c r="G1251" i="38"/>
  <c r="I1251" i="38" s="1"/>
  <c r="G1250" i="38"/>
  <c r="I1250" i="38" s="1"/>
  <c r="G1249" i="38"/>
  <c r="I1249" i="38" s="1"/>
  <c r="G1248" i="38"/>
  <c r="I1248" i="38" s="1"/>
  <c r="G1247" i="38"/>
  <c r="I1247" i="38" s="1"/>
  <c r="G1246" i="38"/>
  <c r="I1246" i="38" s="1"/>
  <c r="G1245" i="38"/>
  <c r="I1245" i="38" s="1"/>
  <c r="G1244" i="38"/>
  <c r="I1244" i="38" s="1"/>
  <c r="G1243" i="38"/>
  <c r="I1243" i="38" s="1"/>
  <c r="G1242" i="38"/>
  <c r="I1242" i="38" s="1"/>
  <c r="G1241" i="38"/>
  <c r="I1241" i="38" s="1"/>
  <c r="G1240" i="38"/>
  <c r="I1240" i="38" s="1"/>
  <c r="G1239" i="38"/>
  <c r="I1239" i="38" s="1"/>
  <c r="G1238" i="38"/>
  <c r="I1238" i="38" s="1"/>
  <c r="G1237" i="38"/>
  <c r="I1237" i="38" s="1"/>
  <c r="G1236" i="38"/>
  <c r="I1236" i="38" s="1"/>
  <c r="G1235" i="38"/>
  <c r="I1235" i="38" s="1"/>
  <c r="G1234" i="38"/>
  <c r="I1234" i="38" s="1"/>
  <c r="G1233" i="38"/>
  <c r="I1233" i="38" s="1"/>
  <c r="G1232" i="38"/>
  <c r="I1232" i="38" s="1"/>
  <c r="G1231" i="38"/>
  <c r="I1231" i="38" s="1"/>
  <c r="G1230" i="38"/>
  <c r="I1230" i="38" s="1"/>
  <c r="G1229" i="38"/>
  <c r="I1229" i="38" s="1"/>
  <c r="G1228" i="38"/>
  <c r="I1228" i="38" s="1"/>
  <c r="G1227" i="38"/>
  <c r="I1227" i="38" s="1"/>
  <c r="G1226" i="38"/>
  <c r="I1226" i="38" s="1"/>
  <c r="A1222" i="38"/>
  <c r="G1219" i="38"/>
  <c r="I1219" i="38"/>
  <c r="G1218" i="38"/>
  <c r="I1218" i="38"/>
  <c r="G1217" i="38"/>
  <c r="I1217" i="38"/>
  <c r="G1216" i="38"/>
  <c r="I1216" i="38"/>
  <c r="G1215" i="38"/>
  <c r="I1215" i="38"/>
  <c r="G1214" i="38"/>
  <c r="I1214" i="38"/>
  <c r="G1213" i="38"/>
  <c r="I1213" i="38"/>
  <c r="G1212" i="38"/>
  <c r="I1212" i="38"/>
  <c r="G1211" i="38"/>
  <c r="I1211" i="38"/>
  <c r="G1210" i="38"/>
  <c r="I1210" i="38"/>
  <c r="G1209" i="38"/>
  <c r="I1209" i="38"/>
  <c r="G1208" i="38"/>
  <c r="I1208" i="38"/>
  <c r="G1207" i="38"/>
  <c r="I1207" i="38"/>
  <c r="G1206" i="38"/>
  <c r="I1206" i="38"/>
  <c r="G1205" i="38"/>
  <c r="I1205" i="38"/>
  <c r="G1204" i="38"/>
  <c r="I1204" i="38"/>
  <c r="G1203" i="38"/>
  <c r="I1203" i="38"/>
  <c r="G1202" i="38"/>
  <c r="I1202" i="38"/>
  <c r="G1201" i="38"/>
  <c r="I1201" i="38"/>
  <c r="G1200" i="38"/>
  <c r="I1200" i="38"/>
  <c r="G1199" i="38"/>
  <c r="I1199" i="38"/>
  <c r="G1198" i="38"/>
  <c r="I1198" i="38"/>
  <c r="G1197" i="38"/>
  <c r="I1197" i="38"/>
  <c r="G1196" i="38"/>
  <c r="I1196" i="38"/>
  <c r="G1195" i="38"/>
  <c r="I1195" i="38"/>
  <c r="G1194" i="38"/>
  <c r="I1194" i="38"/>
  <c r="G1193" i="38"/>
  <c r="I1193" i="38"/>
  <c r="G1192" i="38"/>
  <c r="I1192" i="38"/>
  <c r="G1191" i="38"/>
  <c r="I1191" i="38"/>
  <c r="G1190" i="38"/>
  <c r="I1190" i="38"/>
  <c r="G1189" i="38"/>
  <c r="I1189" i="38"/>
  <c r="G1188" i="38"/>
  <c r="I1188" i="38"/>
  <c r="G1187" i="38"/>
  <c r="I1187" i="38"/>
  <c r="G1186" i="38"/>
  <c r="I1186" i="38"/>
  <c r="G1185" i="38"/>
  <c r="I1185" i="38"/>
  <c r="G1184" i="38"/>
  <c r="I1184" i="38"/>
  <c r="G1183" i="38"/>
  <c r="I1183" i="38"/>
  <c r="G1182" i="38"/>
  <c r="I1182" i="38"/>
  <c r="G1181" i="38"/>
  <c r="I1181" i="38"/>
  <c r="G1180" i="38"/>
  <c r="I1180" i="38"/>
  <c r="G1179" i="38"/>
  <c r="I1179" i="38"/>
  <c r="G1178" i="38"/>
  <c r="I1178" i="38"/>
  <c r="G1177" i="38"/>
  <c r="I1177" i="38"/>
  <c r="G1176" i="38"/>
  <c r="I1176" i="38"/>
  <c r="G1175" i="38"/>
  <c r="I1175" i="38"/>
  <c r="G1174" i="38"/>
  <c r="I1174" i="38"/>
  <c r="G1173" i="38"/>
  <c r="I1173" i="38"/>
  <c r="G1172" i="38"/>
  <c r="I1172" i="38"/>
  <c r="G1171" i="38"/>
  <c r="I1171" i="38"/>
  <c r="G1170" i="38"/>
  <c r="I1170" i="38"/>
  <c r="G1169" i="38"/>
  <c r="I1169" i="38"/>
  <c r="G1168" i="38"/>
  <c r="I1168" i="38"/>
  <c r="A1164" i="38"/>
  <c r="G1161" i="38"/>
  <c r="I1161" i="38" s="1"/>
  <c r="G1160" i="38"/>
  <c r="I1160" i="38" s="1"/>
  <c r="G1159" i="38"/>
  <c r="I1159" i="38" s="1"/>
  <c r="G1158" i="38"/>
  <c r="I1158" i="38" s="1"/>
  <c r="G1157" i="38"/>
  <c r="I1157" i="38" s="1"/>
  <c r="G1156" i="38"/>
  <c r="I1156" i="38" s="1"/>
  <c r="G1155" i="38"/>
  <c r="I1155" i="38" s="1"/>
  <c r="G1154" i="38"/>
  <c r="I1154" i="38" s="1"/>
  <c r="G1153" i="38"/>
  <c r="I1153" i="38" s="1"/>
  <c r="G1152" i="38"/>
  <c r="I1152" i="38" s="1"/>
  <c r="G1151" i="38"/>
  <c r="I1151" i="38" s="1"/>
  <c r="G1150" i="38"/>
  <c r="I1150" i="38" s="1"/>
  <c r="G1149" i="38"/>
  <c r="I1149" i="38" s="1"/>
  <c r="G1148" i="38"/>
  <c r="I1148" i="38" s="1"/>
  <c r="G1147" i="38"/>
  <c r="I1147" i="38" s="1"/>
  <c r="G1146" i="38"/>
  <c r="I1146" i="38" s="1"/>
  <c r="G1145" i="38"/>
  <c r="I1145" i="38" s="1"/>
  <c r="G1144" i="38"/>
  <c r="I1144" i="38" s="1"/>
  <c r="G1143" i="38"/>
  <c r="I1143" i="38" s="1"/>
  <c r="G1142" i="38"/>
  <c r="I1142" i="38" s="1"/>
  <c r="G1141" i="38"/>
  <c r="I1141" i="38" s="1"/>
  <c r="G1140" i="38"/>
  <c r="I1140" i="38" s="1"/>
  <c r="G1139" i="38"/>
  <c r="I1139" i="38" s="1"/>
  <c r="G1138" i="38"/>
  <c r="I1138" i="38" s="1"/>
  <c r="G1137" i="38"/>
  <c r="I1137" i="38" s="1"/>
  <c r="G1136" i="38"/>
  <c r="I1136" i="38" s="1"/>
  <c r="G1135" i="38"/>
  <c r="I1135" i="38" s="1"/>
  <c r="G1134" i="38"/>
  <c r="I1134" i="38" s="1"/>
  <c r="G1133" i="38"/>
  <c r="I1133" i="38" s="1"/>
  <c r="G1132" i="38"/>
  <c r="I1132" i="38" s="1"/>
  <c r="G1131" i="38"/>
  <c r="I1131" i="38" s="1"/>
  <c r="G1130" i="38"/>
  <c r="I1130" i="38" s="1"/>
  <c r="G1129" i="38"/>
  <c r="I1129" i="38" s="1"/>
  <c r="G1128" i="38"/>
  <c r="I1128" i="38" s="1"/>
  <c r="G1127" i="38"/>
  <c r="I1127" i="38" s="1"/>
  <c r="G1126" i="38"/>
  <c r="I1126" i="38" s="1"/>
  <c r="G1125" i="38"/>
  <c r="I1125" i="38" s="1"/>
  <c r="G1124" i="38"/>
  <c r="I1124" i="38" s="1"/>
  <c r="G1123" i="38"/>
  <c r="I1123" i="38" s="1"/>
  <c r="G1122" i="38"/>
  <c r="I1122" i="38" s="1"/>
  <c r="G1121" i="38"/>
  <c r="I1121" i="38" s="1"/>
  <c r="G1120" i="38"/>
  <c r="I1120" i="38" s="1"/>
  <c r="G1119" i="38"/>
  <c r="I1119" i="38" s="1"/>
  <c r="G1118" i="38"/>
  <c r="I1118" i="38" s="1"/>
  <c r="G1117" i="38"/>
  <c r="I1117" i="38" s="1"/>
  <c r="G1116" i="38"/>
  <c r="I1116" i="38" s="1"/>
  <c r="G1115" i="38"/>
  <c r="I1115" i="38" s="1"/>
  <c r="G1114" i="38"/>
  <c r="I1114" i="38" s="1"/>
  <c r="G1113" i="38"/>
  <c r="I1113" i="38" s="1"/>
  <c r="G1112" i="38"/>
  <c r="I1112" i="38" s="1"/>
  <c r="G1111" i="38"/>
  <c r="I1111" i="38" s="1"/>
  <c r="G1110" i="38"/>
  <c r="I1110" i="38" s="1"/>
  <c r="A1106" i="38"/>
  <c r="G1103" i="38"/>
  <c r="I1103" i="38"/>
  <c r="G1102" i="38"/>
  <c r="I1102" i="38"/>
  <c r="G1101" i="38"/>
  <c r="I1101" i="38"/>
  <c r="G1100" i="38"/>
  <c r="I1100" i="38"/>
  <c r="G1099" i="38"/>
  <c r="I1099" i="38"/>
  <c r="G1098" i="38"/>
  <c r="I1098" i="38"/>
  <c r="G1097" i="38"/>
  <c r="I1097" i="38"/>
  <c r="G1096" i="38"/>
  <c r="I1096" i="38"/>
  <c r="G1095" i="38"/>
  <c r="I1095" i="38"/>
  <c r="G1094" i="38"/>
  <c r="I1094" i="38"/>
  <c r="G1093" i="38"/>
  <c r="I1093" i="38"/>
  <c r="G1092" i="38"/>
  <c r="I1092" i="38"/>
  <c r="G1091" i="38"/>
  <c r="I1091" i="38"/>
  <c r="G1090" i="38"/>
  <c r="I1090" i="38"/>
  <c r="G1089" i="38"/>
  <c r="I1089" i="38"/>
  <c r="G1088" i="38"/>
  <c r="I1088" i="38"/>
  <c r="G1087" i="38"/>
  <c r="I1087" i="38"/>
  <c r="G1086" i="38"/>
  <c r="I1086" i="38"/>
  <c r="G1085" i="38"/>
  <c r="I1085" i="38"/>
  <c r="G1084" i="38"/>
  <c r="I1084" i="38"/>
  <c r="G1083" i="38"/>
  <c r="I1083" i="38"/>
  <c r="G1082" i="38"/>
  <c r="I1082" i="38"/>
  <c r="G1081" i="38"/>
  <c r="I1081" i="38"/>
  <c r="G1080" i="38"/>
  <c r="I1080" i="38"/>
  <c r="G1079" i="38"/>
  <c r="I1079" i="38"/>
  <c r="G1078" i="38"/>
  <c r="I1078" i="38"/>
  <c r="G1077" i="38"/>
  <c r="I1077" i="38"/>
  <c r="G1076" i="38"/>
  <c r="I1076" i="38"/>
  <c r="G1075" i="38"/>
  <c r="I1075" i="38"/>
  <c r="G1074" i="38"/>
  <c r="I1074" i="38"/>
  <c r="G1073" i="38"/>
  <c r="I1073" i="38"/>
  <c r="G1072" i="38"/>
  <c r="I1072" i="38"/>
  <c r="G1071" i="38"/>
  <c r="I1071" i="38"/>
  <c r="G1070" i="38"/>
  <c r="I1070" i="38"/>
  <c r="G1069" i="38"/>
  <c r="I1069" i="38"/>
  <c r="G1068" i="38"/>
  <c r="I1068" i="38"/>
  <c r="G1067" i="38"/>
  <c r="I1067" i="38"/>
  <c r="G1066" i="38"/>
  <c r="I1066" i="38"/>
  <c r="G1065" i="38"/>
  <c r="I1065" i="38"/>
  <c r="G1064" i="38"/>
  <c r="I1064" i="38"/>
  <c r="G1063" i="38"/>
  <c r="I1063" i="38"/>
  <c r="G1062" i="38"/>
  <c r="I1062" i="38"/>
  <c r="G1061" i="38"/>
  <c r="I1061" i="38"/>
  <c r="G1060" i="38"/>
  <c r="I1060" i="38"/>
  <c r="G1059" i="38"/>
  <c r="I1059" i="38"/>
  <c r="G1058" i="38"/>
  <c r="I1058" i="38"/>
  <c r="G1057" i="38"/>
  <c r="I1057" i="38"/>
  <c r="G1056" i="38"/>
  <c r="I1056" i="38"/>
  <c r="G1055" i="38"/>
  <c r="I1055" i="38"/>
  <c r="G1054" i="38"/>
  <c r="I1054" i="38"/>
  <c r="G1053" i="38"/>
  <c r="I1053" i="38"/>
  <c r="G1052" i="38"/>
  <c r="I1052" i="38"/>
  <c r="A1048" i="38"/>
  <c r="G1045" i="38"/>
  <c r="I1045" i="38" s="1"/>
  <c r="G1044" i="38"/>
  <c r="I1044" i="38" s="1"/>
  <c r="G1043" i="38"/>
  <c r="I1043" i="38" s="1"/>
  <c r="G1042" i="38"/>
  <c r="I1042" i="38" s="1"/>
  <c r="G1041" i="38"/>
  <c r="I1041" i="38" s="1"/>
  <c r="G1040" i="38"/>
  <c r="I1040" i="38" s="1"/>
  <c r="G1039" i="38"/>
  <c r="I1039" i="38" s="1"/>
  <c r="G1038" i="38"/>
  <c r="I1038" i="38" s="1"/>
  <c r="G1037" i="38"/>
  <c r="I1037" i="38" s="1"/>
  <c r="G1036" i="38"/>
  <c r="I1036" i="38" s="1"/>
  <c r="G1035" i="38"/>
  <c r="I1035" i="38" s="1"/>
  <c r="G1034" i="38"/>
  <c r="I1034" i="38" s="1"/>
  <c r="G1033" i="38"/>
  <c r="I1033" i="38" s="1"/>
  <c r="G1032" i="38"/>
  <c r="I1032" i="38" s="1"/>
  <c r="G1031" i="38"/>
  <c r="I1031" i="38" s="1"/>
  <c r="G1030" i="38"/>
  <c r="I1030" i="38" s="1"/>
  <c r="G1029" i="38"/>
  <c r="I1029" i="38" s="1"/>
  <c r="G1028" i="38"/>
  <c r="I1028" i="38" s="1"/>
  <c r="G1027" i="38"/>
  <c r="I1027" i="38" s="1"/>
  <c r="G1026" i="38"/>
  <c r="I1026" i="38" s="1"/>
  <c r="G1025" i="38"/>
  <c r="I1025" i="38" s="1"/>
  <c r="G1024" i="38"/>
  <c r="I1024" i="38" s="1"/>
  <c r="G1023" i="38"/>
  <c r="I1023" i="38" s="1"/>
  <c r="G1022" i="38"/>
  <c r="I1022" i="38" s="1"/>
  <c r="G1021" i="38"/>
  <c r="I1021" i="38" s="1"/>
  <c r="G1020" i="38"/>
  <c r="I1020" i="38" s="1"/>
  <c r="G1019" i="38"/>
  <c r="I1019" i="38" s="1"/>
  <c r="G1018" i="38"/>
  <c r="I1018" i="38" s="1"/>
  <c r="G1017" i="38"/>
  <c r="I1017" i="38" s="1"/>
  <c r="G1016" i="38"/>
  <c r="I1016" i="38" s="1"/>
  <c r="G1015" i="38"/>
  <c r="I1015" i="38" s="1"/>
  <c r="G1014" i="38"/>
  <c r="I1014" i="38" s="1"/>
  <c r="G1013" i="38"/>
  <c r="I1013" i="38" s="1"/>
  <c r="G1012" i="38"/>
  <c r="I1012" i="38" s="1"/>
  <c r="G1011" i="38"/>
  <c r="I1011" i="38" s="1"/>
  <c r="G1010" i="38"/>
  <c r="I1010" i="38" s="1"/>
  <c r="G1009" i="38"/>
  <c r="I1009" i="38" s="1"/>
  <c r="G1008" i="38"/>
  <c r="I1008" i="38" s="1"/>
  <c r="G1007" i="38"/>
  <c r="I1007" i="38" s="1"/>
  <c r="G1006" i="38"/>
  <c r="I1006" i="38" s="1"/>
  <c r="G1005" i="38"/>
  <c r="I1005" i="38" s="1"/>
  <c r="G1004" i="38"/>
  <c r="I1004" i="38" s="1"/>
  <c r="G1003" i="38"/>
  <c r="I1003" i="38" s="1"/>
  <c r="G1002" i="38"/>
  <c r="I1002" i="38" s="1"/>
  <c r="G1001" i="38"/>
  <c r="I1001" i="38" s="1"/>
  <c r="G1000" i="38"/>
  <c r="I1000" i="38" s="1"/>
  <c r="G999" i="38"/>
  <c r="I999" i="38" s="1"/>
  <c r="G998" i="38"/>
  <c r="I998" i="38" s="1"/>
  <c r="G997" i="38"/>
  <c r="I997" i="38" s="1"/>
  <c r="G996" i="38"/>
  <c r="I996" i="38" s="1"/>
  <c r="G995" i="38"/>
  <c r="I995" i="38" s="1"/>
  <c r="G994" i="38"/>
  <c r="I994" i="38" s="1"/>
  <c r="A990" i="38"/>
  <c r="G987" i="38"/>
  <c r="I987" i="38"/>
  <c r="G986" i="38"/>
  <c r="I986" i="38"/>
  <c r="G985" i="38"/>
  <c r="I985" i="38"/>
  <c r="G984" i="38"/>
  <c r="I984" i="38"/>
  <c r="G983" i="38"/>
  <c r="I983" i="38"/>
  <c r="G982" i="38"/>
  <c r="I982" i="38"/>
  <c r="G981" i="38"/>
  <c r="I981" i="38"/>
  <c r="G980" i="38"/>
  <c r="I980" i="38"/>
  <c r="G979" i="38"/>
  <c r="I979" i="38"/>
  <c r="G978" i="38"/>
  <c r="I978" i="38"/>
  <c r="G977" i="38"/>
  <c r="I977" i="38"/>
  <c r="G976" i="38"/>
  <c r="I976" i="38"/>
  <c r="G975" i="38"/>
  <c r="I975" i="38"/>
  <c r="G974" i="38"/>
  <c r="I974" i="38"/>
  <c r="G973" i="38"/>
  <c r="I973" i="38"/>
  <c r="G972" i="38"/>
  <c r="I972" i="38"/>
  <c r="G971" i="38"/>
  <c r="I971" i="38"/>
  <c r="G970" i="38"/>
  <c r="I970" i="38"/>
  <c r="G969" i="38"/>
  <c r="I969" i="38"/>
  <c r="G968" i="38"/>
  <c r="I968" i="38"/>
  <c r="G967" i="38"/>
  <c r="I967" i="38"/>
  <c r="G966" i="38"/>
  <c r="I966" i="38"/>
  <c r="G965" i="38"/>
  <c r="I965" i="38"/>
  <c r="G964" i="38"/>
  <c r="I964" i="38"/>
  <c r="G963" i="38"/>
  <c r="I963" i="38"/>
  <c r="G962" i="38"/>
  <c r="I962" i="38"/>
  <c r="G961" i="38"/>
  <c r="I961" i="38"/>
  <c r="G960" i="38"/>
  <c r="I960" i="38"/>
  <c r="G959" i="38"/>
  <c r="I959" i="38"/>
  <c r="G958" i="38"/>
  <c r="I958" i="38"/>
  <c r="G957" i="38"/>
  <c r="I957" i="38"/>
  <c r="G956" i="38"/>
  <c r="I956" i="38"/>
  <c r="G955" i="38"/>
  <c r="I955" i="38"/>
  <c r="G954" i="38"/>
  <c r="I954" i="38"/>
  <c r="G953" i="38"/>
  <c r="I953" i="38"/>
  <c r="G952" i="38"/>
  <c r="I952" i="38"/>
  <c r="G951" i="38"/>
  <c r="I951" i="38"/>
  <c r="G950" i="38"/>
  <c r="I950" i="38"/>
  <c r="G949" i="38"/>
  <c r="I949" i="38"/>
  <c r="G948" i="38"/>
  <c r="I948" i="38"/>
  <c r="G947" i="38"/>
  <c r="I947" i="38"/>
  <c r="G946" i="38"/>
  <c r="I946" i="38"/>
  <c r="G945" i="38"/>
  <c r="I945" i="38"/>
  <c r="G944" i="38"/>
  <c r="I944" i="38"/>
  <c r="G943" i="38"/>
  <c r="I943" i="38"/>
  <c r="G942" i="38"/>
  <c r="I942" i="38"/>
  <c r="G941" i="38"/>
  <c r="I941" i="38"/>
  <c r="G940" i="38"/>
  <c r="I940" i="38"/>
  <c r="G939" i="38"/>
  <c r="I939" i="38"/>
  <c r="G938" i="38"/>
  <c r="I938" i="38"/>
  <c r="G937" i="38"/>
  <c r="I937" i="38"/>
  <c r="G936" i="38"/>
  <c r="I936" i="38"/>
  <c r="A932" i="38"/>
  <c r="G929" i="38"/>
  <c r="I929" i="38" s="1"/>
  <c r="G928" i="38"/>
  <c r="I928" i="38" s="1"/>
  <c r="G927" i="38"/>
  <c r="I927" i="38" s="1"/>
  <c r="G926" i="38"/>
  <c r="I926" i="38" s="1"/>
  <c r="G925" i="38"/>
  <c r="I925" i="38" s="1"/>
  <c r="G924" i="38"/>
  <c r="I924" i="38" s="1"/>
  <c r="G923" i="38"/>
  <c r="I923" i="38" s="1"/>
  <c r="G922" i="38"/>
  <c r="I922" i="38" s="1"/>
  <c r="G921" i="38"/>
  <c r="I921" i="38" s="1"/>
  <c r="G920" i="38"/>
  <c r="I920" i="38" s="1"/>
  <c r="G919" i="38"/>
  <c r="I919" i="38" s="1"/>
  <c r="G918" i="38"/>
  <c r="I918" i="38" s="1"/>
  <c r="G917" i="38"/>
  <c r="I917" i="38" s="1"/>
  <c r="G916" i="38"/>
  <c r="I916" i="38"/>
  <c r="G915" i="38"/>
  <c r="I915" i="38" s="1"/>
  <c r="G914" i="38"/>
  <c r="I914" i="38" s="1"/>
  <c r="G913" i="38"/>
  <c r="I913" i="38" s="1"/>
  <c r="G912" i="38"/>
  <c r="I912" i="38"/>
  <c r="G911" i="38"/>
  <c r="I911" i="38" s="1"/>
  <c r="G910" i="38"/>
  <c r="I910" i="38" s="1"/>
  <c r="G909" i="38"/>
  <c r="I909" i="38" s="1"/>
  <c r="G908" i="38"/>
  <c r="I908" i="38"/>
  <c r="G907" i="38"/>
  <c r="I907" i="38" s="1"/>
  <c r="G906" i="38"/>
  <c r="I906" i="38" s="1"/>
  <c r="G905" i="38"/>
  <c r="I905" i="38" s="1"/>
  <c r="G904" i="38"/>
  <c r="I904" i="38"/>
  <c r="G903" i="38"/>
  <c r="I903" i="38" s="1"/>
  <c r="G902" i="38"/>
  <c r="I902" i="38" s="1"/>
  <c r="G901" i="38"/>
  <c r="I901" i="38" s="1"/>
  <c r="G900" i="38"/>
  <c r="I900" i="38"/>
  <c r="G899" i="38"/>
  <c r="I899" i="38" s="1"/>
  <c r="G898" i="38"/>
  <c r="I898" i="38" s="1"/>
  <c r="G897" i="38"/>
  <c r="I897" i="38" s="1"/>
  <c r="G896" i="38"/>
  <c r="I896" i="38"/>
  <c r="G895" i="38"/>
  <c r="I895" i="38" s="1"/>
  <c r="G894" i="38"/>
  <c r="I894" i="38" s="1"/>
  <c r="G893" i="38"/>
  <c r="I893" i="38" s="1"/>
  <c r="G892" i="38"/>
  <c r="I892" i="38"/>
  <c r="G891" i="38"/>
  <c r="I891" i="38" s="1"/>
  <c r="G890" i="38"/>
  <c r="I890" i="38" s="1"/>
  <c r="G889" i="38"/>
  <c r="I889" i="38" s="1"/>
  <c r="G888" i="38"/>
  <c r="I888" i="38"/>
  <c r="G887" i="38"/>
  <c r="I887" i="38" s="1"/>
  <c r="G886" i="38"/>
  <c r="I886" i="38" s="1"/>
  <c r="G885" i="38"/>
  <c r="I885" i="38" s="1"/>
  <c r="G884" i="38"/>
  <c r="I884" i="38"/>
  <c r="G883" i="38"/>
  <c r="I883" i="38" s="1"/>
  <c r="G882" i="38"/>
  <c r="I882" i="38" s="1"/>
  <c r="G881" i="38"/>
  <c r="I881" i="38" s="1"/>
  <c r="G880" i="38"/>
  <c r="I880" i="38"/>
  <c r="G879" i="38"/>
  <c r="I879" i="38" s="1"/>
  <c r="G878" i="38"/>
  <c r="I878" i="38" s="1"/>
  <c r="A874" i="38"/>
  <c r="G871" i="38"/>
  <c r="I871" i="38"/>
  <c r="G870" i="38"/>
  <c r="I870" i="38"/>
  <c r="G869" i="38"/>
  <c r="I869" i="38"/>
  <c r="G868" i="38"/>
  <c r="I868" i="38"/>
  <c r="G867" i="38"/>
  <c r="I867" i="38"/>
  <c r="G866" i="38"/>
  <c r="I866" i="38"/>
  <c r="G865" i="38"/>
  <c r="I865" i="38"/>
  <c r="G864" i="38"/>
  <c r="I864" i="38"/>
  <c r="G863" i="38"/>
  <c r="I863" i="38"/>
  <c r="G862" i="38"/>
  <c r="I862" i="38"/>
  <c r="G861" i="38"/>
  <c r="I861" i="38"/>
  <c r="G860" i="38"/>
  <c r="I860" i="38"/>
  <c r="G859" i="38"/>
  <c r="I859" i="38"/>
  <c r="G858" i="38"/>
  <c r="I858" i="38"/>
  <c r="G857" i="38"/>
  <c r="I857" i="38"/>
  <c r="G856" i="38"/>
  <c r="I856" i="38"/>
  <c r="G855" i="38"/>
  <c r="I855" i="38"/>
  <c r="G854" i="38"/>
  <c r="I854" i="38"/>
  <c r="G853" i="38"/>
  <c r="I853" i="38"/>
  <c r="G852" i="38"/>
  <c r="I852" i="38"/>
  <c r="G851" i="38"/>
  <c r="I851" i="38"/>
  <c r="G850" i="38"/>
  <c r="I850" i="38"/>
  <c r="G849" i="38"/>
  <c r="I849" i="38"/>
  <c r="G848" i="38"/>
  <c r="I848" i="38"/>
  <c r="G847" i="38"/>
  <c r="I847" i="38"/>
  <c r="G846" i="38"/>
  <c r="I846" i="38"/>
  <c r="G845" i="38"/>
  <c r="I845" i="38"/>
  <c r="G844" i="38"/>
  <c r="I844" i="38"/>
  <c r="G843" i="38"/>
  <c r="I843" i="38"/>
  <c r="G842" i="38"/>
  <c r="I842" i="38"/>
  <c r="G841" i="38"/>
  <c r="I841" i="38"/>
  <c r="G840" i="38"/>
  <c r="I840" i="38"/>
  <c r="G839" i="38"/>
  <c r="I839" i="38"/>
  <c r="G838" i="38"/>
  <c r="I838" i="38"/>
  <c r="G837" i="38"/>
  <c r="I837" i="38"/>
  <c r="G836" i="38"/>
  <c r="I836" i="38"/>
  <c r="G835" i="38"/>
  <c r="I835" i="38"/>
  <c r="G834" i="38"/>
  <c r="I834" i="38"/>
  <c r="G833" i="38"/>
  <c r="I833" i="38"/>
  <c r="G832" i="38"/>
  <c r="I832" i="38"/>
  <c r="G831" i="38"/>
  <c r="I831" i="38"/>
  <c r="G830" i="38"/>
  <c r="I830" i="38"/>
  <c r="G829" i="38"/>
  <c r="I829" i="38"/>
  <c r="G828" i="38"/>
  <c r="I828" i="38"/>
  <c r="G827" i="38"/>
  <c r="I827" i="38"/>
  <c r="G826" i="38"/>
  <c r="I826" i="38"/>
  <c r="G825" i="38"/>
  <c r="I825" i="38"/>
  <c r="G824" i="38"/>
  <c r="I824" i="38"/>
  <c r="G823" i="38"/>
  <c r="I823" i="38"/>
  <c r="G822" i="38"/>
  <c r="I822" i="38"/>
  <c r="G821" i="38"/>
  <c r="I821" i="38"/>
  <c r="G820" i="38"/>
  <c r="I820" i="38"/>
  <c r="A816" i="38"/>
  <c r="G813" i="38"/>
  <c r="I813" i="38" s="1"/>
  <c r="G812" i="38"/>
  <c r="I812" i="38" s="1"/>
  <c r="G811" i="38"/>
  <c r="I811" i="38"/>
  <c r="G810" i="38"/>
  <c r="I810" i="38" s="1"/>
  <c r="G809" i="38"/>
  <c r="I809" i="38" s="1"/>
  <c r="G808" i="38"/>
  <c r="I808" i="38" s="1"/>
  <c r="G807" i="38"/>
  <c r="I807" i="38"/>
  <c r="G806" i="38"/>
  <c r="I806" i="38" s="1"/>
  <c r="G805" i="38"/>
  <c r="I805" i="38" s="1"/>
  <c r="G804" i="38"/>
  <c r="I804" i="38" s="1"/>
  <c r="G803" i="38"/>
  <c r="I803" i="38"/>
  <c r="G802" i="38"/>
  <c r="I802" i="38" s="1"/>
  <c r="G801" i="38"/>
  <c r="I801" i="38" s="1"/>
  <c r="G800" i="38"/>
  <c r="I800" i="38" s="1"/>
  <c r="G799" i="38"/>
  <c r="I799" i="38"/>
  <c r="G798" i="38"/>
  <c r="I798" i="38"/>
  <c r="G797" i="38"/>
  <c r="I797" i="38"/>
  <c r="G796" i="38"/>
  <c r="I796" i="38"/>
  <c r="G795" i="38"/>
  <c r="I795" i="38"/>
  <c r="G794" i="38"/>
  <c r="I794" i="38"/>
  <c r="G793" i="38"/>
  <c r="I793" i="38"/>
  <c r="G792" i="38"/>
  <c r="I792" i="38"/>
  <c r="G791" i="38"/>
  <c r="I791" i="38"/>
  <c r="G790" i="38"/>
  <c r="I790" i="38"/>
  <c r="G789" i="38"/>
  <c r="I789" i="38"/>
  <c r="G788" i="38"/>
  <c r="I788" i="38"/>
  <c r="G787" i="38"/>
  <c r="I787" i="38"/>
  <c r="G786" i="38"/>
  <c r="I786" i="38"/>
  <c r="G785" i="38"/>
  <c r="I785" i="38"/>
  <c r="G784" i="38"/>
  <c r="I784" i="38"/>
  <c r="G783" i="38"/>
  <c r="I783" i="38"/>
  <c r="G782" i="38"/>
  <c r="I782" i="38"/>
  <c r="G781" i="38"/>
  <c r="I781" i="38"/>
  <c r="G780" i="38"/>
  <c r="I780" i="38"/>
  <c r="G779" i="38"/>
  <c r="I779" i="38"/>
  <c r="G778" i="38"/>
  <c r="I778" i="38"/>
  <c r="G777" i="38"/>
  <c r="I777" i="38"/>
  <c r="G776" i="38"/>
  <c r="I776" i="38"/>
  <c r="G775" i="38"/>
  <c r="I775" i="38"/>
  <c r="G774" i="38"/>
  <c r="I774" i="38"/>
  <c r="G773" i="38"/>
  <c r="I773" i="38"/>
  <c r="G772" i="38"/>
  <c r="I772" i="38"/>
  <c r="G771" i="38"/>
  <c r="I771" i="38"/>
  <c r="G770" i="38"/>
  <c r="I770" i="38"/>
  <c r="G769" i="38"/>
  <c r="I769" i="38"/>
  <c r="G768" i="38"/>
  <c r="I768" i="38"/>
  <c r="G767" i="38"/>
  <c r="I767" i="38"/>
  <c r="G766" i="38"/>
  <c r="I766" i="38"/>
  <c r="G765" i="38"/>
  <c r="I765" i="38"/>
  <c r="G764" i="38"/>
  <c r="I764" i="38"/>
  <c r="G763" i="38"/>
  <c r="I763" i="38"/>
  <c r="G762" i="38"/>
  <c r="I762" i="38"/>
  <c r="A758" i="38"/>
  <c r="G755" i="38"/>
  <c r="I755" i="38" s="1"/>
  <c r="G754" i="38"/>
  <c r="I754" i="38" s="1"/>
  <c r="G753" i="38"/>
  <c r="I753" i="38" s="1"/>
  <c r="G752" i="38"/>
  <c r="I752" i="38" s="1"/>
  <c r="G751" i="38"/>
  <c r="I751" i="38" s="1"/>
  <c r="G750" i="38"/>
  <c r="I750" i="38" s="1"/>
  <c r="G749" i="38"/>
  <c r="I749" i="38" s="1"/>
  <c r="G748" i="38"/>
  <c r="I748" i="38" s="1"/>
  <c r="G747" i="38"/>
  <c r="I747" i="38" s="1"/>
  <c r="G746" i="38"/>
  <c r="I746" i="38" s="1"/>
  <c r="G745" i="38"/>
  <c r="I745" i="38" s="1"/>
  <c r="G744" i="38"/>
  <c r="I744" i="38" s="1"/>
  <c r="G743" i="38"/>
  <c r="I743" i="38" s="1"/>
  <c r="G742" i="38"/>
  <c r="I742" i="38" s="1"/>
  <c r="G741" i="38"/>
  <c r="I741" i="38" s="1"/>
  <c r="G740" i="38"/>
  <c r="I740" i="38" s="1"/>
  <c r="G739" i="38"/>
  <c r="I739" i="38" s="1"/>
  <c r="G738" i="38"/>
  <c r="I738" i="38" s="1"/>
  <c r="G737" i="38"/>
  <c r="I737" i="38" s="1"/>
  <c r="G736" i="38"/>
  <c r="I736" i="38" s="1"/>
  <c r="G735" i="38"/>
  <c r="I735" i="38" s="1"/>
  <c r="G734" i="38"/>
  <c r="I734" i="38" s="1"/>
  <c r="G733" i="38"/>
  <c r="I733" i="38" s="1"/>
  <c r="G732" i="38"/>
  <c r="I732" i="38" s="1"/>
  <c r="G731" i="38"/>
  <c r="I731" i="38" s="1"/>
  <c r="G730" i="38"/>
  <c r="I730" i="38" s="1"/>
  <c r="G729" i="38"/>
  <c r="I729" i="38" s="1"/>
  <c r="G728" i="38"/>
  <c r="I728" i="38" s="1"/>
  <c r="G727" i="38"/>
  <c r="I727" i="38" s="1"/>
  <c r="G726" i="38"/>
  <c r="I726" i="38" s="1"/>
  <c r="G725" i="38"/>
  <c r="I725" i="38" s="1"/>
  <c r="G724" i="38"/>
  <c r="I724" i="38" s="1"/>
  <c r="G723" i="38"/>
  <c r="I723" i="38" s="1"/>
  <c r="G722" i="38"/>
  <c r="I722" i="38" s="1"/>
  <c r="G721" i="38"/>
  <c r="I721" i="38" s="1"/>
  <c r="G720" i="38"/>
  <c r="I720" i="38" s="1"/>
  <c r="G719" i="38"/>
  <c r="I719" i="38" s="1"/>
  <c r="G718" i="38"/>
  <c r="I718" i="38" s="1"/>
  <c r="G717" i="38"/>
  <c r="I717" i="38" s="1"/>
  <c r="G716" i="38"/>
  <c r="I716" i="38" s="1"/>
  <c r="G715" i="38"/>
  <c r="I715" i="38" s="1"/>
  <c r="G714" i="38"/>
  <c r="I714" i="38" s="1"/>
  <c r="G713" i="38"/>
  <c r="I713" i="38" s="1"/>
  <c r="G712" i="38"/>
  <c r="I712" i="38" s="1"/>
  <c r="G711" i="38"/>
  <c r="I711" i="38" s="1"/>
  <c r="G710" i="38"/>
  <c r="I710" i="38" s="1"/>
  <c r="G709" i="38"/>
  <c r="I709" i="38" s="1"/>
  <c r="G708" i="38"/>
  <c r="I708" i="38" s="1"/>
  <c r="G707" i="38"/>
  <c r="I707" i="38" s="1"/>
  <c r="G706" i="38"/>
  <c r="I706" i="38" s="1"/>
  <c r="G705" i="38"/>
  <c r="I705" i="38" s="1"/>
  <c r="G704" i="38"/>
  <c r="I704" i="38" s="1"/>
  <c r="A700" i="38"/>
  <c r="G697" i="38"/>
  <c r="I697" i="38"/>
  <c r="G696" i="38"/>
  <c r="I696" i="38"/>
  <c r="G695" i="38"/>
  <c r="I695" i="38"/>
  <c r="G694" i="38"/>
  <c r="I694" i="38"/>
  <c r="G693" i="38"/>
  <c r="I693" i="38"/>
  <c r="G692" i="38"/>
  <c r="I692" i="38"/>
  <c r="G691" i="38"/>
  <c r="I691" i="38"/>
  <c r="G690" i="38"/>
  <c r="I690" i="38"/>
  <c r="G689" i="38"/>
  <c r="I689" i="38"/>
  <c r="G688" i="38"/>
  <c r="I688" i="38"/>
  <c r="G687" i="38"/>
  <c r="I687" i="38"/>
  <c r="G686" i="38"/>
  <c r="I686" i="38"/>
  <c r="G685" i="38"/>
  <c r="I685" i="38"/>
  <c r="G684" i="38"/>
  <c r="I684" i="38"/>
  <c r="G683" i="38"/>
  <c r="I683" i="38"/>
  <c r="G682" i="38"/>
  <c r="I682" i="38"/>
  <c r="G681" i="38"/>
  <c r="I681" i="38"/>
  <c r="G680" i="38"/>
  <c r="I680" i="38"/>
  <c r="G679" i="38"/>
  <c r="I679" i="38"/>
  <c r="G678" i="38"/>
  <c r="I678" i="38"/>
  <c r="G677" i="38"/>
  <c r="I677" i="38"/>
  <c r="G676" i="38"/>
  <c r="I676" i="38"/>
  <c r="G675" i="38"/>
  <c r="I675" i="38"/>
  <c r="G674" i="38"/>
  <c r="I674" i="38"/>
  <c r="G673" i="38"/>
  <c r="I673" i="38"/>
  <c r="G672" i="38"/>
  <c r="I672" i="38"/>
  <c r="G671" i="38"/>
  <c r="I671" i="38"/>
  <c r="G670" i="38"/>
  <c r="I670" i="38"/>
  <c r="G669" i="38"/>
  <c r="I669" i="38"/>
  <c r="G668" i="38"/>
  <c r="I668" i="38"/>
  <c r="G667" i="38"/>
  <c r="I667" i="38"/>
  <c r="G666" i="38"/>
  <c r="I666" i="38"/>
  <c r="G665" i="38"/>
  <c r="I665" i="38"/>
  <c r="G664" i="38"/>
  <c r="I664" i="38"/>
  <c r="G663" i="38"/>
  <c r="I663" i="38"/>
  <c r="G662" i="38"/>
  <c r="I662" i="38"/>
  <c r="G661" i="38"/>
  <c r="I661" i="38"/>
  <c r="G660" i="38"/>
  <c r="I660" i="38"/>
  <c r="G659" i="38"/>
  <c r="I659" i="38"/>
  <c r="G658" i="38"/>
  <c r="I658" i="38"/>
  <c r="G657" i="38"/>
  <c r="I657" i="38"/>
  <c r="G656" i="38"/>
  <c r="I656" i="38"/>
  <c r="G655" i="38"/>
  <c r="I655" i="38"/>
  <c r="G654" i="38"/>
  <c r="I654" i="38"/>
  <c r="G653" i="38"/>
  <c r="I653" i="38"/>
  <c r="G652" i="38"/>
  <c r="I652" i="38"/>
  <c r="G651" i="38"/>
  <c r="I651" i="38"/>
  <c r="G650" i="38"/>
  <c r="I650" i="38"/>
  <c r="G649" i="38"/>
  <c r="I649" i="38"/>
  <c r="G648" i="38"/>
  <c r="I648" i="38"/>
  <c r="G647" i="38"/>
  <c r="I647" i="38"/>
  <c r="G646" i="38"/>
  <c r="I646" i="38"/>
  <c r="A642" i="38"/>
  <c r="G639" i="38"/>
  <c r="I639" i="38" s="1"/>
  <c r="G638" i="38"/>
  <c r="I638" i="38" s="1"/>
  <c r="G637" i="38"/>
  <c r="I637" i="38" s="1"/>
  <c r="G636" i="38"/>
  <c r="I636" i="38" s="1"/>
  <c r="G635" i="38"/>
  <c r="I635" i="38" s="1"/>
  <c r="G634" i="38"/>
  <c r="I634" i="38" s="1"/>
  <c r="G633" i="38"/>
  <c r="I633" i="38" s="1"/>
  <c r="G632" i="38"/>
  <c r="I632" i="38" s="1"/>
  <c r="G631" i="38"/>
  <c r="I631" i="38" s="1"/>
  <c r="G630" i="38"/>
  <c r="I630" i="38" s="1"/>
  <c r="G629" i="38"/>
  <c r="I629" i="38" s="1"/>
  <c r="G628" i="38"/>
  <c r="I628" i="38" s="1"/>
  <c r="G627" i="38"/>
  <c r="I627" i="38" s="1"/>
  <c r="G626" i="38"/>
  <c r="I626" i="38" s="1"/>
  <c r="G625" i="38"/>
  <c r="I625" i="38" s="1"/>
  <c r="G624" i="38"/>
  <c r="I624" i="38" s="1"/>
  <c r="G623" i="38"/>
  <c r="I623" i="38" s="1"/>
  <c r="G622" i="38"/>
  <c r="I622" i="38" s="1"/>
  <c r="G621" i="38"/>
  <c r="I621" i="38" s="1"/>
  <c r="G620" i="38"/>
  <c r="I620" i="38" s="1"/>
  <c r="G619" i="38"/>
  <c r="I619" i="38" s="1"/>
  <c r="G618" i="38"/>
  <c r="I618" i="38" s="1"/>
  <c r="G617" i="38"/>
  <c r="I617" i="38" s="1"/>
  <c r="G616" i="38"/>
  <c r="I616" i="38" s="1"/>
  <c r="G615" i="38"/>
  <c r="I615" i="38" s="1"/>
  <c r="G614" i="38"/>
  <c r="I614" i="38" s="1"/>
  <c r="G613" i="38"/>
  <c r="I613" i="38" s="1"/>
  <c r="G612" i="38"/>
  <c r="I612" i="38" s="1"/>
  <c r="G611" i="38"/>
  <c r="I611" i="38" s="1"/>
  <c r="G610" i="38"/>
  <c r="I610" i="38" s="1"/>
  <c r="G609" i="38"/>
  <c r="I609" i="38" s="1"/>
  <c r="G608" i="38"/>
  <c r="I608" i="38" s="1"/>
  <c r="G607" i="38"/>
  <c r="I607" i="38" s="1"/>
  <c r="G606" i="38"/>
  <c r="I606" i="38" s="1"/>
  <c r="G605" i="38"/>
  <c r="I605" i="38" s="1"/>
  <c r="G604" i="38"/>
  <c r="I604" i="38" s="1"/>
  <c r="G603" i="38"/>
  <c r="I603" i="38" s="1"/>
  <c r="G602" i="38"/>
  <c r="I602" i="38" s="1"/>
  <c r="G601" i="38"/>
  <c r="I601" i="38" s="1"/>
  <c r="G600" i="38"/>
  <c r="I600" i="38" s="1"/>
  <c r="G599" i="38"/>
  <c r="I599" i="38" s="1"/>
  <c r="G598" i="38"/>
  <c r="I598" i="38" s="1"/>
  <c r="G597" i="38"/>
  <c r="I597" i="38" s="1"/>
  <c r="G596" i="38"/>
  <c r="I596" i="38" s="1"/>
  <c r="G595" i="38"/>
  <c r="I595" i="38" s="1"/>
  <c r="G594" i="38"/>
  <c r="I594" i="38" s="1"/>
  <c r="G593" i="38"/>
  <c r="I593" i="38" s="1"/>
  <c r="G592" i="38"/>
  <c r="I592" i="38" s="1"/>
  <c r="G591" i="38"/>
  <c r="I591" i="38" s="1"/>
  <c r="G590" i="38"/>
  <c r="I590" i="38" s="1"/>
  <c r="G589" i="38"/>
  <c r="I589" i="38" s="1"/>
  <c r="G588" i="38"/>
  <c r="I588" i="38" s="1"/>
  <c r="A584" i="38"/>
  <c r="G581" i="38"/>
  <c r="I581" i="38"/>
  <c r="G580" i="38"/>
  <c r="I580" i="38"/>
  <c r="G579" i="38"/>
  <c r="I579" i="38"/>
  <c r="G578" i="38"/>
  <c r="I578" i="38"/>
  <c r="G577" i="38"/>
  <c r="I577" i="38"/>
  <c r="G576" i="38"/>
  <c r="I576" i="38"/>
  <c r="G575" i="38"/>
  <c r="I575" i="38"/>
  <c r="G574" i="38"/>
  <c r="I574" i="38"/>
  <c r="G573" i="38"/>
  <c r="I573" i="38"/>
  <c r="G572" i="38"/>
  <c r="I572" i="38"/>
  <c r="G571" i="38"/>
  <c r="I571" i="38"/>
  <c r="G570" i="38"/>
  <c r="I570" i="38"/>
  <c r="G569" i="38"/>
  <c r="I569" i="38"/>
  <c r="G568" i="38"/>
  <c r="I568" i="38"/>
  <c r="G567" i="38"/>
  <c r="I567" i="38"/>
  <c r="G566" i="38"/>
  <c r="I566" i="38"/>
  <c r="G565" i="38"/>
  <c r="I565" i="38"/>
  <c r="G564" i="38"/>
  <c r="I564" i="38"/>
  <c r="G563" i="38"/>
  <c r="I563" i="38"/>
  <c r="G562" i="38"/>
  <c r="I562" i="38"/>
  <c r="G561" i="38"/>
  <c r="I561" i="38"/>
  <c r="G560" i="38"/>
  <c r="I560" i="38"/>
  <c r="G559" i="38"/>
  <c r="I559" i="38"/>
  <c r="G558" i="38"/>
  <c r="I558" i="38"/>
  <c r="G557" i="38"/>
  <c r="I557" i="38"/>
  <c r="G556" i="38"/>
  <c r="I556" i="38"/>
  <c r="G555" i="38"/>
  <c r="I555" i="38"/>
  <c r="G554" i="38"/>
  <c r="I554" i="38"/>
  <c r="G553" i="38"/>
  <c r="I553" i="38"/>
  <c r="G552" i="38"/>
  <c r="I552" i="38"/>
  <c r="G551" i="38"/>
  <c r="I551" i="38"/>
  <c r="G550" i="38"/>
  <c r="I550" i="38"/>
  <c r="G549" i="38"/>
  <c r="I549" i="38"/>
  <c r="G548" i="38"/>
  <c r="I548" i="38"/>
  <c r="G547" i="38"/>
  <c r="I547" i="38"/>
  <c r="G546" i="38"/>
  <c r="I546" i="38"/>
  <c r="G545" i="38"/>
  <c r="I545" i="38"/>
  <c r="G544" i="38"/>
  <c r="I544" i="38"/>
  <c r="G543" i="38"/>
  <c r="I543" i="38"/>
  <c r="G542" i="38"/>
  <c r="I542" i="38"/>
  <c r="G541" i="38"/>
  <c r="I541" i="38"/>
  <c r="G540" i="38"/>
  <c r="I540" i="38"/>
  <c r="G539" i="38"/>
  <c r="I539" i="38"/>
  <c r="G538" i="38"/>
  <c r="I538" i="38"/>
  <c r="G537" i="38"/>
  <c r="I537" i="38"/>
  <c r="G536" i="38"/>
  <c r="I536" i="38"/>
  <c r="G535" i="38"/>
  <c r="I535" i="38"/>
  <c r="G534" i="38"/>
  <c r="I534" i="38"/>
  <c r="G533" i="38"/>
  <c r="I533" i="38"/>
  <c r="G532" i="38"/>
  <c r="I532" i="38"/>
  <c r="G531" i="38"/>
  <c r="I531" i="38"/>
  <c r="G530" i="38"/>
  <c r="I530" i="38"/>
  <c r="A526" i="38"/>
  <c r="G523" i="38"/>
  <c r="I523" i="38" s="1"/>
  <c r="G522" i="38"/>
  <c r="I522" i="38" s="1"/>
  <c r="G521" i="38"/>
  <c r="I521" i="38" s="1"/>
  <c r="G520" i="38"/>
  <c r="I520" i="38" s="1"/>
  <c r="G519" i="38"/>
  <c r="I519" i="38" s="1"/>
  <c r="G518" i="38"/>
  <c r="I518" i="38" s="1"/>
  <c r="G517" i="38"/>
  <c r="I517" i="38" s="1"/>
  <c r="G516" i="38"/>
  <c r="I516" i="38" s="1"/>
  <c r="G515" i="38"/>
  <c r="I515" i="38" s="1"/>
  <c r="G514" i="38"/>
  <c r="I514" i="38" s="1"/>
  <c r="G513" i="38"/>
  <c r="I513" i="38" s="1"/>
  <c r="G512" i="38"/>
  <c r="I512" i="38" s="1"/>
  <c r="G511" i="38"/>
  <c r="I511" i="38" s="1"/>
  <c r="G510" i="38"/>
  <c r="I510" i="38" s="1"/>
  <c r="G509" i="38"/>
  <c r="I509" i="38" s="1"/>
  <c r="G508" i="38"/>
  <c r="I508" i="38" s="1"/>
  <c r="G507" i="38"/>
  <c r="I507" i="38" s="1"/>
  <c r="G506" i="38"/>
  <c r="I506" i="38" s="1"/>
  <c r="G505" i="38"/>
  <c r="I505" i="38" s="1"/>
  <c r="G504" i="38"/>
  <c r="I504" i="38" s="1"/>
  <c r="G503" i="38"/>
  <c r="I503" i="38" s="1"/>
  <c r="G502" i="38"/>
  <c r="I502" i="38" s="1"/>
  <c r="G501" i="38"/>
  <c r="I501" i="38" s="1"/>
  <c r="G500" i="38"/>
  <c r="I500" i="38" s="1"/>
  <c r="G499" i="38"/>
  <c r="I499" i="38" s="1"/>
  <c r="G498" i="38"/>
  <c r="I498" i="38" s="1"/>
  <c r="G497" i="38"/>
  <c r="I497" i="38" s="1"/>
  <c r="G496" i="38"/>
  <c r="I496" i="38" s="1"/>
  <c r="G495" i="38"/>
  <c r="I495" i="38" s="1"/>
  <c r="G494" i="38"/>
  <c r="I494" i="38" s="1"/>
  <c r="G493" i="38"/>
  <c r="I493" i="38" s="1"/>
  <c r="G492" i="38"/>
  <c r="I492" i="38" s="1"/>
  <c r="G491" i="38"/>
  <c r="I491" i="38" s="1"/>
  <c r="G490" i="38"/>
  <c r="I490" i="38" s="1"/>
  <c r="G489" i="38"/>
  <c r="I489" i="38" s="1"/>
  <c r="G488" i="38"/>
  <c r="I488" i="38" s="1"/>
  <c r="G487" i="38"/>
  <c r="I487" i="38" s="1"/>
  <c r="G486" i="38"/>
  <c r="I486" i="38" s="1"/>
  <c r="G485" i="38"/>
  <c r="I485" i="38" s="1"/>
  <c r="G484" i="38"/>
  <c r="I484" i="38" s="1"/>
  <c r="G483" i="38"/>
  <c r="I483" i="38" s="1"/>
  <c r="G482" i="38"/>
  <c r="I482" i="38" s="1"/>
  <c r="G481" i="38"/>
  <c r="I481" i="38" s="1"/>
  <c r="G480" i="38"/>
  <c r="I480" i="38" s="1"/>
  <c r="G479" i="38"/>
  <c r="I479" i="38" s="1"/>
  <c r="G478" i="38"/>
  <c r="I478" i="38" s="1"/>
  <c r="G477" i="38"/>
  <c r="I477" i="38" s="1"/>
  <c r="G476" i="38"/>
  <c r="I476" i="38" s="1"/>
  <c r="G475" i="38"/>
  <c r="I475" i="38" s="1"/>
  <c r="G474" i="38"/>
  <c r="I474" i="38" s="1"/>
  <c r="G473" i="38"/>
  <c r="I473" i="38" s="1"/>
  <c r="G472" i="38"/>
  <c r="I472" i="38" s="1"/>
  <c r="A468" i="38"/>
  <c r="G465" i="38"/>
  <c r="I465" i="38"/>
  <c r="G464" i="38"/>
  <c r="I464" i="38"/>
  <c r="G463" i="38"/>
  <c r="I463" i="38"/>
  <c r="G462" i="38"/>
  <c r="I462" i="38"/>
  <c r="G461" i="38"/>
  <c r="I461" i="38"/>
  <c r="G460" i="38"/>
  <c r="I460" i="38"/>
  <c r="G459" i="38"/>
  <c r="I459" i="38"/>
  <c r="G458" i="38"/>
  <c r="I458" i="38"/>
  <c r="G457" i="38"/>
  <c r="I457" i="38"/>
  <c r="G456" i="38"/>
  <c r="I456" i="38"/>
  <c r="G455" i="38"/>
  <c r="I455" i="38"/>
  <c r="G454" i="38"/>
  <c r="I454" i="38"/>
  <c r="G453" i="38"/>
  <c r="I453" i="38"/>
  <c r="G452" i="38"/>
  <c r="I452" i="38"/>
  <c r="G451" i="38"/>
  <c r="I451" i="38"/>
  <c r="G450" i="38"/>
  <c r="I450" i="38"/>
  <c r="G449" i="38"/>
  <c r="I449" i="38"/>
  <c r="G448" i="38"/>
  <c r="I448" i="38"/>
  <c r="G447" i="38"/>
  <c r="I447" i="38"/>
  <c r="G446" i="38"/>
  <c r="I446" i="38"/>
  <c r="G445" i="38"/>
  <c r="I445" i="38"/>
  <c r="G444" i="38"/>
  <c r="I444" i="38"/>
  <c r="G443" i="38"/>
  <c r="I443" i="38"/>
  <c r="G442" i="38"/>
  <c r="I442" i="38"/>
  <c r="G441" i="38"/>
  <c r="I441" i="38"/>
  <c r="G440" i="38"/>
  <c r="I440" i="38"/>
  <c r="G439" i="38"/>
  <c r="I439" i="38"/>
  <c r="G438" i="38"/>
  <c r="I438" i="38"/>
  <c r="G437" i="38"/>
  <c r="I437" i="38"/>
  <c r="G436" i="38"/>
  <c r="I436" i="38"/>
  <c r="G435" i="38"/>
  <c r="I435" i="38"/>
  <c r="G434" i="38"/>
  <c r="I434" i="38"/>
  <c r="G433" i="38"/>
  <c r="I433" i="38"/>
  <c r="G432" i="38"/>
  <c r="I432" i="38"/>
  <c r="G431" i="38"/>
  <c r="I431" i="38"/>
  <c r="G430" i="38"/>
  <c r="I430" i="38"/>
  <c r="G429" i="38"/>
  <c r="I429" i="38"/>
  <c r="G428" i="38"/>
  <c r="I428" i="38"/>
  <c r="G427" i="38"/>
  <c r="I427" i="38"/>
  <c r="G426" i="38"/>
  <c r="I426" i="38"/>
  <c r="G425" i="38"/>
  <c r="I425" i="38"/>
  <c r="G424" i="38"/>
  <c r="I424" i="38"/>
  <c r="G423" i="38"/>
  <c r="I423" i="38"/>
  <c r="G422" i="38"/>
  <c r="I422" i="38"/>
  <c r="G421" i="38"/>
  <c r="I421" i="38"/>
  <c r="G420" i="38"/>
  <c r="I420" i="38"/>
  <c r="G419" i="38"/>
  <c r="I419" i="38"/>
  <c r="G418" i="38"/>
  <c r="I418" i="38"/>
  <c r="G417" i="38"/>
  <c r="I417" i="38"/>
  <c r="G416" i="38"/>
  <c r="I416" i="38"/>
  <c r="G415" i="38"/>
  <c r="I415" i="38"/>
  <c r="G414" i="38"/>
  <c r="I414" i="38"/>
  <c r="A410" i="38"/>
  <c r="G407" i="38"/>
  <c r="I407" i="38" s="1"/>
  <c r="G406" i="38"/>
  <c r="I406" i="38" s="1"/>
  <c r="G405" i="38"/>
  <c r="I405" i="38" s="1"/>
  <c r="G404" i="38"/>
  <c r="I404" i="38" s="1"/>
  <c r="G403" i="38"/>
  <c r="I403" i="38" s="1"/>
  <c r="G402" i="38"/>
  <c r="I402" i="38" s="1"/>
  <c r="G401" i="38"/>
  <c r="I401" i="38" s="1"/>
  <c r="G400" i="38"/>
  <c r="I400" i="38" s="1"/>
  <c r="G399" i="38"/>
  <c r="I399" i="38" s="1"/>
  <c r="G398" i="38"/>
  <c r="I398" i="38" s="1"/>
  <c r="G397" i="38"/>
  <c r="I397" i="38" s="1"/>
  <c r="G396" i="38"/>
  <c r="I396" i="38" s="1"/>
  <c r="G395" i="38"/>
  <c r="I395" i="38" s="1"/>
  <c r="G394" i="38"/>
  <c r="I394" i="38" s="1"/>
  <c r="G393" i="38"/>
  <c r="I393" i="38" s="1"/>
  <c r="G392" i="38"/>
  <c r="I392" i="38" s="1"/>
  <c r="G391" i="38"/>
  <c r="I391" i="38" s="1"/>
  <c r="G390" i="38"/>
  <c r="I390" i="38" s="1"/>
  <c r="G389" i="38"/>
  <c r="I389" i="38" s="1"/>
  <c r="G388" i="38"/>
  <c r="I388" i="38" s="1"/>
  <c r="G387" i="38"/>
  <c r="I387" i="38" s="1"/>
  <c r="G386" i="38"/>
  <c r="I386" i="38" s="1"/>
  <c r="G385" i="38"/>
  <c r="I385" i="38" s="1"/>
  <c r="G384" i="38"/>
  <c r="I384" i="38" s="1"/>
  <c r="G383" i="38"/>
  <c r="I383" i="38" s="1"/>
  <c r="G382" i="38"/>
  <c r="I382" i="38" s="1"/>
  <c r="G381" i="38"/>
  <c r="I381" i="38" s="1"/>
  <c r="G380" i="38"/>
  <c r="I380" i="38" s="1"/>
  <c r="G379" i="38"/>
  <c r="I379" i="38" s="1"/>
  <c r="G378" i="38"/>
  <c r="I378" i="38" s="1"/>
  <c r="G377" i="38"/>
  <c r="I377" i="38" s="1"/>
  <c r="G376" i="38"/>
  <c r="I376" i="38" s="1"/>
  <c r="G375" i="38"/>
  <c r="I375" i="38" s="1"/>
  <c r="G374" i="38"/>
  <c r="I374" i="38" s="1"/>
  <c r="G373" i="38"/>
  <c r="I373" i="38" s="1"/>
  <c r="G372" i="38"/>
  <c r="I372" i="38" s="1"/>
  <c r="G371" i="38"/>
  <c r="I371" i="38" s="1"/>
  <c r="G370" i="38"/>
  <c r="I370" i="38" s="1"/>
  <c r="G369" i="38"/>
  <c r="I369" i="38" s="1"/>
  <c r="G368" i="38"/>
  <c r="I368" i="38" s="1"/>
  <c r="G367" i="38"/>
  <c r="I367" i="38" s="1"/>
  <c r="G366" i="38"/>
  <c r="I366" i="38" s="1"/>
  <c r="G365" i="38"/>
  <c r="I365" i="38" s="1"/>
  <c r="G364" i="38"/>
  <c r="I364" i="38" s="1"/>
  <c r="G363" i="38"/>
  <c r="I363" i="38" s="1"/>
  <c r="G362" i="38"/>
  <c r="I362" i="38" s="1"/>
  <c r="G361" i="38"/>
  <c r="I361" i="38" s="1"/>
  <c r="G360" i="38"/>
  <c r="I360" i="38" s="1"/>
  <c r="G359" i="38"/>
  <c r="I359" i="38" s="1"/>
  <c r="G358" i="38"/>
  <c r="I358" i="38" s="1"/>
  <c r="G357" i="38"/>
  <c r="I357" i="38" s="1"/>
  <c r="G356" i="38"/>
  <c r="I356" i="38" s="1"/>
  <c r="A352" i="38"/>
  <c r="G349" i="38"/>
  <c r="I349" i="38"/>
  <c r="G348" i="38"/>
  <c r="I348" i="38"/>
  <c r="G347" i="38"/>
  <c r="I347" i="38"/>
  <c r="G346" i="38"/>
  <c r="I346" i="38"/>
  <c r="G345" i="38"/>
  <c r="I345" i="38"/>
  <c r="G344" i="38"/>
  <c r="I344" i="38"/>
  <c r="G343" i="38"/>
  <c r="I343" i="38"/>
  <c r="G342" i="38"/>
  <c r="I342" i="38"/>
  <c r="G341" i="38"/>
  <c r="I341" i="38"/>
  <c r="G340" i="38"/>
  <c r="I340" i="38"/>
  <c r="G339" i="38"/>
  <c r="I339" i="38"/>
  <c r="G338" i="38"/>
  <c r="I338" i="38"/>
  <c r="G337" i="38"/>
  <c r="I337" i="38"/>
  <c r="G336" i="38"/>
  <c r="I336" i="38"/>
  <c r="G335" i="38"/>
  <c r="I335" i="38"/>
  <c r="G334" i="38"/>
  <c r="I334" i="38"/>
  <c r="G333" i="38"/>
  <c r="I333" i="38"/>
  <c r="G332" i="38"/>
  <c r="I332" i="38"/>
  <c r="G331" i="38"/>
  <c r="I331" i="38"/>
  <c r="G330" i="38"/>
  <c r="I330" i="38"/>
  <c r="G329" i="38"/>
  <c r="I329" i="38"/>
  <c r="G328" i="38"/>
  <c r="I328" i="38"/>
  <c r="G327" i="38"/>
  <c r="I327" i="38"/>
  <c r="G326" i="38"/>
  <c r="I326" i="38"/>
  <c r="G325" i="38"/>
  <c r="I325" i="38"/>
  <c r="G324" i="38"/>
  <c r="I324" i="38"/>
  <c r="G323" i="38"/>
  <c r="I323" i="38"/>
  <c r="G322" i="38"/>
  <c r="I322" i="38"/>
  <c r="G321" i="38"/>
  <c r="I321" i="38"/>
  <c r="G320" i="38"/>
  <c r="I320" i="38"/>
  <c r="G319" i="38"/>
  <c r="I319" i="38"/>
  <c r="G318" i="38"/>
  <c r="I318" i="38"/>
  <c r="G317" i="38"/>
  <c r="I317" i="38"/>
  <c r="G316" i="38"/>
  <c r="I316" i="38"/>
  <c r="G315" i="38"/>
  <c r="I315" i="38"/>
  <c r="G314" i="38"/>
  <c r="I314" i="38"/>
  <c r="G313" i="38"/>
  <c r="I313" i="38"/>
  <c r="G312" i="38"/>
  <c r="I312" i="38"/>
  <c r="G311" i="38"/>
  <c r="I311" i="38"/>
  <c r="G310" i="38"/>
  <c r="I310" i="38"/>
  <c r="G309" i="38"/>
  <c r="I309" i="38"/>
  <c r="G308" i="38"/>
  <c r="I308" i="38"/>
  <c r="G307" i="38"/>
  <c r="I307" i="38"/>
  <c r="G306" i="38"/>
  <c r="I306" i="38"/>
  <c r="G305" i="38"/>
  <c r="I305" i="38"/>
  <c r="G304" i="38"/>
  <c r="I304" i="38"/>
  <c r="G303" i="38"/>
  <c r="I303" i="38"/>
  <c r="G302" i="38"/>
  <c r="I302" i="38"/>
  <c r="G301" i="38"/>
  <c r="I301" i="38"/>
  <c r="G300" i="38"/>
  <c r="I300" i="38"/>
  <c r="G299" i="38"/>
  <c r="I299" i="38"/>
  <c r="G298" i="38"/>
  <c r="I298" i="38"/>
  <c r="A294" i="38"/>
  <c r="G291" i="38"/>
  <c r="I291" i="38" s="1"/>
  <c r="G290" i="38"/>
  <c r="I290" i="38" s="1"/>
  <c r="G289" i="38"/>
  <c r="I289" i="38" s="1"/>
  <c r="G288" i="38"/>
  <c r="I288" i="38" s="1"/>
  <c r="G287" i="38"/>
  <c r="I287" i="38" s="1"/>
  <c r="G286" i="38"/>
  <c r="I286" i="38" s="1"/>
  <c r="G285" i="38"/>
  <c r="I285" i="38" s="1"/>
  <c r="G284" i="38"/>
  <c r="I284" i="38" s="1"/>
  <c r="G283" i="38"/>
  <c r="I283" i="38" s="1"/>
  <c r="G282" i="38"/>
  <c r="I282" i="38" s="1"/>
  <c r="G281" i="38"/>
  <c r="I281" i="38" s="1"/>
  <c r="G280" i="38"/>
  <c r="I280" i="38" s="1"/>
  <c r="G279" i="38"/>
  <c r="I279" i="38" s="1"/>
  <c r="G278" i="38"/>
  <c r="I278" i="38" s="1"/>
  <c r="G277" i="38"/>
  <c r="I277" i="38" s="1"/>
  <c r="G276" i="38"/>
  <c r="I276" i="38" s="1"/>
  <c r="G275" i="38"/>
  <c r="I275" i="38" s="1"/>
  <c r="G274" i="38"/>
  <c r="I274" i="38" s="1"/>
  <c r="G273" i="38"/>
  <c r="I273" i="38" s="1"/>
  <c r="G272" i="38"/>
  <c r="I272" i="38" s="1"/>
  <c r="G271" i="38"/>
  <c r="I271" i="38" s="1"/>
  <c r="G270" i="38"/>
  <c r="I270" i="38" s="1"/>
  <c r="G269" i="38"/>
  <c r="I269" i="38" s="1"/>
  <c r="G268" i="38"/>
  <c r="I268" i="38" s="1"/>
  <c r="G267" i="38"/>
  <c r="I267" i="38" s="1"/>
  <c r="G266" i="38"/>
  <c r="I266" i="38" s="1"/>
  <c r="G265" i="38"/>
  <c r="I265" i="38" s="1"/>
  <c r="G264" i="38"/>
  <c r="I264" i="38" s="1"/>
  <c r="G263" i="38"/>
  <c r="I263" i="38" s="1"/>
  <c r="G262" i="38"/>
  <c r="I262" i="38" s="1"/>
  <c r="G261" i="38"/>
  <c r="I261" i="38" s="1"/>
  <c r="G260" i="38"/>
  <c r="I260" i="38" s="1"/>
  <c r="G259" i="38"/>
  <c r="I259" i="38" s="1"/>
  <c r="G258" i="38"/>
  <c r="I258" i="38" s="1"/>
  <c r="G257" i="38"/>
  <c r="I257" i="38" s="1"/>
  <c r="G256" i="38"/>
  <c r="I256" i="38" s="1"/>
  <c r="G255" i="38"/>
  <c r="I255" i="38" s="1"/>
  <c r="G254" i="38"/>
  <c r="I254" i="38" s="1"/>
  <c r="G253" i="38"/>
  <c r="I253" i="38" s="1"/>
  <c r="G252" i="38"/>
  <c r="I252" i="38" s="1"/>
  <c r="G251" i="38"/>
  <c r="I251" i="38" s="1"/>
  <c r="G250" i="38"/>
  <c r="I250" i="38" s="1"/>
  <c r="G249" i="38"/>
  <c r="I249" i="38" s="1"/>
  <c r="G248" i="38"/>
  <c r="I248" i="38" s="1"/>
  <c r="G247" i="38"/>
  <c r="I247" i="38" s="1"/>
  <c r="G246" i="38"/>
  <c r="I246" i="38" s="1"/>
  <c r="G245" i="38"/>
  <c r="I245" i="38" s="1"/>
  <c r="G244" i="38"/>
  <c r="I244" i="38" s="1"/>
  <c r="G243" i="38"/>
  <c r="I243" i="38" s="1"/>
  <c r="G242" i="38"/>
  <c r="I242" i="38" s="1"/>
  <c r="G241" i="38"/>
  <c r="I241" i="38" s="1"/>
  <c r="G240" i="38"/>
  <c r="I240" i="38" s="1"/>
  <c r="A236" i="38"/>
  <c r="G233" i="38"/>
  <c r="I233" i="38"/>
  <c r="G232" i="38"/>
  <c r="I232" i="38"/>
  <c r="G231" i="38"/>
  <c r="I231" i="38"/>
  <c r="G230" i="38"/>
  <c r="I230" i="38"/>
  <c r="G229" i="38"/>
  <c r="I229" i="38"/>
  <c r="G228" i="38"/>
  <c r="I228" i="38"/>
  <c r="G227" i="38"/>
  <c r="I227" i="38"/>
  <c r="G226" i="38"/>
  <c r="I226" i="38"/>
  <c r="G225" i="38"/>
  <c r="I225" i="38"/>
  <c r="G224" i="38"/>
  <c r="I224" i="38"/>
  <c r="G223" i="38"/>
  <c r="I223" i="38"/>
  <c r="G222" i="38"/>
  <c r="I222" i="38"/>
  <c r="G221" i="38"/>
  <c r="I221" i="38"/>
  <c r="G220" i="38"/>
  <c r="I220" i="38"/>
  <c r="G219" i="38"/>
  <c r="I219" i="38"/>
  <c r="G218" i="38"/>
  <c r="I218" i="38"/>
  <c r="G217" i="38"/>
  <c r="I217" i="38"/>
  <c r="G216" i="38"/>
  <c r="I216" i="38"/>
  <c r="G215" i="38"/>
  <c r="I215" i="38"/>
  <c r="G214" i="38"/>
  <c r="I214" i="38"/>
  <c r="G213" i="38"/>
  <c r="I213" i="38"/>
  <c r="G212" i="38"/>
  <c r="I212" i="38"/>
  <c r="G211" i="38"/>
  <c r="I211" i="38"/>
  <c r="G210" i="38"/>
  <c r="I210" i="38"/>
  <c r="G209" i="38"/>
  <c r="I209" i="38"/>
  <c r="G208" i="38"/>
  <c r="I208" i="38"/>
  <c r="G207" i="38"/>
  <c r="I207" i="38"/>
  <c r="G206" i="38"/>
  <c r="I206" i="38"/>
  <c r="G205" i="38"/>
  <c r="I205" i="38"/>
  <c r="G204" i="38"/>
  <c r="I204" i="38"/>
  <c r="G203" i="38"/>
  <c r="I203" i="38"/>
  <c r="G202" i="38"/>
  <c r="I202" i="38"/>
  <c r="G201" i="38"/>
  <c r="I201" i="38"/>
  <c r="G200" i="38"/>
  <c r="I200" i="38"/>
  <c r="G199" i="38"/>
  <c r="I199" i="38"/>
  <c r="G198" i="38"/>
  <c r="I198" i="38"/>
  <c r="G197" i="38"/>
  <c r="I197" i="38"/>
  <c r="G196" i="38"/>
  <c r="I196" i="38"/>
  <c r="G195" i="38"/>
  <c r="I195" i="38"/>
  <c r="G194" i="38"/>
  <c r="I194" i="38"/>
  <c r="G193" i="38"/>
  <c r="I193" i="38"/>
  <c r="G192" i="38"/>
  <c r="I192" i="38"/>
  <c r="G191" i="38"/>
  <c r="I191" i="38"/>
  <c r="G190" i="38"/>
  <c r="I190" i="38"/>
  <c r="G189" i="38"/>
  <c r="I189" i="38"/>
  <c r="G188" i="38"/>
  <c r="I188" i="38"/>
  <c r="G187" i="38"/>
  <c r="I187" i="38"/>
  <c r="G186" i="38"/>
  <c r="I186" i="38"/>
  <c r="G185" i="38"/>
  <c r="I185" i="38"/>
  <c r="G184" i="38"/>
  <c r="I184" i="38"/>
  <c r="G183" i="38"/>
  <c r="I183" i="38"/>
  <c r="G182" i="38"/>
  <c r="I182" i="38"/>
  <c r="A178" i="38"/>
  <c r="G175" i="38"/>
  <c r="I175" i="38" s="1"/>
  <c r="G174" i="38"/>
  <c r="I174" i="38" s="1"/>
  <c r="G173" i="38"/>
  <c r="I173" i="38" s="1"/>
  <c r="G172" i="38"/>
  <c r="I172" i="38" s="1"/>
  <c r="G171" i="38"/>
  <c r="I171" i="38" s="1"/>
  <c r="G170" i="38"/>
  <c r="I170" i="38" s="1"/>
  <c r="G169" i="38"/>
  <c r="I169" i="38" s="1"/>
  <c r="G168" i="38"/>
  <c r="I168" i="38" s="1"/>
  <c r="G167" i="38"/>
  <c r="I167" i="38" s="1"/>
  <c r="G166" i="38"/>
  <c r="I166" i="38" s="1"/>
  <c r="G165" i="38"/>
  <c r="I165" i="38" s="1"/>
  <c r="G164" i="38"/>
  <c r="I164" i="38" s="1"/>
  <c r="G163" i="38"/>
  <c r="I163" i="38" s="1"/>
  <c r="G162" i="38"/>
  <c r="I162" i="38" s="1"/>
  <c r="G161" i="38"/>
  <c r="I161" i="38" s="1"/>
  <c r="G160" i="38"/>
  <c r="I160" i="38" s="1"/>
  <c r="G159" i="38"/>
  <c r="I159" i="38" s="1"/>
  <c r="G158" i="38"/>
  <c r="I158" i="38" s="1"/>
  <c r="G157" i="38"/>
  <c r="I157" i="38" s="1"/>
  <c r="G156" i="38"/>
  <c r="I156" i="38" s="1"/>
  <c r="G155" i="38"/>
  <c r="I155" i="38" s="1"/>
  <c r="G154" i="38"/>
  <c r="I154" i="38" s="1"/>
  <c r="G153" i="38"/>
  <c r="I153" i="38" s="1"/>
  <c r="G152" i="38"/>
  <c r="I152" i="38" s="1"/>
  <c r="G151" i="38"/>
  <c r="I151" i="38" s="1"/>
  <c r="G150" i="38"/>
  <c r="I150" i="38" s="1"/>
  <c r="G149" i="38"/>
  <c r="I149" i="38" s="1"/>
  <c r="G148" i="38"/>
  <c r="I148" i="38" s="1"/>
  <c r="G147" i="38"/>
  <c r="I147" i="38" s="1"/>
  <c r="G146" i="38"/>
  <c r="I146" i="38" s="1"/>
  <c r="G145" i="38"/>
  <c r="I145" i="38" s="1"/>
  <c r="G144" i="38"/>
  <c r="I144" i="38" s="1"/>
  <c r="G143" i="38"/>
  <c r="I143" i="38" s="1"/>
  <c r="G142" i="38"/>
  <c r="I142" i="38" s="1"/>
  <c r="G141" i="38"/>
  <c r="I141" i="38" s="1"/>
  <c r="G140" i="38"/>
  <c r="I140" i="38" s="1"/>
  <c r="G139" i="38"/>
  <c r="I139" i="38" s="1"/>
  <c r="G138" i="38"/>
  <c r="I138" i="38" s="1"/>
  <c r="G137" i="38"/>
  <c r="I137" i="38" s="1"/>
  <c r="G136" i="38"/>
  <c r="I136" i="38" s="1"/>
  <c r="G135" i="38"/>
  <c r="I135" i="38" s="1"/>
  <c r="G134" i="38"/>
  <c r="I134" i="38" s="1"/>
  <c r="G133" i="38"/>
  <c r="I133" i="38" s="1"/>
  <c r="G132" i="38"/>
  <c r="I132" i="38" s="1"/>
  <c r="G131" i="38"/>
  <c r="I131" i="38" s="1"/>
  <c r="G130" i="38"/>
  <c r="I130" i="38" s="1"/>
  <c r="G129" i="38"/>
  <c r="I129" i="38" s="1"/>
  <c r="G128" i="38"/>
  <c r="I128" i="38" s="1"/>
  <c r="G127" i="38"/>
  <c r="I127" i="38" s="1"/>
  <c r="G126" i="38"/>
  <c r="I126" i="38" s="1"/>
  <c r="G125" i="38"/>
  <c r="I125" i="38" s="1"/>
  <c r="G124" i="38"/>
  <c r="I124" i="38" s="1"/>
  <c r="A120" i="38"/>
  <c r="G111" i="38"/>
  <c r="I111" i="38"/>
  <c r="G110" i="38"/>
  <c r="I110" i="38"/>
  <c r="G109" i="38"/>
  <c r="I109" i="38"/>
  <c r="G108" i="38"/>
  <c r="I108" i="38"/>
  <c r="G107" i="38"/>
  <c r="I107" i="38"/>
  <c r="G106" i="38"/>
  <c r="I106" i="38"/>
  <c r="G105" i="38"/>
  <c r="I105" i="38"/>
  <c r="G104" i="38"/>
  <c r="I104" i="38"/>
  <c r="G103" i="38"/>
  <c r="I103" i="38"/>
  <c r="G102" i="38"/>
  <c r="I102" i="38"/>
  <c r="G101" i="38"/>
  <c r="I101" i="38"/>
  <c r="G100" i="38"/>
  <c r="I100" i="38"/>
  <c r="G99" i="38"/>
  <c r="I99" i="38"/>
  <c r="G98" i="38"/>
  <c r="I98" i="38"/>
  <c r="G97" i="38"/>
  <c r="I97" i="38"/>
  <c r="G96" i="38"/>
  <c r="I96" i="38"/>
  <c r="G95" i="38"/>
  <c r="I95" i="38"/>
  <c r="G94" i="38"/>
  <c r="I94" i="38"/>
  <c r="G93" i="38"/>
  <c r="I93" i="38"/>
  <c r="G92" i="38"/>
  <c r="I92" i="38"/>
  <c r="G91" i="38"/>
  <c r="I91" i="38"/>
  <c r="G90" i="38"/>
  <c r="I90" i="38"/>
  <c r="G89" i="38"/>
  <c r="I89" i="38"/>
  <c r="G88" i="38"/>
  <c r="I88" i="38"/>
  <c r="G87" i="38"/>
  <c r="I87" i="38"/>
  <c r="G86" i="38"/>
  <c r="I86" i="38"/>
  <c r="G85" i="38"/>
  <c r="I85" i="38"/>
  <c r="G84" i="38"/>
  <c r="I84" i="38"/>
  <c r="G83" i="38"/>
  <c r="I83" i="38"/>
  <c r="G82" i="38"/>
  <c r="I82" i="38"/>
  <c r="G81" i="38"/>
  <c r="I81" i="38"/>
  <c r="G80" i="38"/>
  <c r="I80" i="38"/>
  <c r="G79" i="38"/>
  <c r="I79" i="38"/>
  <c r="G78" i="38"/>
  <c r="I78" i="38"/>
  <c r="G77" i="38"/>
  <c r="I77" i="38"/>
  <c r="G76" i="38"/>
  <c r="I76" i="38"/>
  <c r="G75" i="38"/>
  <c r="I75" i="38"/>
  <c r="G74" i="38"/>
  <c r="I74" i="38"/>
  <c r="G73" i="38"/>
  <c r="I73" i="38"/>
  <c r="G72" i="38"/>
  <c r="I72" i="38"/>
  <c r="G71" i="38"/>
  <c r="I71" i="38"/>
  <c r="G70" i="38"/>
  <c r="I70" i="38"/>
  <c r="G69" i="38"/>
  <c r="I69" i="38"/>
  <c r="G117" i="38"/>
  <c r="I117" i="38"/>
  <c r="G116" i="38"/>
  <c r="I116" i="38"/>
  <c r="G115" i="38"/>
  <c r="I115" i="38"/>
  <c r="G114" i="38"/>
  <c r="I114" i="38"/>
  <c r="G113" i="38"/>
  <c r="I113" i="38"/>
  <c r="G112" i="38"/>
  <c r="I112" i="38"/>
  <c r="G68" i="38"/>
  <c r="I68" i="38"/>
  <c r="G67" i="38"/>
  <c r="I67" i="38"/>
  <c r="G66" i="38"/>
  <c r="I66" i="38"/>
  <c r="A62" i="38"/>
  <c r="C55" i="43"/>
  <c r="C56" i="43"/>
  <c r="A1" i="43"/>
  <c r="C45" i="43"/>
  <c r="C43" i="43"/>
  <c r="C41" i="43"/>
  <c r="C39" i="43"/>
  <c r="C37" i="43"/>
  <c r="C35" i="43"/>
  <c r="J53" i="43"/>
  <c r="J52" i="43"/>
  <c r="C33" i="43"/>
  <c r="J51" i="43"/>
  <c r="J50" i="43"/>
  <c r="C31" i="43"/>
  <c r="J49" i="43"/>
  <c r="J48" i="43"/>
  <c r="C29" i="43"/>
  <c r="G53" i="43"/>
  <c r="G52" i="43"/>
  <c r="C27" i="43"/>
  <c r="G51" i="43"/>
  <c r="G50" i="43"/>
  <c r="C25" i="43"/>
  <c r="G49" i="43"/>
  <c r="G48" i="43"/>
  <c r="C23" i="43"/>
  <c r="D53" i="43"/>
  <c r="D52" i="43"/>
  <c r="C21" i="43"/>
  <c r="D51" i="43"/>
  <c r="C19" i="43"/>
  <c r="D49" i="43"/>
  <c r="D48" i="43"/>
  <c r="C17" i="43"/>
  <c r="B17" i="43"/>
  <c r="C16" i="43"/>
  <c r="C11" i="43"/>
  <c r="C10" i="43"/>
  <c r="D8" i="43"/>
  <c r="C8" i="43"/>
  <c r="C7" i="43"/>
  <c r="C6" i="43"/>
  <c r="C5" i="43"/>
  <c r="R23" i="15"/>
  <c r="Q23" i="15"/>
  <c r="O23" i="15"/>
  <c r="R22" i="15"/>
  <c r="Q22" i="15"/>
  <c r="O22" i="15"/>
  <c r="R21" i="15"/>
  <c r="Q21" i="15"/>
  <c r="O21" i="15"/>
  <c r="M25" i="11"/>
  <c r="M24" i="11"/>
  <c r="M23" i="11"/>
  <c r="M22" i="11"/>
  <c r="M21" i="11"/>
  <c r="M20" i="11"/>
  <c r="M19" i="11"/>
  <c r="M18" i="11"/>
  <c r="M17" i="11"/>
  <c r="M16" i="11"/>
  <c r="M15" i="11"/>
  <c r="M14" i="11"/>
  <c r="M13" i="11"/>
  <c r="M12" i="11"/>
  <c r="M11" i="11"/>
  <c r="M10" i="11"/>
  <c r="M9" i="11"/>
  <c r="M8" i="11"/>
  <c r="M7" i="11"/>
  <c r="AG20" i="31"/>
  <c r="AF20" i="31"/>
  <c r="AE20" i="31"/>
  <c r="AD20" i="31"/>
  <c r="AC20" i="31"/>
  <c r="AB20" i="31"/>
  <c r="AA20" i="31"/>
  <c r="X20" i="31"/>
  <c r="W20" i="31"/>
  <c r="V20" i="31"/>
  <c r="U20" i="31"/>
  <c r="Q20" i="31"/>
  <c r="P20" i="31"/>
  <c r="AG19" i="31"/>
  <c r="AF19" i="31"/>
  <c r="AE19" i="31"/>
  <c r="AD19" i="31"/>
  <c r="AC19" i="31"/>
  <c r="AB19" i="31"/>
  <c r="AA19" i="31"/>
  <c r="X19" i="31"/>
  <c r="W19" i="31"/>
  <c r="V19" i="31"/>
  <c r="U19" i="31"/>
  <c r="Q19" i="31"/>
  <c r="P19" i="31"/>
  <c r="AG18" i="31"/>
  <c r="AF18" i="31"/>
  <c r="AE18" i="31"/>
  <c r="AD18" i="31"/>
  <c r="AC18" i="31"/>
  <c r="AB18" i="31"/>
  <c r="AA18" i="31"/>
  <c r="X18" i="31"/>
  <c r="W18" i="31"/>
  <c r="V18" i="31"/>
  <c r="U18" i="31"/>
  <c r="Q18" i="31"/>
  <c r="P18" i="31"/>
  <c r="B25" i="42"/>
  <c r="B24" i="42"/>
  <c r="B24" i="39"/>
  <c r="B23" i="39"/>
  <c r="B22" i="39"/>
  <c r="O15" i="24"/>
  <c r="F15" i="24"/>
  <c r="E15" i="24"/>
  <c r="O14" i="24"/>
  <c r="F14" i="24"/>
  <c r="E14" i="24"/>
  <c r="AS25" i="13"/>
  <c r="AR25" i="13"/>
  <c r="AQ25" i="13"/>
  <c r="AP25" i="13"/>
  <c r="AJ25" i="13"/>
  <c r="AH25" i="13"/>
  <c r="P25" i="13"/>
  <c r="O25" i="13"/>
  <c r="Q25" i="13" s="1"/>
  <c r="M25" i="13"/>
  <c r="L25" i="13"/>
  <c r="K25" i="13"/>
  <c r="AS24" i="13"/>
  <c r="AR24" i="13"/>
  <c r="AQ24" i="13"/>
  <c r="AP24" i="13"/>
  <c r="AJ24" i="13"/>
  <c r="AH24" i="13"/>
  <c r="P24" i="13"/>
  <c r="O24" i="13"/>
  <c r="Q24" i="13" s="1"/>
  <c r="M24" i="13"/>
  <c r="L24" i="13" s="1"/>
  <c r="K24" i="13"/>
  <c r="AS23" i="13"/>
  <c r="AR23" i="13"/>
  <c r="AQ23" i="13"/>
  <c r="AP23" i="13"/>
  <c r="AJ23" i="13"/>
  <c r="AH23" i="13"/>
  <c r="P23" i="13"/>
  <c r="O23" i="13"/>
  <c r="Q23" i="13" s="1"/>
  <c r="M23" i="13"/>
  <c r="N23" i="13" s="1"/>
  <c r="K23" i="13"/>
  <c r="F48" i="42"/>
  <c r="E48" i="42"/>
  <c r="F47" i="42"/>
  <c r="E47" i="42"/>
  <c r="F46" i="42"/>
  <c r="E46" i="42"/>
  <c r="F45" i="42"/>
  <c r="E45" i="42"/>
  <c r="F44" i="42"/>
  <c r="E44" i="42"/>
  <c r="F43" i="42"/>
  <c r="E43" i="42"/>
  <c r="F42" i="42"/>
  <c r="E42" i="42"/>
  <c r="F41" i="42"/>
  <c r="E41" i="42"/>
  <c r="F40" i="42"/>
  <c r="E40" i="42"/>
  <c r="F39" i="42"/>
  <c r="E39" i="42"/>
  <c r="F38" i="42"/>
  <c r="E38" i="42"/>
  <c r="F37" i="42"/>
  <c r="E37" i="42"/>
  <c r="F36" i="42"/>
  <c r="E36" i="42"/>
  <c r="F35" i="42"/>
  <c r="E35" i="42"/>
  <c r="F34" i="42"/>
  <c r="E34" i="42"/>
  <c r="F33" i="42"/>
  <c r="E33" i="42"/>
  <c r="F32" i="42"/>
  <c r="E32" i="42"/>
  <c r="F31" i="42"/>
  <c r="E31" i="42"/>
  <c r="F30" i="42"/>
  <c r="E30" i="42"/>
  <c r="F29" i="42"/>
  <c r="E29" i="42"/>
  <c r="F28" i="42"/>
  <c r="E28" i="42"/>
  <c r="F27" i="42"/>
  <c r="E27" i="42"/>
  <c r="F26" i="42"/>
  <c r="E26" i="42"/>
  <c r="F25" i="42"/>
  <c r="E25" i="42"/>
  <c r="F24" i="42"/>
  <c r="E24" i="42"/>
  <c r="F23" i="42"/>
  <c r="E23" i="42"/>
  <c r="F22" i="42"/>
  <c r="E22" i="42"/>
  <c r="F21" i="42"/>
  <c r="E21" i="42"/>
  <c r="F20" i="42"/>
  <c r="E20" i="42"/>
  <c r="F19" i="42"/>
  <c r="E19" i="42"/>
  <c r="F18" i="42"/>
  <c r="E18" i="42"/>
  <c r="F17" i="42"/>
  <c r="E17" i="42"/>
  <c r="F16" i="42"/>
  <c r="E16" i="42"/>
  <c r="F15" i="42"/>
  <c r="E15" i="42"/>
  <c r="F14" i="42"/>
  <c r="E14" i="42"/>
  <c r="F13" i="42"/>
  <c r="E13" i="42"/>
  <c r="F12" i="42"/>
  <c r="E12" i="42"/>
  <c r="F11" i="42"/>
  <c r="E11" i="42"/>
  <c r="F10" i="42"/>
  <c r="E10" i="42"/>
  <c r="F9" i="42"/>
  <c r="E9" i="42"/>
  <c r="F8" i="42"/>
  <c r="E8" i="42"/>
  <c r="F7" i="42"/>
  <c r="E7" i="42"/>
  <c r="F6" i="42"/>
  <c r="E6" i="42"/>
  <c r="F5" i="42"/>
  <c r="E5" i="42"/>
  <c r="B48" i="21"/>
  <c r="E48" i="21"/>
  <c r="F48" i="21" s="1"/>
  <c r="B46" i="21"/>
  <c r="E46" i="21"/>
  <c r="F46" i="21" s="1"/>
  <c r="B44" i="21"/>
  <c r="E44" i="21"/>
  <c r="F44" i="21"/>
  <c r="B42" i="21"/>
  <c r="E42" i="21" s="1"/>
  <c r="F42" i="21"/>
  <c r="B40" i="21"/>
  <c r="E40" i="21"/>
  <c r="F40" i="21" s="1"/>
  <c r="B38" i="21"/>
  <c r="E38" i="21"/>
  <c r="F38" i="21" s="1"/>
  <c r="G38" i="21" s="1"/>
  <c r="B36" i="21"/>
  <c r="E36" i="21"/>
  <c r="F36" i="21"/>
  <c r="B32" i="21"/>
  <c r="E32" i="21" s="1"/>
  <c r="F32" i="21"/>
  <c r="B30" i="21"/>
  <c r="E30" i="21"/>
  <c r="F30" i="21" s="1"/>
  <c r="G32" i="38"/>
  <c r="I32" i="38"/>
  <c r="G31" i="38"/>
  <c r="I31" i="38"/>
  <c r="G30" i="38"/>
  <c r="I30" i="38"/>
  <c r="G29" i="38"/>
  <c r="I29" i="38"/>
  <c r="G28" i="38"/>
  <c r="I28" i="38"/>
  <c r="G27" i="38"/>
  <c r="I27" i="38"/>
  <c r="G26" i="38"/>
  <c r="I26" i="38"/>
  <c r="G25" i="38"/>
  <c r="I25" i="38"/>
  <c r="G24" i="38"/>
  <c r="I24" i="38"/>
  <c r="G23" i="38"/>
  <c r="I23" i="38"/>
  <c r="G22" i="38"/>
  <c r="I22" i="38"/>
  <c r="G21" i="38"/>
  <c r="I21" i="38"/>
  <c r="G20" i="38"/>
  <c r="I20" i="38"/>
  <c r="G19" i="38"/>
  <c r="I19" i="38"/>
  <c r="G18" i="38"/>
  <c r="I18" i="38"/>
  <c r="G17" i="38"/>
  <c r="I17" i="38"/>
  <c r="G16" i="38"/>
  <c r="I16" i="38"/>
  <c r="G15" i="38"/>
  <c r="I15" i="38"/>
  <c r="G14" i="38"/>
  <c r="I14" i="38"/>
  <c r="G13" i="38"/>
  <c r="I13" i="38"/>
  <c r="G12" i="38"/>
  <c r="I12" i="38"/>
  <c r="G11" i="38"/>
  <c r="I11" i="38"/>
  <c r="G10" i="38"/>
  <c r="I10" i="38"/>
  <c r="G9" i="38"/>
  <c r="I9" i="38"/>
  <c r="G8" i="38"/>
  <c r="I8" i="38"/>
  <c r="G7" i="38"/>
  <c r="I7" i="38"/>
  <c r="Q7" i="38"/>
  <c r="G6" i="38"/>
  <c r="I6" i="38" s="1"/>
  <c r="P6" i="38"/>
  <c r="G5" i="38"/>
  <c r="I5" i="38"/>
  <c r="O5" i="38"/>
  <c r="P130" i="13"/>
  <c r="O130" i="13"/>
  <c r="Q130" i="13" s="1"/>
  <c r="M130" i="13"/>
  <c r="L130" i="13"/>
  <c r="N130" i="13"/>
  <c r="K130" i="13"/>
  <c r="P129" i="13"/>
  <c r="O129" i="13"/>
  <c r="Q129" i="13" s="1"/>
  <c r="M129" i="13"/>
  <c r="L129" i="13" s="1"/>
  <c r="K129" i="13"/>
  <c r="P128" i="13"/>
  <c r="O128" i="13"/>
  <c r="Q128" i="13" s="1"/>
  <c r="M128" i="13"/>
  <c r="L128" i="13" s="1"/>
  <c r="K128" i="13"/>
  <c r="P127" i="13"/>
  <c r="O127" i="13"/>
  <c r="Q127" i="13" s="1"/>
  <c r="M127" i="13"/>
  <c r="L127" i="13" s="1"/>
  <c r="K127" i="13"/>
  <c r="P126" i="13"/>
  <c r="O126" i="13"/>
  <c r="Q126" i="13" s="1"/>
  <c r="M126" i="13"/>
  <c r="N126" i="13" s="1"/>
  <c r="K126" i="13"/>
  <c r="P125" i="13"/>
  <c r="O125" i="13"/>
  <c r="Q125" i="13" s="1"/>
  <c r="M125" i="13"/>
  <c r="N125" i="13" s="1"/>
  <c r="K125" i="13"/>
  <c r="P124" i="13"/>
  <c r="O124" i="13"/>
  <c r="Q124" i="13" s="1"/>
  <c r="M124" i="13"/>
  <c r="L124" i="13" s="1"/>
  <c r="K124" i="13"/>
  <c r="P123" i="13"/>
  <c r="O123" i="13"/>
  <c r="Q123" i="13" s="1"/>
  <c r="M123" i="13"/>
  <c r="N123" i="13" s="1"/>
  <c r="K123" i="13"/>
  <c r="P122" i="13"/>
  <c r="O122" i="13"/>
  <c r="Q122" i="13" s="1"/>
  <c r="M122" i="13"/>
  <c r="N122" i="13" s="1"/>
  <c r="K122" i="13"/>
  <c r="P121" i="13"/>
  <c r="O121" i="13"/>
  <c r="Q121" i="13" s="1"/>
  <c r="M121" i="13"/>
  <c r="L121" i="13" s="1"/>
  <c r="K121" i="13"/>
  <c r="P120" i="13"/>
  <c r="O120" i="13"/>
  <c r="Q120" i="13" s="1"/>
  <c r="M120" i="13"/>
  <c r="L120" i="13" s="1"/>
  <c r="K120" i="13"/>
  <c r="P119" i="13"/>
  <c r="O119" i="13"/>
  <c r="Q119" i="13" s="1"/>
  <c r="M119" i="13"/>
  <c r="L119" i="13" s="1"/>
  <c r="K119" i="13"/>
  <c r="P118" i="13"/>
  <c r="O118" i="13"/>
  <c r="Q118" i="13" s="1"/>
  <c r="M118" i="13"/>
  <c r="N118" i="13" s="1"/>
  <c r="K118" i="13"/>
  <c r="P117" i="13"/>
  <c r="O117" i="13"/>
  <c r="Q117" i="13" s="1"/>
  <c r="M117" i="13"/>
  <c r="N117" i="13" s="1"/>
  <c r="K117" i="13"/>
  <c r="P116" i="13"/>
  <c r="O116" i="13"/>
  <c r="Q116" i="13" s="1"/>
  <c r="M116" i="13"/>
  <c r="L116" i="13" s="1"/>
  <c r="K116" i="13"/>
  <c r="P115" i="13"/>
  <c r="O115" i="13"/>
  <c r="Q115" i="13" s="1"/>
  <c r="M115" i="13"/>
  <c r="N115" i="13" s="1"/>
  <c r="K115" i="13"/>
  <c r="P114" i="13"/>
  <c r="O114" i="13"/>
  <c r="Q114" i="13" s="1"/>
  <c r="M114" i="13"/>
  <c r="N114" i="13" s="1"/>
  <c r="K114" i="13"/>
  <c r="P113" i="13"/>
  <c r="O113" i="13"/>
  <c r="Q113" i="13" s="1"/>
  <c r="M113" i="13"/>
  <c r="L113" i="13" s="1"/>
  <c r="K113" i="13"/>
  <c r="P112" i="13"/>
  <c r="O112" i="13"/>
  <c r="Q112" i="13" s="1"/>
  <c r="M112" i="13"/>
  <c r="L112" i="13" s="1"/>
  <c r="K112" i="13"/>
  <c r="P111" i="13"/>
  <c r="O111" i="13"/>
  <c r="Q111" i="13" s="1"/>
  <c r="M111" i="13"/>
  <c r="N111" i="13" s="1"/>
  <c r="K111" i="13"/>
  <c r="P110" i="13"/>
  <c r="O110" i="13"/>
  <c r="Q110" i="13" s="1"/>
  <c r="M110" i="13"/>
  <c r="N110" i="13" s="1"/>
  <c r="K110" i="13"/>
  <c r="P109" i="13"/>
  <c r="O109" i="13"/>
  <c r="Q109" i="13" s="1"/>
  <c r="M109" i="13"/>
  <c r="N109" i="13" s="1"/>
  <c r="K109" i="13"/>
  <c r="P108" i="13"/>
  <c r="O108" i="13"/>
  <c r="Q108" i="13" s="1"/>
  <c r="M108" i="13"/>
  <c r="L108" i="13" s="1"/>
  <c r="K108" i="13"/>
  <c r="P107" i="13"/>
  <c r="O107" i="13"/>
  <c r="Q107" i="13" s="1"/>
  <c r="M107" i="13"/>
  <c r="N107" i="13" s="1"/>
  <c r="K107" i="13"/>
  <c r="P106" i="13"/>
  <c r="O106" i="13"/>
  <c r="Q106" i="13" s="1"/>
  <c r="M106" i="13"/>
  <c r="N106" i="13" s="1"/>
  <c r="K106" i="13"/>
  <c r="P105" i="13"/>
  <c r="O105" i="13"/>
  <c r="Q105" i="13" s="1"/>
  <c r="M105" i="13"/>
  <c r="L105" i="13" s="1"/>
  <c r="K105" i="13"/>
  <c r="P104" i="13"/>
  <c r="O104" i="13"/>
  <c r="Q104" i="13" s="1"/>
  <c r="M104" i="13"/>
  <c r="L104" i="13" s="1"/>
  <c r="K104" i="13"/>
  <c r="P103" i="13"/>
  <c r="O103" i="13"/>
  <c r="Q103" i="13" s="1"/>
  <c r="M103" i="13"/>
  <c r="N103" i="13" s="1"/>
  <c r="K103" i="13"/>
  <c r="P102" i="13"/>
  <c r="O102" i="13"/>
  <c r="Q102" i="13" s="1"/>
  <c r="M102" i="13"/>
  <c r="N102" i="13" s="1"/>
  <c r="K102" i="13"/>
  <c r="P101" i="13"/>
  <c r="O101" i="13"/>
  <c r="Q101" i="13" s="1"/>
  <c r="M101" i="13"/>
  <c r="N101" i="13" s="1"/>
  <c r="K101" i="13"/>
  <c r="P100" i="13"/>
  <c r="O100" i="13"/>
  <c r="Q100" i="13" s="1"/>
  <c r="M100" i="13"/>
  <c r="L100" i="13" s="1"/>
  <c r="K100" i="13"/>
  <c r="P99" i="13"/>
  <c r="O99" i="13"/>
  <c r="Q99" i="13" s="1"/>
  <c r="M99" i="13"/>
  <c r="N99" i="13" s="1"/>
  <c r="K99" i="13"/>
  <c r="P98" i="13"/>
  <c r="O98" i="13"/>
  <c r="Q98" i="13" s="1"/>
  <c r="M98" i="13"/>
  <c r="N98" i="13" s="1"/>
  <c r="K98" i="13"/>
  <c r="P97" i="13"/>
  <c r="O97" i="13"/>
  <c r="Q97" i="13" s="1"/>
  <c r="M97" i="13"/>
  <c r="L97" i="13" s="1"/>
  <c r="K97" i="13"/>
  <c r="P96" i="13"/>
  <c r="O96" i="13"/>
  <c r="Q96" i="13" s="1"/>
  <c r="M96" i="13"/>
  <c r="L96" i="13" s="1"/>
  <c r="K96" i="13"/>
  <c r="P95" i="13"/>
  <c r="O95" i="13"/>
  <c r="Q95" i="13" s="1"/>
  <c r="M95" i="13"/>
  <c r="N95" i="13" s="1"/>
  <c r="K95" i="13"/>
  <c r="P94" i="13"/>
  <c r="O94" i="13"/>
  <c r="Q94" i="13" s="1"/>
  <c r="M94" i="13"/>
  <c r="N94" i="13" s="1"/>
  <c r="K94" i="13"/>
  <c r="P93" i="13"/>
  <c r="M93" i="13"/>
  <c r="L93" i="13" s="1"/>
  <c r="K93" i="13"/>
  <c r="P92" i="13"/>
  <c r="M92" i="13"/>
  <c r="L92" i="13" s="1"/>
  <c r="K92" i="13"/>
  <c r="K91" i="13"/>
  <c r="H83" i="13"/>
  <c r="D47" i="39"/>
  <c r="D46" i="39"/>
  <c r="D45" i="39"/>
  <c r="D44" i="39"/>
  <c r="D43" i="39"/>
  <c r="D42" i="39"/>
  <c r="D41" i="39"/>
  <c r="D40" i="39"/>
  <c r="D39" i="39"/>
  <c r="D38" i="39"/>
  <c r="D37" i="39"/>
  <c r="D36" i="39"/>
  <c r="D35" i="39"/>
  <c r="D34" i="39"/>
  <c r="D33" i="39"/>
  <c r="D32" i="39"/>
  <c r="D31" i="39"/>
  <c r="D30" i="39"/>
  <c r="D29" i="39"/>
  <c r="D28" i="39"/>
  <c r="D27" i="39"/>
  <c r="D26" i="39"/>
  <c r="D25" i="39"/>
  <c r="D24" i="39"/>
  <c r="D23" i="39"/>
  <c r="D22" i="39"/>
  <c r="D21" i="39"/>
  <c r="D20" i="39"/>
  <c r="D19" i="39"/>
  <c r="D18" i="39"/>
  <c r="D17" i="39"/>
  <c r="D16" i="39"/>
  <c r="D15" i="39"/>
  <c r="D14" i="39"/>
  <c r="D13" i="39"/>
  <c r="D12" i="39"/>
  <c r="D11" i="39"/>
  <c r="D10" i="39"/>
  <c r="D9" i="39"/>
  <c r="D8" i="39"/>
  <c r="D7" i="39"/>
  <c r="D6" i="39"/>
  <c r="D5" i="39"/>
  <c r="A1" i="42"/>
  <c r="B48" i="42"/>
  <c r="B47" i="42"/>
  <c r="B46" i="42"/>
  <c r="B45" i="42"/>
  <c r="B44" i="42"/>
  <c r="B43" i="42"/>
  <c r="B42" i="42"/>
  <c r="B41" i="42"/>
  <c r="B40" i="42"/>
  <c r="B39" i="42"/>
  <c r="B38" i="42"/>
  <c r="B37" i="42"/>
  <c r="B36" i="42"/>
  <c r="B35" i="42"/>
  <c r="B34" i="42"/>
  <c r="B33" i="42"/>
  <c r="B32" i="42"/>
  <c r="B31" i="42"/>
  <c r="B30" i="42"/>
  <c r="B29" i="42"/>
  <c r="B28" i="42"/>
  <c r="B27" i="42"/>
  <c r="B26" i="42"/>
  <c r="B23" i="42"/>
  <c r="B22" i="42"/>
  <c r="B21" i="42"/>
  <c r="B20" i="42"/>
  <c r="B19" i="42"/>
  <c r="B18" i="42"/>
  <c r="B17" i="42"/>
  <c r="B16" i="42"/>
  <c r="B15" i="42"/>
  <c r="B14" i="42"/>
  <c r="B13" i="42"/>
  <c r="B12" i="42"/>
  <c r="B11" i="42"/>
  <c r="B10" i="42"/>
  <c r="B9" i="42"/>
  <c r="B8" i="42"/>
  <c r="B7" i="42"/>
  <c r="B6" i="42"/>
  <c r="B47" i="39"/>
  <c r="B46" i="39"/>
  <c r="B45" i="39"/>
  <c r="B44" i="39"/>
  <c r="B43" i="39"/>
  <c r="B42" i="39"/>
  <c r="B41" i="39"/>
  <c r="B40" i="39"/>
  <c r="B39" i="39"/>
  <c r="B38" i="39"/>
  <c r="B37" i="39"/>
  <c r="B36" i="39"/>
  <c r="B35" i="39"/>
  <c r="B34" i="39"/>
  <c r="B33" i="39"/>
  <c r="B32" i="39"/>
  <c r="B31" i="39"/>
  <c r="B30" i="39"/>
  <c r="B29" i="39"/>
  <c r="B28" i="39"/>
  <c r="B27" i="39"/>
  <c r="B26" i="39"/>
  <c r="B25" i="39"/>
  <c r="B21" i="39"/>
  <c r="B20" i="39"/>
  <c r="B19" i="39"/>
  <c r="B18" i="39"/>
  <c r="B17" i="39"/>
  <c r="B16" i="39"/>
  <c r="B15" i="39"/>
  <c r="B14" i="39"/>
  <c r="B13" i="39"/>
  <c r="B12" i="39"/>
  <c r="B11" i="39"/>
  <c r="B10" i="39"/>
  <c r="B9" i="39"/>
  <c r="B8" i="39"/>
  <c r="B7" i="39"/>
  <c r="B6" i="39"/>
  <c r="E47" i="39"/>
  <c r="E46" i="39"/>
  <c r="E45" i="39"/>
  <c r="E44" i="39"/>
  <c r="E43" i="39"/>
  <c r="E42" i="39"/>
  <c r="E41" i="39"/>
  <c r="E40" i="39"/>
  <c r="E39" i="39"/>
  <c r="E38" i="39"/>
  <c r="E37" i="39"/>
  <c r="E36" i="39"/>
  <c r="E35" i="39"/>
  <c r="E34" i="39"/>
  <c r="E33" i="39"/>
  <c r="E32" i="39"/>
  <c r="E31" i="39"/>
  <c r="E30" i="39"/>
  <c r="E29" i="39"/>
  <c r="E28" i="39"/>
  <c r="E27" i="39"/>
  <c r="E26" i="39"/>
  <c r="E25" i="39"/>
  <c r="E24" i="39"/>
  <c r="E23" i="39"/>
  <c r="E22" i="39"/>
  <c r="E21" i="39"/>
  <c r="E20" i="39"/>
  <c r="E19" i="39"/>
  <c r="E18" i="39"/>
  <c r="E17" i="39"/>
  <c r="E16" i="39"/>
  <c r="E15" i="39"/>
  <c r="E14" i="39"/>
  <c r="E13" i="39"/>
  <c r="E12" i="39"/>
  <c r="E11" i="39"/>
  <c r="E10" i="39"/>
  <c r="E9" i="39"/>
  <c r="E8" i="39"/>
  <c r="E7" i="39"/>
  <c r="E6" i="39"/>
  <c r="E5" i="39"/>
  <c r="A1" i="39"/>
  <c r="A1" i="30"/>
  <c r="A1" i="11"/>
  <c r="A1" i="31"/>
  <c r="A1" i="10"/>
  <c r="A1" i="24"/>
  <c r="A1" i="9"/>
  <c r="A1" i="33"/>
  <c r="A1" i="19"/>
  <c r="A1" i="34"/>
  <c r="A1" i="21"/>
  <c r="A48" i="16"/>
  <c r="A1" i="16"/>
  <c r="A1" i="15"/>
  <c r="A1" i="38"/>
  <c r="A85" i="13"/>
  <c r="A1" i="13"/>
  <c r="R81" i="13"/>
  <c r="R80" i="13"/>
  <c r="R79" i="13"/>
  <c r="R78" i="13"/>
  <c r="R77" i="13"/>
  <c r="R76" i="13"/>
  <c r="R75" i="13"/>
  <c r="R74" i="13"/>
  <c r="R73" i="13"/>
  <c r="M81" i="13"/>
  <c r="M80" i="13"/>
  <c r="M79" i="13"/>
  <c r="M78" i="13"/>
  <c r="M77" i="13"/>
  <c r="M76" i="13"/>
  <c r="M75" i="13"/>
  <c r="M74" i="13"/>
  <c r="M73" i="13"/>
  <c r="B50" i="13" s="1"/>
  <c r="I71" i="13"/>
  <c r="N71" i="13"/>
  <c r="V3" i="19"/>
  <c r="B47" i="35"/>
  <c r="B46" i="35"/>
  <c r="B45" i="35"/>
  <c r="B44" i="35"/>
  <c r="B43" i="35"/>
  <c r="B42" i="35"/>
  <c r="B41" i="35"/>
  <c r="B40" i="35"/>
  <c r="B39" i="35"/>
  <c r="B38" i="35"/>
  <c r="B37" i="35"/>
  <c r="B36" i="35"/>
  <c r="B35" i="35"/>
  <c r="B34" i="35"/>
  <c r="B33" i="35"/>
  <c r="B32" i="35"/>
  <c r="B31" i="35"/>
  <c r="B30" i="35"/>
  <c r="B29" i="35"/>
  <c r="B28" i="35"/>
  <c r="B27" i="35"/>
  <c r="B26" i="35"/>
  <c r="B25" i="35"/>
  <c r="B24" i="35"/>
  <c r="B23" i="35"/>
  <c r="B22" i="35"/>
  <c r="B21" i="35"/>
  <c r="B20" i="35"/>
  <c r="B19" i="35"/>
  <c r="B18" i="35"/>
  <c r="B17" i="35"/>
  <c r="B16" i="35"/>
  <c r="B14" i="35"/>
  <c r="B13" i="35"/>
  <c r="B12" i="35"/>
  <c r="B11" i="35"/>
  <c r="B10" i="35"/>
  <c r="B9" i="35"/>
  <c r="C47" i="38"/>
  <c r="P32" i="38"/>
  <c r="O32" i="38"/>
  <c r="P31" i="38"/>
  <c r="O31" i="38"/>
  <c r="P30" i="38"/>
  <c r="O30" i="38"/>
  <c r="P29" i="38"/>
  <c r="O29" i="38"/>
  <c r="P28" i="38"/>
  <c r="O28" i="38"/>
  <c r="P27" i="38"/>
  <c r="O27" i="38"/>
  <c r="P26" i="38"/>
  <c r="O26" i="38"/>
  <c r="P25" i="38"/>
  <c r="O25" i="38"/>
  <c r="P24" i="38"/>
  <c r="O24" i="38"/>
  <c r="P23" i="38"/>
  <c r="O23" i="38"/>
  <c r="P22" i="38"/>
  <c r="O22" i="38"/>
  <c r="P21" i="38"/>
  <c r="O21" i="38"/>
  <c r="P20" i="38"/>
  <c r="O20" i="38"/>
  <c r="P19" i="38"/>
  <c r="O19" i="38"/>
  <c r="P18" i="38"/>
  <c r="O18" i="38"/>
  <c r="P17" i="38"/>
  <c r="O17" i="38"/>
  <c r="P16" i="38"/>
  <c r="O16" i="38"/>
  <c r="P15" i="38"/>
  <c r="O15" i="38"/>
  <c r="P14" i="38"/>
  <c r="O14" i="38"/>
  <c r="P13" i="38"/>
  <c r="O13" i="38"/>
  <c r="P12" i="38"/>
  <c r="O12" i="38"/>
  <c r="P11" i="38"/>
  <c r="O11" i="38"/>
  <c r="P10" i="38"/>
  <c r="O10" i="38"/>
  <c r="P9" i="38"/>
  <c r="O9" i="38"/>
  <c r="P8" i="38"/>
  <c r="O8" i="38"/>
  <c r="P7" i="38"/>
  <c r="O7" i="38"/>
  <c r="O6" i="38"/>
  <c r="P5" i="38"/>
  <c r="AA130" i="13"/>
  <c r="AA129" i="13"/>
  <c r="AA128" i="13"/>
  <c r="AA127" i="13"/>
  <c r="AA126" i="13"/>
  <c r="AA125" i="13"/>
  <c r="AA124" i="13"/>
  <c r="AA123" i="13"/>
  <c r="AA122" i="13"/>
  <c r="AA121" i="13"/>
  <c r="AA120" i="13"/>
  <c r="AA119" i="13"/>
  <c r="AA118" i="13"/>
  <c r="AA117" i="13"/>
  <c r="AA116" i="13"/>
  <c r="AA115" i="13"/>
  <c r="AA114" i="13"/>
  <c r="AA113" i="13"/>
  <c r="AA112" i="13"/>
  <c r="AA111" i="13"/>
  <c r="AA110" i="13"/>
  <c r="AA109" i="13"/>
  <c r="AA108" i="13"/>
  <c r="AA107" i="13"/>
  <c r="AA106" i="13"/>
  <c r="AA105" i="13"/>
  <c r="AA104" i="13"/>
  <c r="AA103" i="13"/>
  <c r="AA102" i="13"/>
  <c r="AA101" i="13"/>
  <c r="AA100" i="13"/>
  <c r="AA99" i="13"/>
  <c r="AA98" i="13"/>
  <c r="AA97" i="13"/>
  <c r="AA96" i="13"/>
  <c r="AA95" i="13"/>
  <c r="AA94" i="13"/>
  <c r="AA93" i="13"/>
  <c r="AA92" i="13"/>
  <c r="AA91" i="13"/>
  <c r="D50" i="21"/>
  <c r="D49" i="21"/>
  <c r="D48" i="21"/>
  <c r="D47" i="21"/>
  <c r="D46" i="21"/>
  <c r="D45" i="21"/>
  <c r="D44" i="21"/>
  <c r="D43" i="21"/>
  <c r="D42" i="21"/>
  <c r="D41" i="21"/>
  <c r="D40" i="21"/>
  <c r="D39" i="21"/>
  <c r="D38" i="21"/>
  <c r="D37" i="21"/>
  <c r="D36" i="21"/>
  <c r="D35" i="21"/>
  <c r="D34" i="21"/>
  <c r="D33" i="21"/>
  <c r="D32" i="21"/>
  <c r="D31" i="21"/>
  <c r="D30" i="21"/>
  <c r="D29" i="21"/>
  <c r="D28" i="21"/>
  <c r="K17" i="16"/>
  <c r="D77" i="16" s="1"/>
  <c r="P48" i="15"/>
  <c r="C71" i="30" s="1"/>
  <c r="E39" i="38"/>
  <c r="H137" i="13"/>
  <c r="H53" i="13"/>
  <c r="B86" i="13"/>
  <c r="H141" i="13"/>
  <c r="F141" i="13"/>
  <c r="N140" i="13"/>
  <c r="K140" i="13"/>
  <c r="H140" i="13"/>
  <c r="F140" i="13"/>
  <c r="H139" i="13"/>
  <c r="F139" i="13"/>
  <c r="F138" i="13" s="1"/>
  <c r="H138" i="13"/>
  <c r="F137" i="13"/>
  <c r="AS130" i="13"/>
  <c r="AR130" i="13"/>
  <c r="AQ130" i="13"/>
  <c r="AP130" i="13"/>
  <c r="AS129" i="13"/>
  <c r="AR129" i="13"/>
  <c r="AQ129" i="13"/>
  <c r="AP129" i="13"/>
  <c r="AS128" i="13"/>
  <c r="AR128" i="13"/>
  <c r="AQ128" i="13"/>
  <c r="AP128" i="13"/>
  <c r="AS127" i="13"/>
  <c r="AR127" i="13"/>
  <c r="AQ127" i="13"/>
  <c r="AP127" i="13"/>
  <c r="AS126" i="13"/>
  <c r="AR126" i="13"/>
  <c r="AQ126" i="13"/>
  <c r="AP126" i="13"/>
  <c r="AS125" i="13"/>
  <c r="AR125" i="13"/>
  <c r="AQ125" i="13"/>
  <c r="AP125" i="13"/>
  <c r="AS124" i="13"/>
  <c r="AR124" i="13"/>
  <c r="AQ124" i="13"/>
  <c r="AP124" i="13"/>
  <c r="AS123" i="13"/>
  <c r="AR123" i="13"/>
  <c r="AQ123" i="13"/>
  <c r="AP123" i="13"/>
  <c r="AS122" i="13"/>
  <c r="AR122" i="13"/>
  <c r="AQ122" i="13"/>
  <c r="AP122" i="13"/>
  <c r="AS121" i="13"/>
  <c r="AR121" i="13"/>
  <c r="AQ121" i="13"/>
  <c r="AP121" i="13"/>
  <c r="AS120" i="13"/>
  <c r="AR120" i="13"/>
  <c r="AQ120" i="13"/>
  <c r="AP120" i="13"/>
  <c r="AS119" i="13"/>
  <c r="AR119" i="13"/>
  <c r="AQ119" i="13"/>
  <c r="AP119" i="13"/>
  <c r="AS118" i="13"/>
  <c r="AR118" i="13"/>
  <c r="AQ118" i="13"/>
  <c r="AP118" i="13"/>
  <c r="AS117" i="13"/>
  <c r="AR117" i="13"/>
  <c r="AQ117" i="13"/>
  <c r="AP117" i="13"/>
  <c r="AS116" i="13"/>
  <c r="AR116" i="13"/>
  <c r="AQ116" i="13"/>
  <c r="AP116" i="13"/>
  <c r="AS115" i="13"/>
  <c r="AR115" i="13"/>
  <c r="AQ115" i="13"/>
  <c r="AP115" i="13"/>
  <c r="AS114" i="13"/>
  <c r="AR114" i="13"/>
  <c r="AQ114" i="13"/>
  <c r="AP114" i="13"/>
  <c r="AS113" i="13"/>
  <c r="AR113" i="13"/>
  <c r="AQ113" i="13"/>
  <c r="AP113" i="13"/>
  <c r="AS112" i="13"/>
  <c r="AR112" i="13"/>
  <c r="AQ112" i="13"/>
  <c r="AP112" i="13"/>
  <c r="AS111" i="13"/>
  <c r="AR111" i="13"/>
  <c r="AQ111" i="13"/>
  <c r="AP111" i="13"/>
  <c r="AS110" i="13"/>
  <c r="AR110" i="13"/>
  <c r="AQ110" i="13"/>
  <c r="AP110" i="13"/>
  <c r="AS109" i="13"/>
  <c r="AR109" i="13"/>
  <c r="AQ109" i="13"/>
  <c r="AP109" i="13"/>
  <c r="AS108" i="13"/>
  <c r="AR108" i="13"/>
  <c r="AQ108" i="13"/>
  <c r="AP108" i="13"/>
  <c r="AS107" i="13"/>
  <c r="AR107" i="13"/>
  <c r="AQ107" i="13"/>
  <c r="AP107" i="13"/>
  <c r="AS106" i="13"/>
  <c r="AR106" i="13"/>
  <c r="AQ106" i="13"/>
  <c r="AP106" i="13"/>
  <c r="AS105" i="13"/>
  <c r="AR105" i="13"/>
  <c r="AQ105" i="13"/>
  <c r="AP105" i="13"/>
  <c r="AS104" i="13"/>
  <c r="AR104" i="13"/>
  <c r="AQ104" i="13"/>
  <c r="AP104" i="13"/>
  <c r="AS103" i="13"/>
  <c r="AR103" i="13"/>
  <c r="AQ103" i="13"/>
  <c r="AP103" i="13"/>
  <c r="AS102" i="13"/>
  <c r="AR102" i="13"/>
  <c r="AQ102" i="13"/>
  <c r="AP102" i="13"/>
  <c r="AS101" i="13"/>
  <c r="AR101" i="13"/>
  <c r="AQ101" i="13"/>
  <c r="AP101" i="13"/>
  <c r="AS100" i="13"/>
  <c r="AR100" i="13"/>
  <c r="AQ100" i="13"/>
  <c r="AP100" i="13"/>
  <c r="AS99" i="13"/>
  <c r="AR99" i="13"/>
  <c r="AQ99" i="13"/>
  <c r="AP99" i="13"/>
  <c r="AS98" i="13"/>
  <c r="AR98" i="13"/>
  <c r="AQ98" i="13"/>
  <c r="AP98" i="13"/>
  <c r="AS97" i="13"/>
  <c r="AR97" i="13"/>
  <c r="AQ97" i="13"/>
  <c r="AP97" i="13"/>
  <c r="AS96" i="13"/>
  <c r="AR96" i="13"/>
  <c r="AQ96" i="13"/>
  <c r="AP96" i="13"/>
  <c r="AS95" i="13"/>
  <c r="AR95" i="13"/>
  <c r="AQ95" i="13"/>
  <c r="AP95" i="13"/>
  <c r="AS94" i="13"/>
  <c r="AR94" i="13"/>
  <c r="AQ94" i="13"/>
  <c r="AP94" i="13"/>
  <c r="AS93" i="13"/>
  <c r="AR93" i="13"/>
  <c r="AQ93" i="13"/>
  <c r="AP93" i="13"/>
  <c r="AR92" i="13"/>
  <c r="AP92" i="13"/>
  <c r="AS92" i="13"/>
  <c r="AQ92" i="13"/>
  <c r="AS91" i="13"/>
  <c r="AS131" i="13" s="1"/>
  <c r="I142" i="13" s="1"/>
  <c r="AQ91" i="13"/>
  <c r="P91" i="13"/>
  <c r="M91" i="13"/>
  <c r="N89" i="13"/>
  <c r="J89" i="13"/>
  <c r="F88" i="13"/>
  <c r="C88" i="13"/>
  <c r="F4" i="13"/>
  <c r="C4" i="13"/>
  <c r="B2" i="13"/>
  <c r="N56" i="13"/>
  <c r="K56" i="13"/>
  <c r="H57" i="13"/>
  <c r="H56" i="13"/>
  <c r="F55" i="13"/>
  <c r="F54" i="13" s="1"/>
  <c r="F53" i="13"/>
  <c r="N5" i="13"/>
  <c r="J5" i="13"/>
  <c r="X11" i="31"/>
  <c r="W11" i="31"/>
  <c r="V11" i="31"/>
  <c r="U11" i="31"/>
  <c r="X10" i="31"/>
  <c r="W10" i="31"/>
  <c r="V10" i="31"/>
  <c r="U10" i="31"/>
  <c r="X9" i="31"/>
  <c r="W9" i="31"/>
  <c r="V9" i="31"/>
  <c r="U9" i="31"/>
  <c r="X8" i="31"/>
  <c r="W8" i="31"/>
  <c r="V8" i="31"/>
  <c r="U8" i="31"/>
  <c r="X7" i="31"/>
  <c r="W7" i="31"/>
  <c r="V7" i="31"/>
  <c r="U7" i="31"/>
  <c r="AG35" i="31"/>
  <c r="AG34" i="31"/>
  <c r="AG33" i="31"/>
  <c r="AG32" i="31"/>
  <c r="AG31" i="31"/>
  <c r="AG30" i="31"/>
  <c r="AG29" i="31"/>
  <c r="AG28" i="31"/>
  <c r="AG27" i="31"/>
  <c r="AG26" i="31"/>
  <c r="AG25" i="31"/>
  <c r="AG24" i="31"/>
  <c r="AG23" i="31"/>
  <c r="AG22" i="31"/>
  <c r="AG21" i="31"/>
  <c r="AG17" i="31"/>
  <c r="AG16" i="31"/>
  <c r="AG15" i="31"/>
  <c r="AG14" i="31"/>
  <c r="AG13" i="31"/>
  <c r="AG12" i="31"/>
  <c r="AG11" i="31"/>
  <c r="AG10" i="31"/>
  <c r="AF35" i="31"/>
  <c r="AF34" i="31"/>
  <c r="AF33" i="31"/>
  <c r="AF32" i="31"/>
  <c r="AF31" i="31"/>
  <c r="AF30" i="31"/>
  <c r="AF29" i="31"/>
  <c r="AF28" i="31"/>
  <c r="AF27" i="31"/>
  <c r="AF26" i="31"/>
  <c r="AF25" i="31"/>
  <c r="AF24" i="31"/>
  <c r="AF23" i="31"/>
  <c r="AF22" i="31"/>
  <c r="AF21" i="31"/>
  <c r="AF17" i="31"/>
  <c r="AF16" i="31"/>
  <c r="AF15" i="31"/>
  <c r="AF14" i="31"/>
  <c r="AF13" i="31"/>
  <c r="AF12" i="31"/>
  <c r="AF11" i="31"/>
  <c r="AF10" i="31"/>
  <c r="AF9" i="31"/>
  <c r="AF8" i="31"/>
  <c r="AF7" i="31"/>
  <c r="AE35" i="31"/>
  <c r="AE34" i="31"/>
  <c r="AE33" i="31"/>
  <c r="AE32" i="31"/>
  <c r="AE31" i="31"/>
  <c r="AE30" i="31"/>
  <c r="AE29" i="31"/>
  <c r="AE28" i="31"/>
  <c r="AE27" i="31"/>
  <c r="AE26" i="31"/>
  <c r="AE25" i="31"/>
  <c r="AE24" i="31"/>
  <c r="AE23" i="31"/>
  <c r="AE22" i="31"/>
  <c r="AE21" i="31"/>
  <c r="AE17" i="31"/>
  <c r="AE16" i="31"/>
  <c r="AE15" i="31"/>
  <c r="AE14" i="31"/>
  <c r="AE13" i="31"/>
  <c r="AE12" i="31"/>
  <c r="AE11" i="31"/>
  <c r="AE10" i="31"/>
  <c r="AE8" i="31"/>
  <c r="AE7" i="31"/>
  <c r="AD35" i="31"/>
  <c r="AD34" i="31"/>
  <c r="AD33" i="31"/>
  <c r="AD32" i="31"/>
  <c r="AD31" i="31"/>
  <c r="AD30" i="31"/>
  <c r="AD29" i="31"/>
  <c r="AD28" i="31"/>
  <c r="AD27" i="31"/>
  <c r="AD26" i="31"/>
  <c r="AD25" i="31"/>
  <c r="AD24" i="31"/>
  <c r="AD23" i="31"/>
  <c r="AD22" i="31"/>
  <c r="AD21" i="31"/>
  <c r="AD17" i="31"/>
  <c r="AD16" i="31"/>
  <c r="AD15" i="31"/>
  <c r="AD14" i="31"/>
  <c r="AD13" i="31"/>
  <c r="AD12" i="31"/>
  <c r="AD11" i="31"/>
  <c r="AD10" i="31"/>
  <c r="AD9" i="31"/>
  <c r="AD8" i="31"/>
  <c r="AD7" i="31"/>
  <c r="AC35" i="31"/>
  <c r="AC34" i="31"/>
  <c r="AC33" i="31"/>
  <c r="AC32" i="31"/>
  <c r="AC31" i="31"/>
  <c r="AC30" i="31"/>
  <c r="AC29" i="31"/>
  <c r="AC28" i="31"/>
  <c r="AC27" i="31"/>
  <c r="AC26" i="31"/>
  <c r="AC25" i="31"/>
  <c r="AC24" i="31"/>
  <c r="AC23" i="31"/>
  <c r="AC22" i="31"/>
  <c r="AC21" i="31"/>
  <c r="AC17" i="31"/>
  <c r="AC16" i="31"/>
  <c r="AC15" i="31"/>
  <c r="AC14" i="31"/>
  <c r="AC13" i="31"/>
  <c r="AC12" i="31"/>
  <c r="AC11" i="31"/>
  <c r="AC10" i="31"/>
  <c r="AC7" i="31"/>
  <c r="AB35" i="31"/>
  <c r="AB34" i="31"/>
  <c r="AB33" i="31"/>
  <c r="AB32" i="31"/>
  <c r="AB31" i="31"/>
  <c r="AB30" i="31"/>
  <c r="AB29" i="31"/>
  <c r="AB28" i="31"/>
  <c r="AB27" i="31"/>
  <c r="AB26" i="31"/>
  <c r="AB25" i="31"/>
  <c r="AB24" i="31"/>
  <c r="AB23" i="31"/>
  <c r="AB22" i="31"/>
  <c r="AB21" i="31"/>
  <c r="AB17" i="31"/>
  <c r="AB16" i="31"/>
  <c r="AB15" i="31"/>
  <c r="AB14" i="31"/>
  <c r="AB13" i="31"/>
  <c r="AB12" i="31"/>
  <c r="AB11" i="31"/>
  <c r="AB10" i="31"/>
  <c r="AB7" i="31"/>
  <c r="AA35" i="31"/>
  <c r="AA34" i="31"/>
  <c r="AA33" i="31"/>
  <c r="AA32" i="31"/>
  <c r="AA31" i="31"/>
  <c r="AA30" i="31"/>
  <c r="AA29" i="31"/>
  <c r="AA28" i="31"/>
  <c r="AA27" i="31"/>
  <c r="AA26" i="31"/>
  <c r="AA25" i="31"/>
  <c r="AA24" i="31"/>
  <c r="AA23" i="31"/>
  <c r="AA22" i="31"/>
  <c r="AA21" i="31"/>
  <c r="AA17" i="31"/>
  <c r="AA16" i="31"/>
  <c r="AA15" i="31"/>
  <c r="AA14" i="31"/>
  <c r="AA13" i="31"/>
  <c r="AA12" i="31"/>
  <c r="AA11" i="31"/>
  <c r="AA10" i="31"/>
  <c r="X35" i="31"/>
  <c r="W35" i="31"/>
  <c r="V35" i="31"/>
  <c r="U35" i="31"/>
  <c r="X34" i="31"/>
  <c r="W34" i="31"/>
  <c r="V34" i="31"/>
  <c r="U34" i="31"/>
  <c r="X33" i="31"/>
  <c r="W33" i="31"/>
  <c r="V33" i="31"/>
  <c r="U33" i="31"/>
  <c r="X32" i="31"/>
  <c r="W32" i="31"/>
  <c r="V32" i="31"/>
  <c r="U32" i="31"/>
  <c r="X31" i="31"/>
  <c r="W31" i="31"/>
  <c r="V31" i="31"/>
  <c r="U31" i="31"/>
  <c r="X30" i="31"/>
  <c r="W30" i="31"/>
  <c r="V30" i="31"/>
  <c r="U30" i="31"/>
  <c r="X29" i="31"/>
  <c r="W29" i="31"/>
  <c r="V29" i="31"/>
  <c r="U29" i="31"/>
  <c r="X28" i="31"/>
  <c r="W28" i="31"/>
  <c r="V28" i="31"/>
  <c r="U28" i="31"/>
  <c r="X27" i="31"/>
  <c r="W27" i="31"/>
  <c r="V27" i="31"/>
  <c r="U27" i="31"/>
  <c r="X26" i="31"/>
  <c r="W26" i="31"/>
  <c r="V26" i="31"/>
  <c r="U26" i="31"/>
  <c r="X25" i="31"/>
  <c r="W25" i="31"/>
  <c r="V25" i="31"/>
  <c r="U25" i="31"/>
  <c r="X24" i="31"/>
  <c r="W24" i="31"/>
  <c r="V24" i="31"/>
  <c r="U24" i="31"/>
  <c r="X23" i="31"/>
  <c r="W23" i="31"/>
  <c r="V23" i="31"/>
  <c r="U23" i="31"/>
  <c r="X22" i="31"/>
  <c r="W22" i="31"/>
  <c r="V22" i="31"/>
  <c r="U22" i="31"/>
  <c r="X21" i="31"/>
  <c r="W21" i="31"/>
  <c r="V21" i="31"/>
  <c r="U21" i="31"/>
  <c r="X17" i="31"/>
  <c r="W17" i="31"/>
  <c r="V17" i="31"/>
  <c r="U17" i="31"/>
  <c r="X16" i="31"/>
  <c r="W16" i="31"/>
  <c r="V16" i="31"/>
  <c r="U16" i="31"/>
  <c r="X15" i="31"/>
  <c r="W15" i="31"/>
  <c r="V15" i="31"/>
  <c r="U15" i="31"/>
  <c r="X14" i="31"/>
  <c r="W14" i="31"/>
  <c r="V14" i="31"/>
  <c r="U14" i="31"/>
  <c r="X13" i="31"/>
  <c r="W13" i="31"/>
  <c r="V13" i="31"/>
  <c r="U13" i="31"/>
  <c r="X12" i="31"/>
  <c r="W12" i="31"/>
  <c r="V12" i="31"/>
  <c r="U12" i="31"/>
  <c r="AB9" i="31"/>
  <c r="AB8" i="31"/>
  <c r="P35" i="31"/>
  <c r="P34" i="31"/>
  <c r="P33" i="31"/>
  <c r="P32" i="31"/>
  <c r="P31" i="31"/>
  <c r="P30" i="31"/>
  <c r="P29" i="31"/>
  <c r="P28" i="31"/>
  <c r="P27" i="31"/>
  <c r="P26" i="31"/>
  <c r="P25" i="31"/>
  <c r="P24" i="31"/>
  <c r="P23" i="31"/>
  <c r="P22" i="31"/>
  <c r="P21" i="31"/>
  <c r="P17" i="31"/>
  <c r="P16" i="31"/>
  <c r="P15" i="31"/>
  <c r="P14" i="31"/>
  <c r="P13" i="31"/>
  <c r="P12" i="31"/>
  <c r="P11" i="31"/>
  <c r="P10" i="31"/>
  <c r="P9" i="31"/>
  <c r="P8" i="31"/>
  <c r="P7" i="31"/>
  <c r="Q35" i="31"/>
  <c r="Q34" i="31"/>
  <c r="Q33" i="31"/>
  <c r="Q32" i="31"/>
  <c r="Q31" i="31"/>
  <c r="Q30" i="31"/>
  <c r="Q29" i="31"/>
  <c r="Q28" i="31"/>
  <c r="Q27" i="31"/>
  <c r="Q26" i="31"/>
  <c r="Q25" i="31"/>
  <c r="Q24" i="31"/>
  <c r="Q23" i="31"/>
  <c r="Q22" i="31"/>
  <c r="Q21" i="31"/>
  <c r="Q17" i="31"/>
  <c r="Q16" i="31"/>
  <c r="Q15" i="31"/>
  <c r="Q14" i="31"/>
  <c r="Q13" i="31"/>
  <c r="Q12" i="31"/>
  <c r="Q11" i="31"/>
  <c r="Q10" i="31"/>
  <c r="Q9" i="31"/>
  <c r="AA9" i="31"/>
  <c r="Q8" i="31"/>
  <c r="AC8" i="31"/>
  <c r="Q7" i="31"/>
  <c r="I4" i="31"/>
  <c r="D135" i="30"/>
  <c r="I4" i="35"/>
  <c r="D133" i="30"/>
  <c r="I44" i="35"/>
  <c r="I40" i="35"/>
  <c r="I36" i="35"/>
  <c r="I32" i="35"/>
  <c r="I28" i="35"/>
  <c r="I24" i="35"/>
  <c r="I23" i="35"/>
  <c r="I20" i="35"/>
  <c r="I16" i="35"/>
  <c r="I15" i="35"/>
  <c r="I12" i="35"/>
  <c r="O2" i="10"/>
  <c r="C55" i="10"/>
  <c r="I61" i="10"/>
  <c r="C53" i="10" s="1"/>
  <c r="F33" i="24"/>
  <c r="E33" i="24"/>
  <c r="F32" i="24"/>
  <c r="E32" i="24"/>
  <c r="F31" i="24"/>
  <c r="E31" i="24"/>
  <c r="F30" i="24"/>
  <c r="E30" i="24"/>
  <c r="F29" i="24"/>
  <c r="E29" i="24"/>
  <c r="F28" i="24"/>
  <c r="E28" i="24"/>
  <c r="F27" i="24"/>
  <c r="E27" i="24"/>
  <c r="F26" i="24"/>
  <c r="E26" i="24"/>
  <c r="F25" i="24"/>
  <c r="E25" i="24"/>
  <c r="F24" i="24"/>
  <c r="E24" i="24"/>
  <c r="F23" i="24"/>
  <c r="E23" i="24"/>
  <c r="F22" i="24"/>
  <c r="E22" i="24"/>
  <c r="F21" i="24"/>
  <c r="E21" i="24"/>
  <c r="F20" i="24"/>
  <c r="E20" i="24"/>
  <c r="F19" i="24"/>
  <c r="E19" i="24"/>
  <c r="F18" i="24"/>
  <c r="E18" i="24"/>
  <c r="F17" i="24"/>
  <c r="E17" i="24"/>
  <c r="F16" i="24"/>
  <c r="E16" i="24"/>
  <c r="F13" i="24"/>
  <c r="E13" i="24"/>
  <c r="F12" i="24"/>
  <c r="E12" i="24"/>
  <c r="F11" i="24"/>
  <c r="E11" i="24"/>
  <c r="F10" i="24"/>
  <c r="E10" i="24"/>
  <c r="F9" i="24"/>
  <c r="E9" i="24"/>
  <c r="F8" i="24"/>
  <c r="E8" i="24"/>
  <c r="F7" i="24"/>
  <c r="E7" i="24"/>
  <c r="F6" i="24"/>
  <c r="E6" i="24"/>
  <c r="E34" i="24" s="1"/>
  <c r="F123" i="30" s="1"/>
  <c r="B123" i="30" s="1"/>
  <c r="F5" i="24"/>
  <c r="E5" i="24"/>
  <c r="O33" i="24"/>
  <c r="O32" i="24"/>
  <c r="O31" i="24"/>
  <c r="O30" i="24"/>
  <c r="O29" i="24"/>
  <c r="O28" i="24"/>
  <c r="O27" i="24"/>
  <c r="O26" i="24"/>
  <c r="O25" i="24"/>
  <c r="O24" i="24"/>
  <c r="O23" i="24"/>
  <c r="O22" i="24"/>
  <c r="O21" i="24"/>
  <c r="O20" i="24"/>
  <c r="O19" i="24"/>
  <c r="O18" i="24"/>
  <c r="O17" i="24"/>
  <c r="O16" i="24"/>
  <c r="O13" i="24"/>
  <c r="O12" i="24"/>
  <c r="O11" i="24"/>
  <c r="O10" i="24"/>
  <c r="O9" i="24"/>
  <c r="O8" i="24"/>
  <c r="O7" i="24"/>
  <c r="O6" i="24"/>
  <c r="O5" i="24"/>
  <c r="K5" i="9"/>
  <c r="K20" i="9"/>
  <c r="K19" i="9"/>
  <c r="Q49" i="33"/>
  <c r="P49" i="33"/>
  <c r="Q48" i="33"/>
  <c r="P48" i="33"/>
  <c r="Q47" i="33"/>
  <c r="P47" i="33"/>
  <c r="Q46" i="33"/>
  <c r="P46" i="33"/>
  <c r="Q45" i="33"/>
  <c r="P45" i="33"/>
  <c r="Q44" i="33"/>
  <c r="P44" i="33"/>
  <c r="Q43" i="33"/>
  <c r="P43" i="33"/>
  <c r="Q42" i="33"/>
  <c r="P42" i="33"/>
  <c r="Q41" i="33"/>
  <c r="P41" i="33"/>
  <c r="Q40" i="33"/>
  <c r="P40" i="33"/>
  <c r="Q39" i="33"/>
  <c r="P39" i="33"/>
  <c r="Q38" i="33"/>
  <c r="P38" i="33"/>
  <c r="Q37" i="33"/>
  <c r="P37" i="33"/>
  <c r="Q36" i="33"/>
  <c r="P36" i="33"/>
  <c r="Q35" i="33"/>
  <c r="P35" i="33"/>
  <c r="Q34" i="33"/>
  <c r="P34" i="33"/>
  <c r="Q33" i="33"/>
  <c r="P33" i="33"/>
  <c r="Q32" i="33"/>
  <c r="P32" i="33"/>
  <c r="Q31" i="33"/>
  <c r="P31" i="33"/>
  <c r="Q30" i="33"/>
  <c r="P30" i="33"/>
  <c r="Q29" i="33"/>
  <c r="P29" i="33"/>
  <c r="Q28" i="33"/>
  <c r="P28" i="33"/>
  <c r="Q27" i="33"/>
  <c r="P27" i="33"/>
  <c r="Q26" i="33"/>
  <c r="P26" i="33"/>
  <c r="Q25" i="33"/>
  <c r="P25" i="33"/>
  <c r="Q24" i="33"/>
  <c r="P24" i="33"/>
  <c r="Q23" i="33"/>
  <c r="P23" i="33"/>
  <c r="Q22" i="33"/>
  <c r="P22" i="33"/>
  <c r="Q21" i="33"/>
  <c r="P21" i="33"/>
  <c r="Q20" i="33"/>
  <c r="P20" i="33"/>
  <c r="Q19" i="33"/>
  <c r="P19" i="33"/>
  <c r="Q18" i="33"/>
  <c r="P18" i="33"/>
  <c r="Q17" i="33"/>
  <c r="P17" i="33"/>
  <c r="Q16" i="33"/>
  <c r="P16" i="33"/>
  <c r="Q15" i="33"/>
  <c r="P15" i="33"/>
  <c r="Q14" i="33"/>
  <c r="P14" i="33"/>
  <c r="Q13" i="33"/>
  <c r="P13" i="33"/>
  <c r="Q12" i="33"/>
  <c r="P12" i="33"/>
  <c r="Q11" i="33"/>
  <c r="P11" i="33"/>
  <c r="Q10" i="33"/>
  <c r="P10" i="33"/>
  <c r="Q9" i="33"/>
  <c r="P9" i="33"/>
  <c r="Q8" i="33"/>
  <c r="P8" i="33"/>
  <c r="Q7" i="33"/>
  <c r="P7" i="33"/>
  <c r="Q6" i="33"/>
  <c r="P6" i="33"/>
  <c r="Q5" i="33"/>
  <c r="P5" i="33"/>
  <c r="F48" i="33"/>
  <c r="N48" i="33" s="1"/>
  <c r="F47" i="33"/>
  <c r="M47" i="33" s="1"/>
  <c r="F46" i="33"/>
  <c r="N46" i="33" s="1"/>
  <c r="J46" i="33"/>
  <c r="F45" i="33"/>
  <c r="K45" i="33" s="1"/>
  <c r="F44" i="33"/>
  <c r="N44" i="33" s="1"/>
  <c r="F43" i="33"/>
  <c r="J43" i="33" s="1"/>
  <c r="F42" i="33"/>
  <c r="J42" i="33" s="1"/>
  <c r="J41" i="33"/>
  <c r="F41" i="33"/>
  <c r="O41" i="33"/>
  <c r="F40" i="33"/>
  <c r="N40" i="33"/>
  <c r="F39" i="33"/>
  <c r="O39" i="33"/>
  <c r="F38" i="33"/>
  <c r="J38" i="33"/>
  <c r="F37" i="33"/>
  <c r="K37" i="33" s="1"/>
  <c r="F36" i="33"/>
  <c r="O36" i="33" s="1"/>
  <c r="F35" i="33"/>
  <c r="J35" i="33" s="1"/>
  <c r="J34" i="33"/>
  <c r="F34" i="33"/>
  <c r="L34" i="33" s="1"/>
  <c r="N34" i="33"/>
  <c r="K33" i="33"/>
  <c r="F33" i="33"/>
  <c r="M33" i="33" s="1"/>
  <c r="O33" i="33"/>
  <c r="F32" i="33"/>
  <c r="N32" i="33" s="1"/>
  <c r="F31" i="33"/>
  <c r="L31" i="33" s="1"/>
  <c r="F30" i="33"/>
  <c r="J30" i="33" s="1"/>
  <c r="F29" i="33"/>
  <c r="K29" i="33" s="1"/>
  <c r="L28" i="33"/>
  <c r="F28" i="33"/>
  <c r="N28" i="33"/>
  <c r="F27" i="33"/>
  <c r="J27" i="33"/>
  <c r="F26" i="33"/>
  <c r="N26" i="33"/>
  <c r="F25" i="33"/>
  <c r="O25" i="33"/>
  <c r="F24" i="33"/>
  <c r="L24" i="33"/>
  <c r="F23" i="33"/>
  <c r="O23" i="33"/>
  <c r="F22" i="33"/>
  <c r="J22" i="33"/>
  <c r="F21" i="33"/>
  <c r="O21" i="33"/>
  <c r="F20" i="33"/>
  <c r="O19" i="33"/>
  <c r="F19" i="33"/>
  <c r="M19" i="33"/>
  <c r="F18" i="33"/>
  <c r="L18" i="33"/>
  <c r="F17" i="33"/>
  <c r="O17" i="33"/>
  <c r="J16" i="33"/>
  <c r="F16" i="33"/>
  <c r="N16" i="33" s="1"/>
  <c r="L16" i="33"/>
  <c r="F15" i="33"/>
  <c r="K15" i="33" s="1"/>
  <c r="M15" i="33"/>
  <c r="F14" i="33"/>
  <c r="L14" i="33"/>
  <c r="F13" i="33"/>
  <c r="O13" i="33"/>
  <c r="F12" i="33"/>
  <c r="J12" i="33"/>
  <c r="M12" i="33"/>
  <c r="F11" i="33"/>
  <c r="F10" i="33"/>
  <c r="L10" i="33"/>
  <c r="F9" i="33"/>
  <c r="O9" i="33"/>
  <c r="F8" i="33"/>
  <c r="F7" i="33"/>
  <c r="L7" i="33"/>
  <c r="F6" i="33"/>
  <c r="N6" i="33"/>
  <c r="Q4" i="33"/>
  <c r="P4" i="33"/>
  <c r="D27" i="21"/>
  <c r="D26" i="21"/>
  <c r="D25" i="21"/>
  <c r="D24" i="21"/>
  <c r="D23" i="21"/>
  <c r="D22" i="21"/>
  <c r="D21" i="21"/>
  <c r="D20" i="21"/>
  <c r="D19" i="21"/>
  <c r="D18" i="21"/>
  <c r="D17" i="21"/>
  <c r="D16" i="21"/>
  <c r="D15" i="21"/>
  <c r="D14" i="21"/>
  <c r="D13" i="21"/>
  <c r="D12" i="21"/>
  <c r="D11" i="21"/>
  <c r="D10" i="21"/>
  <c r="D9" i="21"/>
  <c r="D8" i="21"/>
  <c r="D7" i="21"/>
  <c r="D6" i="21"/>
  <c r="D5" i="21"/>
  <c r="B50" i="21"/>
  <c r="E50" i="21" s="1"/>
  <c r="F50" i="21" s="1"/>
  <c r="C49" i="21"/>
  <c r="B49" i="21"/>
  <c r="E49" i="21" s="1"/>
  <c r="F49" i="21" s="1"/>
  <c r="G49" i="21" s="1"/>
  <c r="C48" i="21"/>
  <c r="C47" i="21"/>
  <c r="B47" i="21"/>
  <c r="E47" i="21" s="1"/>
  <c r="F47" i="21" s="1"/>
  <c r="G47" i="21" s="1"/>
  <c r="C46" i="21"/>
  <c r="C44" i="21"/>
  <c r="C43" i="21"/>
  <c r="C42" i="21"/>
  <c r="C40" i="21"/>
  <c r="C39" i="21"/>
  <c r="B39" i="21"/>
  <c r="E39" i="21"/>
  <c r="F39" i="21" s="1"/>
  <c r="G39" i="21" s="1"/>
  <c r="C38" i="21"/>
  <c r="C37" i="21"/>
  <c r="C36" i="21"/>
  <c r="C34" i="21"/>
  <c r="B34" i="21"/>
  <c r="E34" i="21" s="1"/>
  <c r="F34" i="21" s="1"/>
  <c r="G34" i="21" s="1"/>
  <c r="C30" i="21"/>
  <c r="C29" i="21"/>
  <c r="B29" i="21"/>
  <c r="E29" i="21"/>
  <c r="F29" i="21" s="1"/>
  <c r="G29" i="21" s="1"/>
  <c r="C28" i="21"/>
  <c r="B28" i="21"/>
  <c r="E28" i="21"/>
  <c r="F28" i="21" s="1"/>
  <c r="G28" i="21" s="1"/>
  <c r="B27" i="21"/>
  <c r="E27" i="21"/>
  <c r="C26" i="21"/>
  <c r="B26" i="21"/>
  <c r="E26" i="21" s="1"/>
  <c r="F26" i="21" s="1"/>
  <c r="G26" i="21" s="1"/>
  <c r="B25" i="21"/>
  <c r="E25" i="21"/>
  <c r="F25" i="21" s="1"/>
  <c r="C24" i="21"/>
  <c r="B24" i="21"/>
  <c r="E24" i="21"/>
  <c r="B23" i="21"/>
  <c r="E23" i="21"/>
  <c r="F23" i="21" s="1"/>
  <c r="B22" i="21"/>
  <c r="E22" i="21"/>
  <c r="C21" i="21"/>
  <c r="B21" i="21"/>
  <c r="E21" i="21" s="1"/>
  <c r="F21" i="21" s="1"/>
  <c r="G21" i="21" s="1"/>
  <c r="C20" i="21"/>
  <c r="B19" i="21"/>
  <c r="E19" i="21" s="1"/>
  <c r="C18" i="21"/>
  <c r="C16" i="21"/>
  <c r="C15" i="21"/>
  <c r="B15" i="21"/>
  <c r="E15" i="21"/>
  <c r="C14" i="21"/>
  <c r="B13" i="21"/>
  <c r="E13" i="21" s="1"/>
  <c r="F13" i="21" s="1"/>
  <c r="C12" i="21"/>
  <c r="B12" i="21"/>
  <c r="E12" i="21" s="1"/>
  <c r="B11" i="21"/>
  <c r="E11" i="21" s="1"/>
  <c r="B7" i="21"/>
  <c r="E7" i="21" s="1"/>
  <c r="F7" i="21" s="1"/>
  <c r="C6" i="21"/>
  <c r="B6" i="21"/>
  <c r="E6" i="21" s="1"/>
  <c r="B5" i="21"/>
  <c r="P73" i="21"/>
  <c r="J73" i="21"/>
  <c r="P57" i="21"/>
  <c r="J57" i="21"/>
  <c r="B20" i="21"/>
  <c r="E20" i="21"/>
  <c r="F20" i="21" s="1"/>
  <c r="B16" i="21"/>
  <c r="E16" i="21"/>
  <c r="F16" i="21" s="1"/>
  <c r="B14" i="21"/>
  <c r="E14" i="21" s="1"/>
  <c r="B8" i="21"/>
  <c r="E8" i="21" s="1"/>
  <c r="F8" i="21" s="1"/>
  <c r="C50" i="21"/>
  <c r="C45" i="21"/>
  <c r="B45" i="21"/>
  <c r="E45" i="21" s="1"/>
  <c r="F45" i="21"/>
  <c r="B43" i="21"/>
  <c r="E43" i="21"/>
  <c r="F43" i="21" s="1"/>
  <c r="G43" i="21" s="1"/>
  <c r="C41" i="21"/>
  <c r="B41" i="21"/>
  <c r="E41" i="21"/>
  <c r="F41" i="21" s="1"/>
  <c r="B37" i="21"/>
  <c r="E37" i="21" s="1"/>
  <c r="F37" i="21" s="1"/>
  <c r="G37" i="21" s="1"/>
  <c r="C35" i="21"/>
  <c r="B35" i="21"/>
  <c r="E35" i="21" s="1"/>
  <c r="F35" i="21" s="1"/>
  <c r="G35" i="21" s="1"/>
  <c r="C33" i="21"/>
  <c r="B33" i="21"/>
  <c r="E33" i="21" s="1"/>
  <c r="F33" i="21" s="1"/>
  <c r="C32" i="21"/>
  <c r="G32" i="21"/>
  <c r="C31" i="21"/>
  <c r="B31" i="21"/>
  <c r="E31" i="21" s="1"/>
  <c r="F31" i="21" s="1"/>
  <c r="G31" i="21" s="1"/>
  <c r="B18" i="21"/>
  <c r="E18" i="21"/>
  <c r="F18" i="21" s="1"/>
  <c r="B10" i="21"/>
  <c r="E10" i="21" s="1"/>
  <c r="F10" i="21" s="1"/>
  <c r="C22" i="21"/>
  <c r="B17" i="21"/>
  <c r="E17" i="21" s="1"/>
  <c r="F17" i="21" s="1"/>
  <c r="G17" i="21" s="1"/>
  <c r="C10" i="21"/>
  <c r="B9" i="21"/>
  <c r="E9" i="21" s="1"/>
  <c r="F9" i="21" s="1"/>
  <c r="C8" i="21"/>
  <c r="B55" i="21"/>
  <c r="B54" i="21"/>
  <c r="L15" i="16"/>
  <c r="L14" i="16"/>
  <c r="L13" i="16"/>
  <c r="K50" i="16"/>
  <c r="K51" i="16"/>
  <c r="K23" i="16"/>
  <c r="B2" i="16"/>
  <c r="C91" i="16"/>
  <c r="D90" i="16"/>
  <c r="D84" i="16"/>
  <c r="D79" i="16"/>
  <c r="D74" i="16"/>
  <c r="B21" i="16"/>
  <c r="B22" i="16"/>
  <c r="D43" i="16"/>
  <c r="D37" i="16"/>
  <c r="D32" i="16"/>
  <c r="D27" i="16"/>
  <c r="P41" i="16"/>
  <c r="R40" i="16" s="1"/>
  <c r="R42" i="16" s="1"/>
  <c r="V41" i="16"/>
  <c r="X40" i="16"/>
  <c r="X42" i="16" s="1"/>
  <c r="P33" i="16"/>
  <c r="V33" i="16"/>
  <c r="R24" i="15"/>
  <c r="Q24" i="15"/>
  <c r="O24" i="15"/>
  <c r="R20" i="15"/>
  <c r="Q20" i="15"/>
  <c r="O20" i="15"/>
  <c r="R19" i="15"/>
  <c r="Q19" i="15"/>
  <c r="O19" i="15"/>
  <c r="R30" i="15"/>
  <c r="Q30" i="15"/>
  <c r="O30" i="15"/>
  <c r="R29" i="15"/>
  <c r="Q29" i="15"/>
  <c r="O29" i="15"/>
  <c r="R28" i="15"/>
  <c r="Q28" i="15"/>
  <c r="O28" i="15"/>
  <c r="R27" i="15"/>
  <c r="Q27" i="15"/>
  <c r="O27" i="15"/>
  <c r="R26" i="15"/>
  <c r="Q26" i="15"/>
  <c r="O26" i="15"/>
  <c r="R25" i="15"/>
  <c r="Q25" i="15"/>
  <c r="O25" i="15"/>
  <c r="R18" i="15"/>
  <c r="Q18" i="15"/>
  <c r="O18" i="15"/>
  <c r="R17" i="15"/>
  <c r="Q17" i="15"/>
  <c r="O17" i="15"/>
  <c r="R16" i="15"/>
  <c r="Q16" i="15"/>
  <c r="O16" i="15"/>
  <c r="AS31" i="13"/>
  <c r="AR31" i="13"/>
  <c r="AQ31" i="13"/>
  <c r="AP31" i="13"/>
  <c r="AJ31" i="13"/>
  <c r="AH31" i="13"/>
  <c r="P31" i="13"/>
  <c r="O31" i="13"/>
  <c r="Q31" i="13" s="1"/>
  <c r="M31" i="13"/>
  <c r="L31" i="13"/>
  <c r="K31" i="13"/>
  <c r="AS30" i="13"/>
  <c r="AR30" i="13"/>
  <c r="AQ30" i="13"/>
  <c r="AP30" i="13"/>
  <c r="AJ30" i="13"/>
  <c r="AH30" i="13"/>
  <c r="P30" i="13"/>
  <c r="O30" i="13"/>
  <c r="Q30" i="13" s="1"/>
  <c r="M30" i="13"/>
  <c r="N30" i="13"/>
  <c r="K30" i="13"/>
  <c r="AS29" i="13"/>
  <c r="AR29" i="13"/>
  <c r="AQ29" i="13"/>
  <c r="AP29" i="13"/>
  <c r="AJ29" i="13"/>
  <c r="AH29" i="13"/>
  <c r="P29" i="13"/>
  <c r="O29" i="13"/>
  <c r="Q29" i="13" s="1"/>
  <c r="M29" i="13"/>
  <c r="N29" i="13"/>
  <c r="K29" i="13"/>
  <c r="AS28" i="13"/>
  <c r="AR28" i="13"/>
  <c r="AQ28" i="13"/>
  <c r="AP28" i="13"/>
  <c r="AJ28" i="13"/>
  <c r="AH28" i="13"/>
  <c r="P28" i="13"/>
  <c r="O28" i="13"/>
  <c r="Q28" i="13" s="1"/>
  <c r="M28" i="13"/>
  <c r="L28" i="13"/>
  <c r="K28" i="13"/>
  <c r="AS27" i="13"/>
  <c r="AR27" i="13"/>
  <c r="AQ27" i="13"/>
  <c r="AP27" i="13"/>
  <c r="AJ27" i="13"/>
  <c r="AH27" i="13"/>
  <c r="P27" i="13"/>
  <c r="O27" i="13"/>
  <c r="Q27" i="13" s="1"/>
  <c r="M27" i="13"/>
  <c r="N27" i="13"/>
  <c r="K27" i="13"/>
  <c r="AS26" i="13"/>
  <c r="AR26" i="13"/>
  <c r="AQ26" i="13"/>
  <c r="AP26" i="13"/>
  <c r="AJ26" i="13"/>
  <c r="AH26" i="13"/>
  <c r="P26" i="13"/>
  <c r="O26" i="13"/>
  <c r="Q26" i="13" s="1"/>
  <c r="M26" i="13"/>
  <c r="L26" i="13"/>
  <c r="K26" i="13"/>
  <c r="P46" i="13"/>
  <c r="O46" i="13"/>
  <c r="Q46" i="13" s="1"/>
  <c r="P45" i="13"/>
  <c r="O45" i="13"/>
  <c r="Q45" i="13" s="1"/>
  <c r="P44" i="13"/>
  <c r="O44" i="13"/>
  <c r="Q44" i="13" s="1"/>
  <c r="P43" i="13"/>
  <c r="O43" i="13"/>
  <c r="Q43" i="13" s="1"/>
  <c r="P42" i="13"/>
  <c r="O42" i="13"/>
  <c r="Q42" i="13" s="1"/>
  <c r="P41" i="13"/>
  <c r="O41" i="13"/>
  <c r="Q41" i="13" s="1"/>
  <c r="P40" i="13"/>
  <c r="O40" i="13"/>
  <c r="Q40" i="13" s="1"/>
  <c r="P39" i="13"/>
  <c r="O39" i="13"/>
  <c r="Q39" i="13" s="1"/>
  <c r="P38" i="13"/>
  <c r="O38" i="13"/>
  <c r="Q38" i="13" s="1"/>
  <c r="P37" i="13"/>
  <c r="O37" i="13"/>
  <c r="Q37" i="13" s="1"/>
  <c r="P34" i="13"/>
  <c r="O34" i="13"/>
  <c r="Q34" i="13" s="1"/>
  <c r="P33" i="13"/>
  <c r="O33" i="13"/>
  <c r="Q33" i="13" s="1"/>
  <c r="P32" i="13"/>
  <c r="O32" i="13"/>
  <c r="Q32" i="13" s="1"/>
  <c r="P22" i="13"/>
  <c r="O22" i="13"/>
  <c r="Q22" i="13" s="1"/>
  <c r="P21" i="13"/>
  <c r="O21" i="13"/>
  <c r="Q21" i="13" s="1"/>
  <c r="P20" i="13"/>
  <c r="O20" i="13"/>
  <c r="Q20" i="13" s="1"/>
  <c r="P19" i="13"/>
  <c r="O19" i="13"/>
  <c r="Q19" i="13" s="1"/>
  <c r="P18" i="13"/>
  <c r="O18" i="13"/>
  <c r="Q18" i="13" s="1"/>
  <c r="P17" i="13"/>
  <c r="O17" i="13"/>
  <c r="Q17" i="13" s="1"/>
  <c r="P16" i="13"/>
  <c r="O16" i="13"/>
  <c r="Q16" i="13" s="1"/>
  <c r="P15" i="13"/>
  <c r="O15" i="13"/>
  <c r="Q15" i="13" s="1"/>
  <c r="P14" i="13"/>
  <c r="O14" i="13"/>
  <c r="Q14" i="13" s="1"/>
  <c r="P13" i="13"/>
  <c r="P12" i="13"/>
  <c r="K46" i="13"/>
  <c r="K45" i="13"/>
  <c r="K44" i="13"/>
  <c r="K43" i="13"/>
  <c r="K42" i="13"/>
  <c r="K41" i="13"/>
  <c r="K40" i="13"/>
  <c r="K39" i="13"/>
  <c r="K38" i="13"/>
  <c r="K37" i="13"/>
  <c r="K34" i="13"/>
  <c r="K33" i="13"/>
  <c r="K32" i="13"/>
  <c r="K22" i="13"/>
  <c r="K21" i="13"/>
  <c r="K20" i="13"/>
  <c r="K19" i="13"/>
  <c r="K18" i="13"/>
  <c r="K17" i="13"/>
  <c r="K16" i="13"/>
  <c r="K15" i="13"/>
  <c r="K14" i="13"/>
  <c r="K13" i="13"/>
  <c r="K12" i="13"/>
  <c r="K11" i="13"/>
  <c r="K10" i="13"/>
  <c r="K9" i="13"/>
  <c r="K8" i="13"/>
  <c r="M46" i="13"/>
  <c r="L46" i="13"/>
  <c r="M45" i="13"/>
  <c r="L45" i="13"/>
  <c r="M44" i="13"/>
  <c r="N44" i="13"/>
  <c r="M43" i="13"/>
  <c r="L43" i="13"/>
  <c r="M42" i="13"/>
  <c r="L42" i="13"/>
  <c r="M41" i="13"/>
  <c r="L41" i="13"/>
  <c r="M40" i="13"/>
  <c r="N40" i="13"/>
  <c r="M39" i="13"/>
  <c r="L39" i="13"/>
  <c r="M38" i="13"/>
  <c r="L38" i="13"/>
  <c r="M37" i="13"/>
  <c r="N37" i="13"/>
  <c r="M34" i="13"/>
  <c r="N34" i="13"/>
  <c r="M33" i="13"/>
  <c r="N33" i="13"/>
  <c r="M32" i="13"/>
  <c r="L32" i="13"/>
  <c r="M22" i="13"/>
  <c r="N22" i="13"/>
  <c r="M21" i="13"/>
  <c r="N21" i="13"/>
  <c r="M20" i="13"/>
  <c r="N20" i="13"/>
  <c r="M19" i="13"/>
  <c r="N19" i="13"/>
  <c r="M18" i="13"/>
  <c r="L18" i="13"/>
  <c r="M17" i="13"/>
  <c r="L17" i="13"/>
  <c r="M16" i="13"/>
  <c r="L16" i="13"/>
  <c r="M15" i="13"/>
  <c r="L15" i="13"/>
  <c r="M14" i="13"/>
  <c r="N14" i="13"/>
  <c r="M13" i="13"/>
  <c r="N13" i="13"/>
  <c r="M12" i="13"/>
  <c r="L12" i="13" s="1"/>
  <c r="M11" i="13"/>
  <c r="N11" i="13" s="1"/>
  <c r="M10" i="13"/>
  <c r="N10" i="13" s="1"/>
  <c r="M9" i="13"/>
  <c r="L9" i="13" s="1"/>
  <c r="M8" i="13"/>
  <c r="N8" i="13" s="1"/>
  <c r="L8" i="13"/>
  <c r="H54" i="13"/>
  <c r="H55" i="13"/>
  <c r="F56" i="13"/>
  <c r="F57" i="13"/>
  <c r="AS46" i="13"/>
  <c r="AR46" i="13"/>
  <c r="AQ46" i="13"/>
  <c r="AP46" i="13"/>
  <c r="AJ46" i="13"/>
  <c r="AH46" i="13"/>
  <c r="AS45" i="13"/>
  <c r="AR45" i="13"/>
  <c r="AQ45" i="13"/>
  <c r="AP45" i="13"/>
  <c r="AJ45" i="13"/>
  <c r="AH45" i="13"/>
  <c r="AS44" i="13"/>
  <c r="AR44" i="13"/>
  <c r="AQ44" i="13"/>
  <c r="AP44" i="13"/>
  <c r="AJ44" i="13"/>
  <c r="AH44" i="13"/>
  <c r="AS43" i="13"/>
  <c r="AR43" i="13"/>
  <c r="AQ43" i="13"/>
  <c r="AP43" i="13"/>
  <c r="AJ43" i="13"/>
  <c r="AH43" i="13"/>
  <c r="AS42" i="13"/>
  <c r="AR42" i="13"/>
  <c r="AQ42" i="13"/>
  <c r="AP42" i="13"/>
  <c r="AJ42" i="13"/>
  <c r="AH42" i="13"/>
  <c r="AS41" i="13"/>
  <c r="AR41" i="13"/>
  <c r="AQ41" i="13"/>
  <c r="AP41" i="13"/>
  <c r="AJ41" i="13"/>
  <c r="AH41" i="13"/>
  <c r="AS40" i="13"/>
  <c r="AR40" i="13"/>
  <c r="AQ40" i="13"/>
  <c r="AP40" i="13"/>
  <c r="AJ40" i="13"/>
  <c r="AH40" i="13"/>
  <c r="AS39" i="13"/>
  <c r="AR39" i="13"/>
  <c r="AQ39" i="13"/>
  <c r="AP39" i="13"/>
  <c r="AJ39" i="13"/>
  <c r="AH39" i="13"/>
  <c r="AS38" i="13"/>
  <c r="AR38" i="13"/>
  <c r="AQ38" i="13"/>
  <c r="AP38" i="13"/>
  <c r="AJ38" i="13"/>
  <c r="AH38" i="13"/>
  <c r="AS37" i="13"/>
  <c r="AR37" i="13"/>
  <c r="AQ37" i="13"/>
  <c r="AP37" i="13"/>
  <c r="AJ37" i="13"/>
  <c r="AH37" i="13"/>
  <c r="AS34" i="13"/>
  <c r="AR34" i="13"/>
  <c r="AQ34" i="13"/>
  <c r="AP34" i="13"/>
  <c r="AJ34" i="13"/>
  <c r="AH34" i="13"/>
  <c r="AS33" i="13"/>
  <c r="AR33" i="13"/>
  <c r="AQ33" i="13"/>
  <c r="AP33" i="13"/>
  <c r="AJ33" i="13"/>
  <c r="AH33" i="13"/>
  <c r="AS32" i="13"/>
  <c r="AR32" i="13"/>
  <c r="AQ32" i="13"/>
  <c r="AP32" i="13"/>
  <c r="AJ32" i="13"/>
  <c r="AH32" i="13"/>
  <c r="AS22" i="13"/>
  <c r="AR22" i="13"/>
  <c r="AQ22" i="13"/>
  <c r="AP22" i="13"/>
  <c r="AJ22" i="13"/>
  <c r="AH22" i="13"/>
  <c r="AS21" i="13"/>
  <c r="AR21" i="13"/>
  <c r="AQ21" i="13"/>
  <c r="AP21" i="13"/>
  <c r="AJ21" i="13"/>
  <c r="AH21" i="13"/>
  <c r="AS20" i="13"/>
  <c r="AR20" i="13"/>
  <c r="AQ20" i="13"/>
  <c r="AP20" i="13"/>
  <c r="AJ20" i="13"/>
  <c r="AH20" i="13"/>
  <c r="AS19" i="13"/>
  <c r="AR19" i="13"/>
  <c r="AQ19" i="13"/>
  <c r="AP19" i="13"/>
  <c r="AJ19" i="13"/>
  <c r="AH19" i="13"/>
  <c r="AS18" i="13"/>
  <c r="AR18" i="13"/>
  <c r="AQ18" i="13"/>
  <c r="AP18" i="13"/>
  <c r="AJ18" i="13"/>
  <c r="AH18" i="13"/>
  <c r="AS17" i="13"/>
  <c r="AR17" i="13"/>
  <c r="AQ17" i="13"/>
  <c r="AP17" i="13"/>
  <c r="AJ17" i="13"/>
  <c r="AH17" i="13"/>
  <c r="AS16" i="13"/>
  <c r="AR16" i="13"/>
  <c r="AQ16" i="13"/>
  <c r="AP16" i="13"/>
  <c r="AJ16" i="13"/>
  <c r="AH16" i="13"/>
  <c r="AS15" i="13"/>
  <c r="AR15" i="13"/>
  <c r="AQ15" i="13"/>
  <c r="AP15" i="13"/>
  <c r="AJ15" i="13"/>
  <c r="AH15" i="13"/>
  <c r="AS14" i="13"/>
  <c r="AR14" i="13"/>
  <c r="AQ14" i="13"/>
  <c r="AP14" i="13"/>
  <c r="AJ14" i="13"/>
  <c r="AH14" i="13"/>
  <c r="AS13" i="13"/>
  <c r="AR13" i="13"/>
  <c r="AQ13" i="13"/>
  <c r="AP13" i="13"/>
  <c r="AJ13" i="13"/>
  <c r="AH13" i="13"/>
  <c r="AS12" i="13"/>
  <c r="AR12" i="13"/>
  <c r="AQ12" i="13"/>
  <c r="AP12" i="13"/>
  <c r="AJ12" i="13"/>
  <c r="AH12" i="13"/>
  <c r="AS11" i="13"/>
  <c r="AR11" i="13"/>
  <c r="AQ11" i="13"/>
  <c r="AP11" i="13"/>
  <c r="AJ11" i="13"/>
  <c r="AH11" i="13"/>
  <c r="AS10" i="13"/>
  <c r="AQ10" i="13"/>
  <c r="AP10" i="13"/>
  <c r="AJ10" i="13"/>
  <c r="AH10" i="13"/>
  <c r="AJ9" i="13"/>
  <c r="AH9" i="13"/>
  <c r="AP8" i="13"/>
  <c r="AJ8" i="13"/>
  <c r="AH8" i="13"/>
  <c r="AS9" i="13"/>
  <c r="AS8" i="13"/>
  <c r="N47" i="35"/>
  <c r="J47" i="35"/>
  <c r="N46" i="35"/>
  <c r="J45" i="35"/>
  <c r="N44" i="35"/>
  <c r="J44" i="35"/>
  <c r="N43" i="35"/>
  <c r="J43" i="35"/>
  <c r="N42" i="35"/>
  <c r="J41" i="35"/>
  <c r="N40" i="35"/>
  <c r="J40" i="35"/>
  <c r="N39" i="35"/>
  <c r="J39" i="35"/>
  <c r="N38" i="35"/>
  <c r="J37" i="35"/>
  <c r="N36" i="35"/>
  <c r="J36" i="35"/>
  <c r="N35" i="35"/>
  <c r="J35" i="35"/>
  <c r="N34" i="35"/>
  <c r="J33" i="35"/>
  <c r="N32" i="35"/>
  <c r="J32" i="35"/>
  <c r="N31" i="35"/>
  <c r="J31" i="35"/>
  <c r="N30" i="35"/>
  <c r="J29" i="35"/>
  <c r="N28" i="35"/>
  <c r="J28" i="35"/>
  <c r="N27" i="35"/>
  <c r="J27" i="35"/>
  <c r="N26" i="35"/>
  <c r="J25" i="35"/>
  <c r="N24" i="35"/>
  <c r="J24" i="35"/>
  <c r="N23" i="35"/>
  <c r="J23" i="35"/>
  <c r="N22" i="35"/>
  <c r="J21" i="35"/>
  <c r="N20" i="35"/>
  <c r="J20" i="35"/>
  <c r="N19" i="35"/>
  <c r="J19" i="35"/>
  <c r="N18" i="35"/>
  <c r="J17" i="35"/>
  <c r="N16" i="35"/>
  <c r="J16" i="35"/>
  <c r="N15" i="35"/>
  <c r="J15" i="35"/>
  <c r="N14" i="35"/>
  <c r="J13" i="35"/>
  <c r="N12" i="35"/>
  <c r="J12" i="35"/>
  <c r="N11" i="35"/>
  <c r="J11" i="35"/>
  <c r="N10" i="35"/>
  <c r="J9" i="35"/>
  <c r="N8" i="35"/>
  <c r="W8" i="35"/>
  <c r="J8" i="35"/>
  <c r="AD6" i="35"/>
  <c r="W6" i="35"/>
  <c r="V6" i="35"/>
  <c r="F49" i="33"/>
  <c r="M49" i="33" s="1"/>
  <c r="F5" i="33"/>
  <c r="O5" i="33" s="1"/>
  <c r="J5" i="33"/>
  <c r="G53" i="33"/>
  <c r="G52" i="33"/>
  <c r="Y60" i="13"/>
  <c r="K53" i="13"/>
  <c r="F32" i="30" s="1"/>
  <c r="B32" i="30" s="1"/>
  <c r="K36" i="31"/>
  <c r="F141" i="30"/>
  <c r="B141" i="30" s="1"/>
  <c r="J36" i="31"/>
  <c r="F140" i="30" s="1"/>
  <c r="B140" i="30" s="1"/>
  <c r="I36" i="31"/>
  <c r="F139" i="30"/>
  <c r="B139" i="30" s="1"/>
  <c r="H36" i="31"/>
  <c r="F138" i="30" s="1"/>
  <c r="B138" i="30"/>
  <c r="G36" i="31"/>
  <c r="F137" i="30"/>
  <c r="B137" i="30" s="1"/>
  <c r="F36" i="31"/>
  <c r="F136" i="30" s="1"/>
  <c r="B136" i="30" s="1"/>
  <c r="E36" i="31"/>
  <c r="F135" i="30"/>
  <c r="B135" i="30" s="1"/>
  <c r="Q45" i="34"/>
  <c r="P45" i="34"/>
  <c r="O44" i="34"/>
  <c r="N44" i="34"/>
  <c r="M45" i="34"/>
  <c r="L45" i="34"/>
  <c r="AJ7" i="13"/>
  <c r="AH7" i="13"/>
  <c r="AH6" i="13"/>
  <c r="H34" i="24"/>
  <c r="F26" i="30"/>
  <c r="B26" i="30" s="1"/>
  <c r="J34" i="9"/>
  <c r="F58" i="30" s="1"/>
  <c r="B58" i="30"/>
  <c r="K6" i="9"/>
  <c r="K7" i="9"/>
  <c r="K8" i="9"/>
  <c r="K9" i="9"/>
  <c r="K10" i="9"/>
  <c r="K11" i="9"/>
  <c r="K12" i="9"/>
  <c r="K13" i="9"/>
  <c r="K14" i="9"/>
  <c r="K15" i="9"/>
  <c r="K16" i="9"/>
  <c r="K17" i="9"/>
  <c r="K18" i="9"/>
  <c r="K21" i="9"/>
  <c r="K22" i="9"/>
  <c r="K23" i="9"/>
  <c r="K24" i="9"/>
  <c r="K25" i="9"/>
  <c r="K26" i="9"/>
  <c r="K27" i="9"/>
  <c r="K28" i="9"/>
  <c r="K29" i="9"/>
  <c r="K30" i="9"/>
  <c r="K31" i="9"/>
  <c r="K32" i="9"/>
  <c r="K33" i="9"/>
  <c r="F34" i="9"/>
  <c r="F28" i="30"/>
  <c r="B28" i="30" s="1"/>
  <c r="G34" i="9"/>
  <c r="F56" i="30" s="1"/>
  <c r="B56" i="30"/>
  <c r="H34" i="9"/>
  <c r="F61" i="30"/>
  <c r="B61" i="30" s="1"/>
  <c r="I34" i="9"/>
  <c r="F62" i="30" s="1"/>
  <c r="B62" i="30" s="1"/>
  <c r="L34" i="9"/>
  <c r="F60" i="30"/>
  <c r="B60" i="30" s="1"/>
  <c r="M34" i="9"/>
  <c r="F63" i="30" s="1"/>
  <c r="B63" i="30" s="1"/>
  <c r="N34" i="9"/>
  <c r="F64" i="30"/>
  <c r="B64" i="30" s="1"/>
  <c r="C55" i="33"/>
  <c r="C54" i="33"/>
  <c r="C53" i="33"/>
  <c r="C52" i="33"/>
  <c r="M34" i="11"/>
  <c r="M33" i="11"/>
  <c r="M32" i="11"/>
  <c r="M31" i="11"/>
  <c r="M30" i="11"/>
  <c r="M29" i="11"/>
  <c r="M28" i="11"/>
  <c r="M27" i="11"/>
  <c r="M26" i="11"/>
  <c r="M6" i="11"/>
  <c r="M5" i="11"/>
  <c r="K7" i="13"/>
  <c r="AQ7" i="13"/>
  <c r="O9" i="15"/>
  <c r="Q9" i="15"/>
  <c r="R9" i="15"/>
  <c r="O10" i="15"/>
  <c r="Q10" i="15"/>
  <c r="R10" i="15"/>
  <c r="O11" i="15"/>
  <c r="Q11" i="15"/>
  <c r="R11" i="15"/>
  <c r="O12" i="15"/>
  <c r="Q12" i="15"/>
  <c r="R12" i="15"/>
  <c r="O13" i="15"/>
  <c r="Q13" i="15"/>
  <c r="R13" i="15"/>
  <c r="O14" i="15"/>
  <c r="Q14" i="15"/>
  <c r="R14" i="15"/>
  <c r="O15" i="15"/>
  <c r="Q15" i="15"/>
  <c r="R15" i="15"/>
  <c r="O31" i="15"/>
  <c r="Q31" i="15"/>
  <c r="R31" i="15"/>
  <c r="O32" i="15"/>
  <c r="Q32" i="15"/>
  <c r="R32" i="15"/>
  <c r="O33" i="15"/>
  <c r="Q33" i="15"/>
  <c r="R33" i="15"/>
  <c r="O34" i="15"/>
  <c r="Q34" i="15"/>
  <c r="O35" i="15"/>
  <c r="Q35" i="15"/>
  <c r="R35" i="15"/>
  <c r="O36" i="15"/>
  <c r="Q36" i="15"/>
  <c r="R36" i="15"/>
  <c r="O37" i="15"/>
  <c r="Q37" i="15"/>
  <c r="R37" i="15"/>
  <c r="O38" i="15"/>
  <c r="Q38" i="15"/>
  <c r="Q43" i="15" s="1"/>
  <c r="R38" i="15"/>
  <c r="O39" i="15"/>
  <c r="Q39" i="15"/>
  <c r="R39" i="15"/>
  <c r="O40" i="15"/>
  <c r="Q40" i="15"/>
  <c r="R40" i="15"/>
  <c r="O41" i="15"/>
  <c r="Q41" i="15"/>
  <c r="R41" i="15"/>
  <c r="O42" i="15"/>
  <c r="Q42" i="15"/>
  <c r="R42" i="15"/>
  <c r="O6" i="15"/>
  <c r="Q6" i="15"/>
  <c r="R6" i="15"/>
  <c r="O7" i="15"/>
  <c r="R7" i="15"/>
  <c r="O8" i="15"/>
  <c r="Q8" i="15"/>
  <c r="R5" i="15"/>
  <c r="F72" i="30"/>
  <c r="B72" i="30" s="1"/>
  <c r="AR7" i="13"/>
  <c r="J2" i="10"/>
  <c r="J45" i="10" s="1"/>
  <c r="J5" i="10"/>
  <c r="K2" i="10"/>
  <c r="K9" i="10"/>
  <c r="L2" i="10"/>
  <c r="L39" i="10" s="1"/>
  <c r="L5" i="10"/>
  <c r="N2" i="10"/>
  <c r="N5" i="10" s="1"/>
  <c r="L46" i="10"/>
  <c r="Q5" i="15"/>
  <c r="R8" i="15"/>
  <c r="R34" i="15"/>
  <c r="M7" i="13"/>
  <c r="L7" i="13" s="1"/>
  <c r="R32" i="16"/>
  <c r="R34" i="16" s="1"/>
  <c r="X32" i="16"/>
  <c r="X34" i="16" s="1"/>
  <c r="Q25" i="16"/>
  <c r="Q26" i="16" s="1"/>
  <c r="F59" i="16" s="1"/>
  <c r="H59" i="16" s="1"/>
  <c r="F12" i="16"/>
  <c r="G12" i="16" s="1"/>
  <c r="Q8" i="16"/>
  <c r="Q9" i="16"/>
  <c r="Q10" i="16" s="1"/>
  <c r="W8" i="16"/>
  <c r="O43" i="24"/>
  <c r="O47" i="24"/>
  <c r="O44" i="24"/>
  <c r="O48" i="24"/>
  <c r="G34" i="24"/>
  <c r="F125" i="30" s="1"/>
  <c r="B125" i="30" s="1"/>
  <c r="J34" i="24"/>
  <c r="F122" i="30"/>
  <c r="B122" i="30" s="1"/>
  <c r="V55" i="19"/>
  <c r="AA55" i="19"/>
  <c r="Z55" i="19"/>
  <c r="Y55" i="19"/>
  <c r="X55" i="19"/>
  <c r="W55" i="19"/>
  <c r="U55" i="19"/>
  <c r="T55" i="19"/>
  <c r="C54" i="10"/>
  <c r="C52" i="10"/>
  <c r="C51" i="10"/>
  <c r="C50" i="10"/>
  <c r="E34" i="9"/>
  <c r="F57" i="30"/>
  <c r="B57" i="30" s="1"/>
  <c r="N47" i="10"/>
  <c r="J47" i="10"/>
  <c r="N45" i="10"/>
  <c r="N43" i="10"/>
  <c r="J43" i="10"/>
  <c r="L41" i="10"/>
  <c r="L37" i="10"/>
  <c r="L35" i="10"/>
  <c r="N33" i="10"/>
  <c r="L7" i="10"/>
  <c r="Q7" i="15"/>
  <c r="K49" i="33"/>
  <c r="O49" i="33"/>
  <c r="L49" i="33"/>
  <c r="N18" i="13"/>
  <c r="N32" i="13"/>
  <c r="N38" i="13"/>
  <c r="N42" i="13"/>
  <c r="L44" i="13"/>
  <c r="N46" i="13"/>
  <c r="AQ8" i="13"/>
  <c r="AQ9" i="13"/>
  <c r="AS7" i="13"/>
  <c r="N45" i="13"/>
  <c r="N17" i="13"/>
  <c r="L13" i="13"/>
  <c r="N28" i="13"/>
  <c r="L21" i="13"/>
  <c r="L40" i="13"/>
  <c r="L34" i="13"/>
  <c r="N15" i="13"/>
  <c r="L19" i="13"/>
  <c r="L29" i="13"/>
  <c r="D81" i="16"/>
  <c r="O5" i="15"/>
  <c r="O43" i="15" s="1"/>
  <c r="F46" i="15" s="1"/>
  <c r="W9" i="16"/>
  <c r="W10" i="16" s="1"/>
  <c r="Q17" i="16"/>
  <c r="Q18" i="16" s="1"/>
  <c r="F13" i="16" s="1"/>
  <c r="W17" i="16"/>
  <c r="W18" i="16"/>
  <c r="F34" i="24"/>
  <c r="F126" i="30"/>
  <c r="B126" i="30" s="1"/>
  <c r="J9" i="33"/>
  <c r="N9" i="33"/>
  <c r="K12" i="33"/>
  <c r="O12" i="33"/>
  <c r="J13" i="33"/>
  <c r="N13" i="33"/>
  <c r="M14" i="33"/>
  <c r="L15" i="33"/>
  <c r="K16" i="33"/>
  <c r="O16" i="33"/>
  <c r="J17" i="33"/>
  <c r="N17" i="33"/>
  <c r="L19" i="33"/>
  <c r="J21" i="33"/>
  <c r="N21" i="33"/>
  <c r="M22" i="33"/>
  <c r="K26" i="33"/>
  <c r="M28" i="33"/>
  <c r="K30" i="33"/>
  <c r="M32" i="33"/>
  <c r="L33" i="33"/>
  <c r="K34" i="33"/>
  <c r="O34" i="33"/>
  <c r="N35" i="33"/>
  <c r="M36" i="33"/>
  <c r="L37" i="33"/>
  <c r="K38" i="33"/>
  <c r="J39" i="33"/>
  <c r="N39" i="33"/>
  <c r="M40" i="33"/>
  <c r="L41" i="33"/>
  <c r="K42" i="33"/>
  <c r="K46" i="33"/>
  <c r="O46" i="33"/>
  <c r="J47" i="33"/>
  <c r="M48" i="33"/>
  <c r="M9" i="33"/>
  <c r="M13" i="33"/>
  <c r="M17" i="33"/>
  <c r="M21" i="33"/>
  <c r="M39" i="33"/>
  <c r="L40" i="33"/>
  <c r="L44" i="33"/>
  <c r="L48" i="33"/>
  <c r="N7" i="33"/>
  <c r="L9" i="33"/>
  <c r="N11" i="33"/>
  <c r="L13" i="33"/>
  <c r="J15" i="33"/>
  <c r="N15" i="33"/>
  <c r="L17" i="33"/>
  <c r="J19" i="33"/>
  <c r="N19" i="33"/>
  <c r="L21" i="33"/>
  <c r="K22" i="33"/>
  <c r="O24" i="33"/>
  <c r="L27" i="33"/>
  <c r="K28" i="33"/>
  <c r="O28" i="33"/>
  <c r="K32" i="33"/>
  <c r="O32" i="33"/>
  <c r="J33" i="33"/>
  <c r="N33" i="33"/>
  <c r="M34" i="33"/>
  <c r="J37" i="33"/>
  <c r="L39" i="33"/>
  <c r="K40" i="33"/>
  <c r="O40" i="33"/>
  <c r="N41" i="33"/>
  <c r="K44" i="33"/>
  <c r="M46" i="33"/>
  <c r="K48" i="33"/>
  <c r="O48" i="33"/>
  <c r="K9" i="33"/>
  <c r="K13" i="33"/>
  <c r="K17" i="33"/>
  <c r="K21" i="33"/>
  <c r="J28" i="33"/>
  <c r="J32" i="33"/>
  <c r="K35" i="33"/>
  <c r="J36" i="33"/>
  <c r="K39" i="33"/>
  <c r="J40" i="33"/>
  <c r="J44" i="33"/>
  <c r="J48" i="33"/>
  <c r="M6" i="33"/>
  <c r="L6" i="33"/>
  <c r="K6" i="33"/>
  <c r="O6" i="33"/>
  <c r="J6" i="33"/>
  <c r="Q50" i="33"/>
  <c r="F25" i="30" s="1"/>
  <c r="B25" i="30" s="1"/>
  <c r="P5" i="34"/>
  <c r="P9" i="34"/>
  <c r="L5" i="34"/>
  <c r="L9" i="34"/>
  <c r="P7" i="34"/>
  <c r="P11" i="34"/>
  <c r="L7" i="34"/>
  <c r="L11" i="34"/>
  <c r="O4" i="34"/>
  <c r="M5" i="34"/>
  <c r="Q5" i="34"/>
  <c r="O6" i="34"/>
  <c r="M7" i="34"/>
  <c r="Q7" i="34"/>
  <c r="O8" i="34"/>
  <c r="M9" i="34"/>
  <c r="Q9" i="34"/>
  <c r="O10" i="34"/>
  <c r="M11" i="34"/>
  <c r="Q11" i="34"/>
  <c r="O12" i="34"/>
  <c r="M13" i="34"/>
  <c r="Q13" i="34"/>
  <c r="O14" i="34"/>
  <c r="M15" i="34"/>
  <c r="Q15" i="34"/>
  <c r="O16" i="34"/>
  <c r="M17" i="34"/>
  <c r="Q17" i="34"/>
  <c r="O18" i="34"/>
  <c r="M19" i="34"/>
  <c r="Q19" i="34"/>
  <c r="O20" i="34"/>
  <c r="M21" i="34"/>
  <c r="Q21" i="34"/>
  <c r="O22" i="34"/>
  <c r="M23" i="34"/>
  <c r="Q23" i="34"/>
  <c r="O24" i="34"/>
  <c r="M25" i="34"/>
  <c r="Q25" i="34"/>
  <c r="O26" i="34"/>
  <c r="M27" i="34"/>
  <c r="Q27" i="34"/>
  <c r="O28" i="34"/>
  <c r="O29" i="34"/>
  <c r="M30" i="34"/>
  <c r="Q30" i="34"/>
  <c r="O31" i="34"/>
  <c r="M32" i="34"/>
  <c r="Q32" i="34"/>
  <c r="O33" i="34"/>
  <c r="M34" i="34"/>
  <c r="Q34" i="34"/>
  <c r="O35" i="34"/>
  <c r="M36" i="34"/>
  <c r="Q36" i="34"/>
  <c r="O37" i="34"/>
  <c r="M38" i="34"/>
  <c r="Q38" i="34"/>
  <c r="O39" i="34"/>
  <c r="M40" i="34"/>
  <c r="Q40" i="34"/>
  <c r="O41" i="34"/>
  <c r="M42" i="34"/>
  <c r="Q42" i="34"/>
  <c r="O43" i="34"/>
  <c r="M44" i="34"/>
  <c r="Q44" i="34"/>
  <c r="O45" i="34"/>
  <c r="N4" i="34"/>
  <c r="N6" i="34"/>
  <c r="N8" i="34"/>
  <c r="N10" i="34"/>
  <c r="N12" i="34"/>
  <c r="L13" i="34"/>
  <c r="P13" i="34"/>
  <c r="N14" i="34"/>
  <c r="L15" i="34"/>
  <c r="P15" i="34"/>
  <c r="N16" i="34"/>
  <c r="L17" i="34"/>
  <c r="P17" i="34"/>
  <c r="N18" i="34"/>
  <c r="L19" i="34"/>
  <c r="P19" i="34"/>
  <c r="N20" i="34"/>
  <c r="L21" i="34"/>
  <c r="P21" i="34"/>
  <c r="N22" i="34"/>
  <c r="L23" i="34"/>
  <c r="P23" i="34"/>
  <c r="N24" i="34"/>
  <c r="L25" i="34"/>
  <c r="P25" i="34"/>
  <c r="N26" i="34"/>
  <c r="L27" i="34"/>
  <c r="P27" i="34"/>
  <c r="N28" i="34"/>
  <c r="N29" i="34"/>
  <c r="L30" i="34"/>
  <c r="P30" i="34"/>
  <c r="N31" i="34"/>
  <c r="L32" i="34"/>
  <c r="P32" i="34"/>
  <c r="N33" i="34"/>
  <c r="L34" i="34"/>
  <c r="P34" i="34"/>
  <c r="N35" i="34"/>
  <c r="L36" i="34"/>
  <c r="P36" i="34"/>
  <c r="N37" i="34"/>
  <c r="L38" i="34"/>
  <c r="P38" i="34"/>
  <c r="N39" i="34"/>
  <c r="L40" i="34"/>
  <c r="P40" i="34"/>
  <c r="N41" i="34"/>
  <c r="L42" i="34"/>
  <c r="P42" i="34"/>
  <c r="N43" i="34"/>
  <c r="L44" i="34"/>
  <c r="P44" i="34"/>
  <c r="N45" i="34"/>
  <c r="M4" i="34"/>
  <c r="Q4" i="34"/>
  <c r="O5" i="34"/>
  <c r="M6" i="34"/>
  <c r="Q6" i="34"/>
  <c r="O7" i="34"/>
  <c r="M8" i="34"/>
  <c r="Q8" i="34"/>
  <c r="O9" i="34"/>
  <c r="M10" i="34"/>
  <c r="Q10" i="34"/>
  <c r="O11" i="34"/>
  <c r="M12" i="34"/>
  <c r="Q12" i="34"/>
  <c r="O13" i="34"/>
  <c r="M14" i="34"/>
  <c r="Q14" i="34"/>
  <c r="O15" i="34"/>
  <c r="M16" i="34"/>
  <c r="Q16" i="34"/>
  <c r="O17" i="34"/>
  <c r="M18" i="34"/>
  <c r="Q18" i="34"/>
  <c r="O19" i="34"/>
  <c r="M20" i="34"/>
  <c r="Q20" i="34"/>
  <c r="O21" i="34"/>
  <c r="M22" i="34"/>
  <c r="Q22" i="34"/>
  <c r="O23" i="34"/>
  <c r="M24" i="34"/>
  <c r="Q24" i="34"/>
  <c r="O25" i="34"/>
  <c r="M26" i="34"/>
  <c r="Q26" i="34"/>
  <c r="O27" i="34"/>
  <c r="M28" i="34"/>
  <c r="Q28" i="34"/>
  <c r="M29" i="34"/>
  <c r="Q29" i="34"/>
  <c r="O30" i="34"/>
  <c r="M31" i="34"/>
  <c r="Q31" i="34"/>
  <c r="O32" i="34"/>
  <c r="M33" i="34"/>
  <c r="Q33" i="34"/>
  <c r="O34" i="34"/>
  <c r="M35" i="34"/>
  <c r="Q35" i="34"/>
  <c r="O36" i="34"/>
  <c r="M37" i="34"/>
  <c r="Q37" i="34"/>
  <c r="O38" i="34"/>
  <c r="M39" i="34"/>
  <c r="Q39" i="34"/>
  <c r="O40" i="34"/>
  <c r="M41" i="34"/>
  <c r="Q41" i="34"/>
  <c r="O42" i="34"/>
  <c r="M43" i="34"/>
  <c r="Q43" i="34"/>
  <c r="L4" i="34"/>
  <c r="P4" i="34"/>
  <c r="N5" i="34"/>
  <c r="N47" i="34" s="1"/>
  <c r="L6" i="34"/>
  <c r="P6" i="34"/>
  <c r="N7" i="34"/>
  <c r="L8" i="34"/>
  <c r="P8" i="34"/>
  <c r="N9" i="34"/>
  <c r="L10" i="34"/>
  <c r="P10" i="34"/>
  <c r="N11" i="34"/>
  <c r="L12" i="34"/>
  <c r="P12" i="34"/>
  <c r="N13" i="34"/>
  <c r="L14" i="34"/>
  <c r="P14" i="34"/>
  <c r="N15" i="34"/>
  <c r="L16" i="34"/>
  <c r="P16" i="34"/>
  <c r="N17" i="34"/>
  <c r="L18" i="34"/>
  <c r="P18" i="34"/>
  <c r="N19" i="34"/>
  <c r="L20" i="34"/>
  <c r="P20" i="34"/>
  <c r="N21" i="34"/>
  <c r="L22" i="34"/>
  <c r="P22" i="34"/>
  <c r="N23" i="34"/>
  <c r="L24" i="34"/>
  <c r="P24" i="34"/>
  <c r="N25" i="34"/>
  <c r="L26" i="34"/>
  <c r="P26" i="34"/>
  <c r="N27" i="34"/>
  <c r="L28" i="34"/>
  <c r="P28" i="34"/>
  <c r="L29" i="34"/>
  <c r="P29" i="34"/>
  <c r="N30" i="34"/>
  <c r="L31" i="34"/>
  <c r="P31" i="34"/>
  <c r="N32" i="34"/>
  <c r="L33" i="34"/>
  <c r="P33" i="34"/>
  <c r="N34" i="34"/>
  <c r="L35" i="34"/>
  <c r="P35" i="34"/>
  <c r="N36" i="34"/>
  <c r="L37" i="34"/>
  <c r="P37" i="34"/>
  <c r="N38" i="34"/>
  <c r="L39" i="34"/>
  <c r="P39" i="34"/>
  <c r="N40" i="34"/>
  <c r="L41" i="34"/>
  <c r="P41" i="34"/>
  <c r="N42" i="34"/>
  <c r="L43" i="34"/>
  <c r="P43" i="34"/>
  <c r="AG9" i="31"/>
  <c r="AC9" i="31"/>
  <c r="AE9" i="31"/>
  <c r="AA8" i="31"/>
  <c r="AG8" i="31"/>
  <c r="AA7" i="31"/>
  <c r="AG7" i="31"/>
  <c r="P10" i="13"/>
  <c r="M15" i="35"/>
  <c r="M23" i="35"/>
  <c r="K39" i="35"/>
  <c r="M9" i="35"/>
  <c r="L11" i="35"/>
  <c r="M13" i="35"/>
  <c r="L15" i="35"/>
  <c r="M17" i="35"/>
  <c r="L19" i="35"/>
  <c r="K21" i="35"/>
  <c r="M21" i="35"/>
  <c r="L23" i="35"/>
  <c r="K25" i="35"/>
  <c r="M25" i="35"/>
  <c r="L27" i="35"/>
  <c r="K29" i="35"/>
  <c r="M29" i="35"/>
  <c r="L31" i="35"/>
  <c r="K33" i="35"/>
  <c r="M33" i="35"/>
  <c r="L35" i="35"/>
  <c r="K37" i="35"/>
  <c r="M37" i="35"/>
  <c r="L39" i="35"/>
  <c r="K41" i="35"/>
  <c r="M41" i="35"/>
  <c r="L43" i="35"/>
  <c r="K45" i="35"/>
  <c r="M45" i="35"/>
  <c r="K46" i="35"/>
  <c r="M46" i="35"/>
  <c r="K10" i="35"/>
  <c r="M10" i="35"/>
  <c r="L12" i="35"/>
  <c r="K14" i="35"/>
  <c r="M14" i="35"/>
  <c r="L16" i="35"/>
  <c r="M18" i="35"/>
  <c r="L20" i="35"/>
  <c r="K22" i="35"/>
  <c r="M22" i="35"/>
  <c r="L24" i="35"/>
  <c r="K26" i="35"/>
  <c r="M26" i="35"/>
  <c r="L28" i="35"/>
  <c r="K30" i="35"/>
  <c r="M30" i="35"/>
  <c r="L32" i="35"/>
  <c r="K34" i="35"/>
  <c r="M34" i="35"/>
  <c r="L36" i="35"/>
  <c r="K38" i="35"/>
  <c r="M38" i="35"/>
  <c r="L40" i="35"/>
  <c r="K42" i="35"/>
  <c r="M42" i="35"/>
  <c r="L44" i="35"/>
  <c r="M47" i="35"/>
  <c r="L9" i="35"/>
  <c r="L21" i="35"/>
  <c r="M31" i="35"/>
  <c r="L41" i="35"/>
  <c r="M12" i="35"/>
  <c r="K20" i="35"/>
  <c r="M24" i="35"/>
  <c r="L30" i="35"/>
  <c r="K36" i="35"/>
  <c r="M40" i="35"/>
  <c r="L47" i="35"/>
  <c r="M8" i="35"/>
  <c r="L8" i="35"/>
  <c r="K19" i="10"/>
  <c r="K31" i="10"/>
  <c r="N9" i="10"/>
  <c r="J11" i="10"/>
  <c r="L12" i="10"/>
  <c r="J15" i="10"/>
  <c r="L16" i="10"/>
  <c r="N17" i="10"/>
  <c r="J19" i="10"/>
  <c r="L20" i="10"/>
  <c r="J23" i="10"/>
  <c r="L24" i="10"/>
  <c r="N25" i="10"/>
  <c r="J27" i="10"/>
  <c r="L28" i="10"/>
  <c r="J31" i="10"/>
  <c r="L4" i="10"/>
  <c r="K14" i="10"/>
  <c r="K26" i="10"/>
  <c r="J10" i="10"/>
  <c r="L11" i="10"/>
  <c r="J14" i="10"/>
  <c r="L15" i="10"/>
  <c r="N16" i="10"/>
  <c r="J18" i="10"/>
  <c r="L19" i="10"/>
  <c r="J22" i="10"/>
  <c r="L23" i="10"/>
  <c r="N24" i="10"/>
  <c r="J26" i="10"/>
  <c r="L27" i="10"/>
  <c r="J30" i="10"/>
  <c r="L31" i="10"/>
  <c r="N44" i="10"/>
  <c r="L42" i="10"/>
  <c r="L34" i="10"/>
  <c r="J36" i="10"/>
  <c r="J46" i="10"/>
  <c r="J4" i="10"/>
  <c r="L44" i="10"/>
  <c r="K41" i="10"/>
  <c r="J38" i="10"/>
  <c r="J8" i="10"/>
  <c r="K5" i="10"/>
  <c r="L40" i="10"/>
  <c r="J34" i="10"/>
  <c r="N8" i="10"/>
  <c r="O91" i="13"/>
  <c r="AR91" i="13"/>
  <c r="AR131" i="13"/>
  <c r="AP91" i="13"/>
  <c r="AP131" i="13"/>
  <c r="I139" i="13"/>
  <c r="K137" i="13"/>
  <c r="AQ131" i="13"/>
  <c r="P7" i="13"/>
  <c r="P8" i="13"/>
  <c r="F55" i="30"/>
  <c r="B55" i="30" s="1"/>
  <c r="F54" i="30"/>
  <c r="B54" i="30" s="1"/>
  <c r="P9" i="13"/>
  <c r="K131" i="13"/>
  <c r="K142" i="13" s="1"/>
  <c r="I131" i="13"/>
  <c r="O92" i="13"/>
  <c r="Q92" i="13" s="1"/>
  <c r="H142" i="13"/>
  <c r="J131" i="13"/>
  <c r="F142" i="13"/>
  <c r="L91" i="13"/>
  <c r="N91" i="13"/>
  <c r="AM29" i="13"/>
  <c r="AN29" i="13" s="1"/>
  <c r="N43" i="13"/>
  <c r="N39" i="13"/>
  <c r="L20" i="13"/>
  <c r="L14" i="13"/>
  <c r="N16" i="13"/>
  <c r="L22" i="13"/>
  <c r="L33" i="13"/>
  <c r="L37" i="13"/>
  <c r="N41" i="13"/>
  <c r="I141" i="13"/>
  <c r="M131" i="13"/>
  <c r="M142" i="13"/>
  <c r="AE6" i="35"/>
  <c r="G33" i="21"/>
  <c r="G36" i="21"/>
  <c r="G30" i="21"/>
  <c r="G45" i="21"/>
  <c r="G41" i="21"/>
  <c r="G46" i="21"/>
  <c r="G42" i="21"/>
  <c r="G44" i="21"/>
  <c r="G50" i="21"/>
  <c r="G48" i="21"/>
  <c r="G40" i="21"/>
  <c r="O93" i="13"/>
  <c r="Q93" i="13" s="1"/>
  <c r="N92" i="13"/>
  <c r="L94" i="13"/>
  <c r="N96" i="13"/>
  <c r="L98" i="13"/>
  <c r="N100" i="13"/>
  <c r="L102" i="13"/>
  <c r="N104" i="13"/>
  <c r="L106" i="13"/>
  <c r="N108" i="13"/>
  <c r="L110" i="13"/>
  <c r="N112" i="13"/>
  <c r="L114" i="13"/>
  <c r="N116" i="13"/>
  <c r="L118" i="13"/>
  <c r="N120" i="13"/>
  <c r="L122" i="13"/>
  <c r="N124" i="13"/>
  <c r="L126" i="13"/>
  <c r="N128" i="13"/>
  <c r="I140" i="13"/>
  <c r="F49" i="42"/>
  <c r="E49" i="42"/>
  <c r="D48" i="39"/>
  <c r="E48" i="39"/>
  <c r="K43" i="33"/>
  <c r="K27" i="33"/>
  <c r="L43" i="33"/>
  <c r="M26" i="33"/>
  <c r="K24" i="33"/>
  <c r="K18" i="33"/>
  <c r="K14" i="33"/>
  <c r="K10" i="33"/>
  <c r="M27" i="33"/>
  <c r="N43" i="33"/>
  <c r="N27" i="33"/>
  <c r="L25" i="33"/>
  <c r="J10" i="33"/>
  <c r="J14" i="33"/>
  <c r="J18" i="33"/>
  <c r="L22" i="33"/>
  <c r="K23" i="33"/>
  <c r="J24" i="33"/>
  <c r="K25" i="33"/>
  <c r="J26" i="33"/>
  <c r="L36" i="33"/>
  <c r="O37" i="33"/>
  <c r="N38" i="33"/>
  <c r="K41" i="33"/>
  <c r="J45" i="33"/>
  <c r="K36" i="33"/>
  <c r="J25" i="33"/>
  <c r="J23" i="33"/>
  <c r="L45" i="33"/>
  <c r="O26" i="33"/>
  <c r="L23" i="33"/>
  <c r="O7" i="33"/>
  <c r="O10" i="33"/>
  <c r="N10" i="33"/>
  <c r="O11" i="33"/>
  <c r="L12" i="33"/>
  <c r="O14" i="33"/>
  <c r="N14" i="33"/>
  <c r="O18" i="33"/>
  <c r="N18" i="33"/>
  <c r="M23" i="33"/>
  <c r="N24" i="33"/>
  <c r="M25" i="33"/>
  <c r="L26" i="33"/>
  <c r="O27" i="33"/>
  <c r="N36" i="33"/>
  <c r="L42" i="33"/>
  <c r="O43" i="33"/>
  <c r="M45" i="33"/>
  <c r="O45" i="33"/>
  <c r="N45" i="33"/>
  <c r="N25" i="33"/>
  <c r="N23" i="33"/>
  <c r="M24" i="33"/>
  <c r="M18" i="33"/>
  <c r="M10" i="33"/>
  <c r="O22" i="33"/>
  <c r="M41" i="33"/>
  <c r="P50" i="33"/>
  <c r="D138" i="30"/>
  <c r="D134" i="30"/>
  <c r="D137" i="30"/>
  <c r="D136" i="30"/>
  <c r="B86" i="30"/>
  <c r="O7" i="10"/>
  <c r="O11" i="10"/>
  <c r="O15" i="10"/>
  <c r="O19" i="10"/>
  <c r="O23" i="10"/>
  <c r="O27" i="10"/>
  <c r="O31" i="10"/>
  <c r="O35" i="10"/>
  <c r="O39" i="10"/>
  <c r="O43" i="10"/>
  <c r="O47" i="10"/>
  <c r="O6" i="10"/>
  <c r="O10" i="10"/>
  <c r="O14" i="10"/>
  <c r="O18" i="10"/>
  <c r="O22" i="10"/>
  <c r="O26" i="10"/>
  <c r="O30" i="10"/>
  <c r="O34" i="10"/>
  <c r="O38" i="10"/>
  <c r="O42" i="10"/>
  <c r="O46" i="10"/>
  <c r="O5" i="10"/>
  <c r="O9" i="10"/>
  <c r="O13" i="10"/>
  <c r="O17" i="10"/>
  <c r="O21" i="10"/>
  <c r="O25" i="10"/>
  <c r="O29" i="10"/>
  <c r="O33" i="10"/>
  <c r="O37" i="10"/>
  <c r="O41" i="10"/>
  <c r="O45" i="10"/>
  <c r="O4" i="10"/>
  <c r="O8" i="10"/>
  <c r="O12" i="10"/>
  <c r="O16" i="10"/>
  <c r="O48" i="10" s="1"/>
  <c r="B55" i="10" s="1"/>
  <c r="F79" i="30" s="1"/>
  <c r="B79" i="30" s="1"/>
  <c r="O20" i="10"/>
  <c r="O24" i="10"/>
  <c r="O28" i="10"/>
  <c r="O32" i="10"/>
  <c r="O36" i="10"/>
  <c r="O40" i="10"/>
  <c r="O44" i="10"/>
  <c r="F29" i="30"/>
  <c r="B29" i="30" s="1"/>
  <c r="K33" i="30"/>
  <c r="D40" i="16"/>
  <c r="B20" i="16"/>
  <c r="P56" i="19"/>
  <c r="E5" i="21"/>
  <c r="F5" i="21" s="1"/>
  <c r="G5" i="21" s="1"/>
  <c r="F60" i="16"/>
  <c r="G60" i="16" s="1"/>
  <c r="P43" i="15"/>
  <c r="R43" i="15"/>
  <c r="B68" i="30"/>
  <c r="B67" i="30"/>
  <c r="B66" i="30"/>
  <c r="X6" i="35"/>
  <c r="AB6" i="35"/>
  <c r="D128" i="30"/>
  <c r="D132" i="30"/>
  <c r="D127" i="30"/>
  <c r="D131" i="30"/>
  <c r="D130" i="30"/>
  <c r="Z6" i="35"/>
  <c r="D129" i="30"/>
  <c r="K8" i="35"/>
  <c r="K9" i="35"/>
  <c r="K12" i="35"/>
  <c r="K13" i="35"/>
  <c r="K16" i="35"/>
  <c r="K17" i="35"/>
  <c r="K18" i="35"/>
  <c r="K19" i="35"/>
  <c r="Q27" i="35"/>
  <c r="Q33" i="35"/>
  <c r="Q37" i="35"/>
  <c r="O8" i="35"/>
  <c r="Q23" i="35"/>
  <c r="O47" i="35"/>
  <c r="O18" i="35"/>
  <c r="O20" i="35"/>
  <c r="O22" i="35"/>
  <c r="O24" i="35"/>
  <c r="Q25" i="35"/>
  <c r="O26" i="35"/>
  <c r="O27" i="35"/>
  <c r="O28" i="35"/>
  <c r="O30" i="35"/>
  <c r="O31" i="35"/>
  <c r="O32" i="35"/>
  <c r="O34" i="35"/>
  <c r="O35" i="35"/>
  <c r="O36" i="35"/>
  <c r="O38" i="35"/>
  <c r="O39" i="35"/>
  <c r="O40" i="35"/>
  <c r="O42" i="35"/>
  <c r="O43" i="35"/>
  <c r="O44" i="35"/>
  <c r="O10" i="35"/>
  <c r="O14" i="35"/>
  <c r="O46" i="35"/>
  <c r="O12" i="35"/>
  <c r="O16" i="35"/>
  <c r="G4" i="35"/>
  <c r="AC6" i="35" s="1"/>
  <c r="AV6" i="35"/>
  <c r="AO6" i="35"/>
  <c r="R21" i="35"/>
  <c r="R37" i="35"/>
  <c r="AI6" i="35"/>
  <c r="AN6" i="35"/>
  <c r="AH6" i="35"/>
  <c r="R28" i="35"/>
  <c r="R44" i="35"/>
  <c r="Q12" i="35"/>
  <c r="Q14" i="35"/>
  <c r="Q16" i="35"/>
  <c r="Q24" i="35"/>
  <c r="Q30" i="35"/>
  <c r="Q34" i="35"/>
  <c r="Q42" i="35"/>
  <c r="Q44" i="35"/>
  <c r="Q46" i="35"/>
  <c r="I48" i="35"/>
  <c r="F132" i="30"/>
  <c r="B132" i="30"/>
  <c r="N48" i="35"/>
  <c r="F133" i="30" s="1"/>
  <c r="B133" i="30"/>
  <c r="J48" i="35"/>
  <c r="F128" i="30"/>
  <c r="B128" i="30" s="1"/>
  <c r="F6" i="21"/>
  <c r="F14" i="21"/>
  <c r="G14" i="21"/>
  <c r="F22" i="21"/>
  <c r="G22" i="21"/>
  <c r="G18" i="21"/>
  <c r="G10" i="21"/>
  <c r="G8" i="21"/>
  <c r="F12" i="21"/>
  <c r="G12" i="21"/>
  <c r="G20" i="21"/>
  <c r="F24" i="21"/>
  <c r="G24" i="21"/>
  <c r="G16" i="21"/>
  <c r="F11" i="21"/>
  <c r="G11" i="21" s="1"/>
  <c r="F15" i="21"/>
  <c r="G15" i="21"/>
  <c r="F19" i="21"/>
  <c r="G19" i="21" s="1"/>
  <c r="G23" i="21"/>
  <c r="F27" i="21"/>
  <c r="G27" i="21"/>
  <c r="G25" i="21"/>
  <c r="G9" i="21"/>
  <c r="G13" i="21"/>
  <c r="G7" i="21"/>
  <c r="B83" i="30"/>
  <c r="D31" i="16"/>
  <c r="D83" i="16"/>
  <c r="D73" i="16"/>
  <c r="B68" i="16"/>
  <c r="D87" i="16"/>
  <c r="D26" i="16"/>
  <c r="D76" i="16"/>
  <c r="B67" i="16"/>
  <c r="D82" i="16"/>
  <c r="D36" i="16"/>
  <c r="D78" i="16"/>
  <c r="D34" i="16"/>
  <c r="D72" i="16"/>
  <c r="D35" i="16"/>
  <c r="D30" i="16"/>
  <c r="D29" i="16"/>
  <c r="D25" i="16"/>
  <c r="P118" i="38"/>
  <c r="C50" i="15"/>
  <c r="Q118" i="38"/>
  <c r="O234" i="38"/>
  <c r="O698" i="38"/>
  <c r="P756" i="38"/>
  <c r="Q814" i="38"/>
  <c r="O930" i="38"/>
  <c r="O1162" i="38"/>
  <c r="O1394" i="38"/>
  <c r="O118" i="38"/>
  <c r="D71" i="30"/>
  <c r="O524" i="38"/>
  <c r="O756" i="38"/>
  <c r="O988" i="38"/>
  <c r="Q1104" i="38"/>
  <c r="O1220" i="38"/>
  <c r="O1452" i="38"/>
  <c r="O350" i="38"/>
  <c r="O582" i="38"/>
  <c r="O814" i="38"/>
  <c r="O1046" i="38"/>
  <c r="O1278" i="38"/>
  <c r="O176" i="38"/>
  <c r="O408" i="38"/>
  <c r="P466" i="38"/>
  <c r="O640" i="38"/>
  <c r="P698" i="38"/>
  <c r="O872" i="38"/>
  <c r="P930" i="38"/>
  <c r="Q988" i="38"/>
  <c r="O1104" i="38"/>
  <c r="P1162" i="38"/>
  <c r="Q1220" i="38"/>
  <c r="O1336" i="38"/>
  <c r="P1394" i="38"/>
  <c r="Q1452" i="38"/>
  <c r="Q350" i="38"/>
  <c r="O466" i="38"/>
  <c r="Q582" i="38"/>
  <c r="O292" i="38"/>
  <c r="P234" i="38"/>
  <c r="Q234" i="38"/>
  <c r="Q466" i="38"/>
  <c r="Q698" i="38"/>
  <c r="Q930" i="38"/>
  <c r="Q1162" i="38"/>
  <c r="Q1394" i="38"/>
  <c r="Q292" i="38"/>
  <c r="Q524" i="38"/>
  <c r="Q756" i="38"/>
  <c r="Q1046" i="38"/>
  <c r="Q1278" i="38"/>
  <c r="Q176" i="38"/>
  <c r="Q408" i="38"/>
  <c r="Q640" i="38"/>
  <c r="Q872" i="38"/>
  <c r="Q1336" i="38"/>
  <c r="P176" i="38"/>
  <c r="P408" i="38"/>
  <c r="P640" i="38"/>
  <c r="P872" i="38"/>
  <c r="P1104" i="38"/>
  <c r="P1336" i="38"/>
  <c r="P292" i="38"/>
  <c r="P524" i="38"/>
  <c r="P988" i="38"/>
  <c r="P1220" i="38"/>
  <c r="P1452" i="38"/>
  <c r="P350" i="38"/>
  <c r="P582" i="38"/>
  <c r="P814" i="38"/>
  <c r="P1046" i="38"/>
  <c r="P1278" i="38"/>
  <c r="M36" i="11"/>
  <c r="P11" i="13"/>
  <c r="L109" i="13"/>
  <c r="L111" i="13"/>
  <c r="N25" i="13"/>
  <c r="AM111" i="13"/>
  <c r="AN111" i="13" s="1"/>
  <c r="L101" i="13"/>
  <c r="L103" i="13"/>
  <c r="L115" i="13"/>
  <c r="N119" i="13"/>
  <c r="L123" i="13"/>
  <c r="N127" i="13"/>
  <c r="AM121" i="13"/>
  <c r="AN121" i="13" s="1"/>
  <c r="L23" i="13"/>
  <c r="L99" i="13"/>
  <c r="L117" i="13"/>
  <c r="L125" i="13"/>
  <c r="AM104" i="13"/>
  <c r="AN104" i="13" s="1"/>
  <c r="N93" i="13"/>
  <c r="N97" i="13"/>
  <c r="N105" i="13"/>
  <c r="N113" i="13"/>
  <c r="N131" i="13" s="1"/>
  <c r="N142" i="13" s="1"/>
  <c r="N121" i="13"/>
  <c r="N129" i="13"/>
  <c r="R15" i="35"/>
  <c r="F11" i="16"/>
  <c r="G11" i="16" s="1"/>
  <c r="F58" i="16"/>
  <c r="G59" i="16"/>
  <c r="F27" i="30"/>
  <c r="B27" i="30"/>
  <c r="F54" i="33"/>
  <c r="K39" i="10"/>
  <c r="K20" i="10"/>
  <c r="K25" i="10"/>
  <c r="K13" i="10"/>
  <c r="M47" i="34"/>
  <c r="O47" i="34"/>
  <c r="K8" i="10"/>
  <c r="F54" i="16"/>
  <c r="F7" i="16"/>
  <c r="K45" i="10"/>
  <c r="K30" i="10"/>
  <c r="K18" i="10"/>
  <c r="F53" i="16"/>
  <c r="F6" i="16"/>
  <c r="AF6" i="35"/>
  <c r="AQ6" i="35"/>
  <c r="AP6" i="35"/>
  <c r="AA6" i="35"/>
  <c r="K34" i="10"/>
  <c r="K32" i="10"/>
  <c r="K11" i="10"/>
  <c r="K17" i="10"/>
  <c r="K23" i="10"/>
  <c r="K29" i="10"/>
  <c r="K12" i="10"/>
  <c r="K35" i="10"/>
  <c r="K7" i="10"/>
  <c r="K4" i="10"/>
  <c r="K46" i="10"/>
  <c r="K44" i="10"/>
  <c r="K6" i="10"/>
  <c r="K21" i="10"/>
  <c r="K27" i="10"/>
  <c r="K10" i="10"/>
  <c r="K16" i="10"/>
  <c r="K22" i="10"/>
  <c r="K28" i="10"/>
  <c r="K47" i="10"/>
  <c r="K33" i="10"/>
  <c r="K42" i="10"/>
  <c r="K40" i="10"/>
  <c r="K38" i="10"/>
  <c r="K36" i="10"/>
  <c r="F8" i="16"/>
  <c r="F55" i="16"/>
  <c r="G142" i="13"/>
  <c r="G139" i="13"/>
  <c r="K37" i="10"/>
  <c r="K43" i="10"/>
  <c r="K24" i="10"/>
  <c r="K15" i="10"/>
  <c r="P47" i="34"/>
  <c r="E33" i="30"/>
  <c r="F33" i="30"/>
  <c r="B33" i="30" s="1"/>
  <c r="N5" i="33"/>
  <c r="M5" i="33"/>
  <c r="L5" i="33"/>
  <c r="K5" i="33"/>
  <c r="F56" i="16"/>
  <c r="F9" i="16"/>
  <c r="M7" i="33"/>
  <c r="O29" i="33"/>
  <c r="N30" i="33"/>
  <c r="AX11" i="35"/>
  <c r="AV11" i="35"/>
  <c r="AY11" i="35"/>
  <c r="AU11" i="35"/>
  <c r="AX16" i="35"/>
  <c r="AV16" i="35"/>
  <c r="AY16" i="35"/>
  <c r="AU16" i="35"/>
  <c r="AX20" i="35"/>
  <c r="AV20" i="35"/>
  <c r="AY20" i="35"/>
  <c r="AU20" i="35"/>
  <c r="AX24" i="35"/>
  <c r="AV24" i="35"/>
  <c r="AY24" i="35"/>
  <c r="AU24" i="35"/>
  <c r="AX28" i="35"/>
  <c r="AV28" i="35"/>
  <c r="AY28" i="35"/>
  <c r="AU28" i="35"/>
  <c r="AX32" i="35"/>
  <c r="AV32" i="35"/>
  <c r="AY32" i="35"/>
  <c r="AU32" i="35"/>
  <c r="AX36" i="35"/>
  <c r="AV36" i="35"/>
  <c r="AY36" i="35"/>
  <c r="AU36" i="35"/>
  <c r="AX40" i="35"/>
  <c r="AV40" i="35"/>
  <c r="AY40" i="35"/>
  <c r="AU40" i="35"/>
  <c r="AX44" i="35"/>
  <c r="AV44" i="35"/>
  <c r="AY44" i="35"/>
  <c r="AU44" i="35"/>
  <c r="L32" i="10"/>
  <c r="N38" i="10"/>
  <c r="N46" i="10"/>
  <c r="N6" i="10"/>
  <c r="J40" i="10"/>
  <c r="L8" i="10"/>
  <c r="N4" i="10"/>
  <c r="L29" i="10"/>
  <c r="N26" i="10"/>
  <c r="J24" i="10"/>
  <c r="L21" i="10"/>
  <c r="N18" i="10"/>
  <c r="J16" i="10"/>
  <c r="L13" i="10"/>
  <c r="N10" i="10"/>
  <c r="L30" i="10"/>
  <c r="N27" i="10"/>
  <c r="J25" i="10"/>
  <c r="L22" i="10"/>
  <c r="N19" i="10"/>
  <c r="J17" i="10"/>
  <c r="L14" i="10"/>
  <c r="N11" i="10"/>
  <c r="J9" i="10"/>
  <c r="J44" i="10"/>
  <c r="L30" i="13"/>
  <c r="N26" i="13"/>
  <c r="M30" i="33"/>
  <c r="J7" i="33"/>
  <c r="M43" i="33"/>
  <c r="M31" i="33"/>
  <c r="O38" i="33"/>
  <c r="O30" i="33"/>
  <c r="N31" i="13"/>
  <c r="N7" i="10"/>
  <c r="L33" i="10"/>
  <c r="J35" i="10"/>
  <c r="J37" i="10"/>
  <c r="J39" i="10"/>
  <c r="J41" i="10"/>
  <c r="L27" i="13"/>
  <c r="K7" i="33"/>
  <c r="N12" i="33"/>
  <c r="O15" i="33"/>
  <c r="K19" i="33"/>
  <c r="J20" i="33"/>
  <c r="N22" i="33"/>
  <c r="M29" i="33"/>
  <c r="L30" i="33"/>
  <c r="O31" i="33"/>
  <c r="L32" i="33"/>
  <c r="L38" i="33"/>
  <c r="AX9" i="35"/>
  <c r="AV9" i="35"/>
  <c r="AY9" i="35"/>
  <c r="AU9" i="35"/>
  <c r="AX13" i="35"/>
  <c r="AV13" i="35"/>
  <c r="AY13" i="35"/>
  <c r="AU13" i="35"/>
  <c r="AX18" i="35"/>
  <c r="AV18" i="35"/>
  <c r="AY18" i="35"/>
  <c r="AU18" i="35"/>
  <c r="AX22" i="35"/>
  <c r="AV22" i="35"/>
  <c r="AY22" i="35"/>
  <c r="AU22" i="35"/>
  <c r="AX26" i="35"/>
  <c r="AV26" i="35"/>
  <c r="AY26" i="35"/>
  <c r="AU26" i="35"/>
  <c r="AX30" i="35"/>
  <c r="AV30" i="35"/>
  <c r="AY30" i="35"/>
  <c r="AU30" i="35"/>
  <c r="AX34" i="35"/>
  <c r="AV34" i="35"/>
  <c r="AY34" i="35"/>
  <c r="AU34" i="35"/>
  <c r="AX38" i="35"/>
  <c r="AV38" i="35"/>
  <c r="AY38" i="35"/>
  <c r="AU38" i="35"/>
  <c r="AX42" i="35"/>
  <c r="AV42" i="35"/>
  <c r="AY42" i="35"/>
  <c r="AU42" i="35"/>
  <c r="AX46" i="35"/>
  <c r="AV46" i="35"/>
  <c r="AY46" i="35"/>
  <c r="AU46" i="35"/>
  <c r="F146" i="30"/>
  <c r="B146" i="30"/>
  <c r="AE50" i="35"/>
  <c r="P49" i="35"/>
  <c r="J42" i="10"/>
  <c r="L6" i="10"/>
  <c r="L36" i="10"/>
  <c r="N42" i="10"/>
  <c r="J6" i="10"/>
  <c r="J32" i="10"/>
  <c r="L38" i="10"/>
  <c r="N36" i="10"/>
  <c r="N30" i="10"/>
  <c r="J28" i="10"/>
  <c r="L25" i="10"/>
  <c r="N22" i="10"/>
  <c r="J20" i="10"/>
  <c r="L17" i="10"/>
  <c r="N14" i="10"/>
  <c r="J12" i="10"/>
  <c r="L9" i="10"/>
  <c r="N31" i="10"/>
  <c r="J29" i="10"/>
  <c r="L26" i="10"/>
  <c r="N23" i="10"/>
  <c r="J21" i="10"/>
  <c r="L18" i="10"/>
  <c r="L48" i="10" s="1"/>
  <c r="B52" i="10" s="1"/>
  <c r="F76" i="30" s="1"/>
  <c r="B76" i="30" s="1"/>
  <c r="N15" i="10"/>
  <c r="J13" i="10"/>
  <c r="L10" i="10"/>
  <c r="K31" i="33"/>
  <c r="M38" i="33"/>
  <c r="J29" i="33"/>
  <c r="L29" i="33"/>
  <c r="J7" i="10"/>
  <c r="N35" i="10"/>
  <c r="N37" i="10"/>
  <c r="N39" i="10"/>
  <c r="N41" i="10"/>
  <c r="L43" i="10"/>
  <c r="L45" i="10"/>
  <c r="L47" i="10"/>
  <c r="P33" i="38"/>
  <c r="F35" i="38"/>
  <c r="AX10" i="35"/>
  <c r="AV10" i="35"/>
  <c r="AY10" i="35"/>
  <c r="AX14" i="35"/>
  <c r="AV14" i="35"/>
  <c r="AY14" i="35"/>
  <c r="AU14" i="35"/>
  <c r="AX19" i="35"/>
  <c r="AV19" i="35"/>
  <c r="AY19" i="35"/>
  <c r="AU19" i="35"/>
  <c r="AX23" i="35"/>
  <c r="AV23" i="35"/>
  <c r="AY23" i="35"/>
  <c r="AU23" i="35"/>
  <c r="AX27" i="35"/>
  <c r="AV27" i="35"/>
  <c r="AY27" i="35"/>
  <c r="AU27" i="35"/>
  <c r="AX31" i="35"/>
  <c r="AV31" i="35"/>
  <c r="AY31" i="35"/>
  <c r="AU31" i="35"/>
  <c r="AX35" i="35"/>
  <c r="AV35" i="35"/>
  <c r="AY35" i="35"/>
  <c r="AU35" i="35"/>
  <c r="AX39" i="35"/>
  <c r="AV39" i="35"/>
  <c r="AY39" i="35"/>
  <c r="AU39" i="35"/>
  <c r="AX43" i="35"/>
  <c r="AV43" i="35"/>
  <c r="AY43" i="35"/>
  <c r="AU43" i="35"/>
  <c r="AX47" i="35"/>
  <c r="AV47" i="35"/>
  <c r="AY47" i="35"/>
  <c r="AU47" i="35"/>
  <c r="L95" i="13"/>
  <c r="L131" i="13" s="1"/>
  <c r="L142" i="13" s="1"/>
  <c r="R45" i="34"/>
  <c r="R43" i="34"/>
  <c r="R44" i="34"/>
  <c r="R40" i="34"/>
  <c r="R38" i="34"/>
  <c r="R36" i="34"/>
  <c r="R34" i="34"/>
  <c r="R32" i="34"/>
  <c r="R30" i="34"/>
  <c r="R28" i="34"/>
  <c r="R26" i="34"/>
  <c r="R24" i="34"/>
  <c r="R22" i="34"/>
  <c r="R20" i="34"/>
  <c r="R18" i="34"/>
  <c r="R16" i="34"/>
  <c r="R14" i="34"/>
  <c r="R12" i="34"/>
  <c r="R10" i="34"/>
  <c r="R8" i="34"/>
  <c r="R6" i="34"/>
  <c r="R4" i="34"/>
  <c r="R42" i="34"/>
  <c r="R39" i="34"/>
  <c r="R35" i="34"/>
  <c r="R31" i="34"/>
  <c r="R27" i="34"/>
  <c r="R23" i="34"/>
  <c r="R19" i="34"/>
  <c r="R15" i="34"/>
  <c r="R11" i="34"/>
  <c r="R7" i="34"/>
  <c r="T6" i="34"/>
  <c r="R13" i="34"/>
  <c r="T22" i="34"/>
  <c r="R29" i="34"/>
  <c r="L107" i="13"/>
  <c r="T44" i="34"/>
  <c r="T42" i="34"/>
  <c r="T43" i="34"/>
  <c r="T41" i="34"/>
  <c r="T39" i="34"/>
  <c r="T37" i="34"/>
  <c r="T35" i="34"/>
  <c r="T33" i="34"/>
  <c r="T31" i="34"/>
  <c r="T29" i="34"/>
  <c r="T27" i="34"/>
  <c r="T25" i="34"/>
  <c r="T23" i="34"/>
  <c r="T21" i="34"/>
  <c r="T19" i="34"/>
  <c r="T17" i="34"/>
  <c r="T15" i="34"/>
  <c r="T13" i="34"/>
  <c r="T11" i="34"/>
  <c r="T9" i="34"/>
  <c r="T7" i="34"/>
  <c r="T5" i="34"/>
  <c r="T45" i="34"/>
  <c r="T40" i="34"/>
  <c r="T36" i="34"/>
  <c r="T32" i="34"/>
  <c r="T28" i="34"/>
  <c r="T24" i="34"/>
  <c r="T20" i="34"/>
  <c r="T16" i="34"/>
  <c r="T12" i="34"/>
  <c r="T8" i="34"/>
  <c r="T4" i="34"/>
  <c r="W40" i="34"/>
  <c r="W38" i="34"/>
  <c r="W36" i="34"/>
  <c r="W34" i="34"/>
  <c r="W32" i="34"/>
  <c r="W30" i="34"/>
  <c r="W28" i="34"/>
  <c r="W26" i="34"/>
  <c r="W24" i="34"/>
  <c r="W22" i="34"/>
  <c r="W20" i="34"/>
  <c r="W18" i="34"/>
  <c r="W16" i="34"/>
  <c r="W14" i="34"/>
  <c r="W12" i="34"/>
  <c r="W10" i="34"/>
  <c r="W8" i="34"/>
  <c r="W6" i="34"/>
  <c r="W47" i="34" s="1"/>
  <c r="W4" i="34"/>
  <c r="W45" i="34"/>
  <c r="W44" i="34"/>
  <c r="W43" i="34"/>
  <c r="W37" i="34"/>
  <c r="W33" i="34"/>
  <c r="W29" i="34"/>
  <c r="W25" i="34"/>
  <c r="W21" i="34"/>
  <c r="W17" i="34"/>
  <c r="W13" i="34"/>
  <c r="W9" i="34"/>
  <c r="W5" i="34"/>
  <c r="W41" i="34"/>
  <c r="W42" i="34"/>
  <c r="W39" i="34"/>
  <c r="W35" i="34"/>
  <c r="W31" i="34"/>
  <c r="W27" i="34"/>
  <c r="W23" i="34"/>
  <c r="W19" i="34"/>
  <c r="W15" i="34"/>
  <c r="W11" i="34"/>
  <c r="W7" i="34"/>
  <c r="T10" i="34"/>
  <c r="T26" i="34"/>
  <c r="AX12" i="35"/>
  <c r="AV12" i="35"/>
  <c r="AV48" i="35" s="1"/>
  <c r="AY12" i="35"/>
  <c r="AU12" i="35"/>
  <c r="AX17" i="35"/>
  <c r="AV17" i="35"/>
  <c r="AY17" i="35"/>
  <c r="AU17" i="35"/>
  <c r="AX21" i="35"/>
  <c r="AV21" i="35"/>
  <c r="AY21" i="35"/>
  <c r="AU21" i="35"/>
  <c r="AX25" i="35"/>
  <c r="AV25" i="35"/>
  <c r="AY25" i="35"/>
  <c r="AU25" i="35"/>
  <c r="AX29" i="35"/>
  <c r="AV29" i="35"/>
  <c r="AY29" i="35"/>
  <c r="AU29" i="35"/>
  <c r="AX33" i="35"/>
  <c r="AV33" i="35"/>
  <c r="AY33" i="35"/>
  <c r="AU33" i="35"/>
  <c r="AX37" i="35"/>
  <c r="AV37" i="35"/>
  <c r="AY37" i="35"/>
  <c r="AU37" i="35"/>
  <c r="AX41" i="35"/>
  <c r="AV41" i="35"/>
  <c r="AY41" i="35"/>
  <c r="AU41" i="35"/>
  <c r="AX45" i="35"/>
  <c r="AV45" i="35"/>
  <c r="AY45" i="35"/>
  <c r="AU45" i="35"/>
  <c r="O33" i="38"/>
  <c r="E35" i="38"/>
  <c r="R5" i="34"/>
  <c r="T14" i="34"/>
  <c r="R21" i="34"/>
  <c r="T30" i="34"/>
  <c r="R37" i="34"/>
  <c r="AU10" i="35"/>
  <c r="U42" i="34"/>
  <c r="U41" i="34"/>
  <c r="U39" i="34"/>
  <c r="U37" i="34"/>
  <c r="U35" i="34"/>
  <c r="U33" i="34"/>
  <c r="U31" i="34"/>
  <c r="U29" i="34"/>
  <c r="U27" i="34"/>
  <c r="U25" i="34"/>
  <c r="U23" i="34"/>
  <c r="U21" i="34"/>
  <c r="U19" i="34"/>
  <c r="U17" i="34"/>
  <c r="U15" i="34"/>
  <c r="U13" i="34"/>
  <c r="U11" i="34"/>
  <c r="U9" i="34"/>
  <c r="U7" i="34"/>
  <c r="U5" i="34"/>
  <c r="U6" i="34"/>
  <c r="U10" i="34"/>
  <c r="U14" i="34"/>
  <c r="U18" i="34"/>
  <c r="U22" i="34"/>
  <c r="U26" i="34"/>
  <c r="U30" i="34"/>
  <c r="U34" i="34"/>
  <c r="U38" i="34"/>
  <c r="V45" i="34"/>
  <c r="V43" i="34"/>
  <c r="V41" i="34"/>
  <c r="V40" i="34"/>
  <c r="V38" i="34"/>
  <c r="V36" i="34"/>
  <c r="V34" i="34"/>
  <c r="V32" i="34"/>
  <c r="V30" i="34"/>
  <c r="V28" i="34"/>
  <c r="V26" i="34"/>
  <c r="V24" i="34"/>
  <c r="V22" i="34"/>
  <c r="V20" i="34"/>
  <c r="V18" i="34"/>
  <c r="V16" i="34"/>
  <c r="V14" i="34"/>
  <c r="V12" i="34"/>
  <c r="V10" i="34"/>
  <c r="V8" i="34"/>
  <c r="V6" i="34"/>
  <c r="V4" i="34"/>
  <c r="V5" i="34"/>
  <c r="V9" i="34"/>
  <c r="V13" i="34"/>
  <c r="V17" i="34"/>
  <c r="V21" i="34"/>
  <c r="V25" i="34"/>
  <c r="V29" i="34"/>
  <c r="V33" i="34"/>
  <c r="V37" i="34"/>
  <c r="U43" i="34"/>
  <c r="U4" i="34"/>
  <c r="U47" i="34" s="1"/>
  <c r="U8" i="34"/>
  <c r="U12" i="34"/>
  <c r="U16" i="34"/>
  <c r="U20" i="34"/>
  <c r="U24" i="34"/>
  <c r="U28" i="34"/>
  <c r="U32" i="34"/>
  <c r="U36" i="34"/>
  <c r="U40" i="34"/>
  <c r="U45" i="34"/>
  <c r="S42" i="34"/>
  <c r="S43" i="34"/>
  <c r="Q33" i="38"/>
  <c r="G35" i="38"/>
  <c r="G36" i="38" s="1"/>
  <c r="S4" i="34"/>
  <c r="S6" i="34"/>
  <c r="S8" i="34"/>
  <c r="S10" i="34"/>
  <c r="S12" i="34"/>
  <c r="S14" i="34"/>
  <c r="S16" i="34"/>
  <c r="S18" i="34"/>
  <c r="S20" i="34"/>
  <c r="S22" i="34"/>
  <c r="S24" i="34"/>
  <c r="S26" i="34"/>
  <c r="S28" i="34"/>
  <c r="S30" i="34"/>
  <c r="S32" i="34"/>
  <c r="S34" i="34"/>
  <c r="S36" i="34"/>
  <c r="S38" i="34"/>
  <c r="S40" i="34"/>
  <c r="S44" i="34"/>
  <c r="O25" i="35"/>
  <c r="O48" i="35"/>
  <c r="AY6" i="35"/>
  <c r="AY15" i="35"/>
  <c r="AV15" i="35"/>
  <c r="F131" i="30"/>
  <c r="B131" i="30"/>
  <c r="H55" i="16"/>
  <c r="G55" i="16"/>
  <c r="G6" i="16"/>
  <c r="H6" i="16"/>
  <c r="G7" i="16"/>
  <c r="H7" i="16"/>
  <c r="F91" i="30"/>
  <c r="B91" i="30"/>
  <c r="B49" i="34"/>
  <c r="E36" i="38"/>
  <c r="F36" i="38"/>
  <c r="H9" i="16"/>
  <c r="G9" i="16"/>
  <c r="F94" i="30"/>
  <c r="B94" i="30"/>
  <c r="B52" i="34"/>
  <c r="G8" i="16"/>
  <c r="H8" i="16"/>
  <c r="K48" i="10"/>
  <c r="B51" i="10"/>
  <c r="F90" i="30"/>
  <c r="B90" i="30" s="1"/>
  <c r="G53" i="16"/>
  <c r="H53" i="16"/>
  <c r="G54" i="16"/>
  <c r="H54" i="16"/>
  <c r="G56" i="16"/>
  <c r="H56" i="16"/>
  <c r="H58" i="16"/>
  <c r="G58" i="16"/>
  <c r="AY48" i="35"/>
  <c r="F96" i="30"/>
  <c r="B96" i="30"/>
  <c r="B51" i="34"/>
  <c r="L11" i="13" l="1"/>
  <c r="AM21" i="13"/>
  <c r="AM30" i="13"/>
  <c r="AN30" i="13" s="1"/>
  <c r="AM123" i="13"/>
  <c r="AN123" i="13" s="1"/>
  <c r="AM130" i="13"/>
  <c r="AM19" i="13"/>
  <c r="AN19" i="13" s="1"/>
  <c r="AM31" i="13"/>
  <c r="AM34" i="13"/>
  <c r="AN34" i="13" s="1"/>
  <c r="AM42" i="13"/>
  <c r="AN42" i="13" s="1"/>
  <c r="AM44" i="13"/>
  <c r="AN44" i="13" s="1"/>
  <c r="AM46" i="13"/>
  <c r="AN46" i="13" s="1"/>
  <c r="AN130" i="13"/>
  <c r="R14" i="35"/>
  <c r="R36" i="35"/>
  <c r="R29" i="35"/>
  <c r="R20" i="35"/>
  <c r="R45" i="35"/>
  <c r="S48" i="35"/>
  <c r="F148" i="30" s="1"/>
  <c r="B148" i="30" s="1"/>
  <c r="F48" i="30"/>
  <c r="B48" i="30" s="1"/>
  <c r="R58" i="13"/>
  <c r="F70" i="30" s="1"/>
  <c r="B70" i="30" s="1"/>
  <c r="K29" i="30"/>
  <c r="Q45" i="35"/>
  <c r="AM35" i="13"/>
  <c r="AN35" i="13" s="1"/>
  <c r="AM18" i="13"/>
  <c r="O131" i="13"/>
  <c r="O142" i="13" s="1"/>
  <c r="AM14" i="13"/>
  <c r="AN14" i="13" s="1"/>
  <c r="AM15" i="13"/>
  <c r="AN15" i="13" s="1"/>
  <c r="AM17" i="13"/>
  <c r="AM20" i="13"/>
  <c r="AN20" i="13" s="1"/>
  <c r="AM22" i="13"/>
  <c r="AN22" i="13" s="1"/>
  <c r="AM23" i="13"/>
  <c r="AN23" i="13" s="1"/>
  <c r="AM25" i="13"/>
  <c r="AN25" i="13" s="1"/>
  <c r="AM27" i="13"/>
  <c r="AN27" i="13" s="1"/>
  <c r="AM32" i="13"/>
  <c r="AN32" i="13" s="1"/>
  <c r="AM33" i="13"/>
  <c r="AN33" i="13" s="1"/>
  <c r="AM39" i="13"/>
  <c r="AN39" i="13" s="1"/>
  <c r="AM41" i="13"/>
  <c r="AN41" i="13" s="1"/>
  <c r="AM43" i="13"/>
  <c r="AN43" i="13" s="1"/>
  <c r="AM45" i="13"/>
  <c r="AN45" i="13" s="1"/>
  <c r="AM105" i="13"/>
  <c r="AN105" i="13" s="1"/>
  <c r="AM106" i="13"/>
  <c r="AN106" i="13" s="1"/>
  <c r="AM107" i="13"/>
  <c r="AN107" i="13" s="1"/>
  <c r="AM109" i="13"/>
  <c r="AN109" i="13" s="1"/>
  <c r="AM110" i="13"/>
  <c r="AN110" i="13" s="1"/>
  <c r="AM112" i="13"/>
  <c r="AN112" i="13" s="1"/>
  <c r="AM113" i="13"/>
  <c r="AN113" i="13" s="1"/>
  <c r="AM114" i="13"/>
  <c r="AN114" i="13" s="1"/>
  <c r="AM116" i="13"/>
  <c r="AN116" i="13" s="1"/>
  <c r="AM118" i="13"/>
  <c r="AN118" i="13" s="1"/>
  <c r="AM120" i="13"/>
  <c r="AN120" i="13" s="1"/>
  <c r="AM122" i="13"/>
  <c r="AN122" i="13" s="1"/>
  <c r="AM28" i="13"/>
  <c r="AM40" i="13"/>
  <c r="AN40" i="13" s="1"/>
  <c r="Q91" i="13"/>
  <c r="Q131" i="13" s="1"/>
  <c r="AM24" i="13"/>
  <c r="AN24" i="13" s="1"/>
  <c r="AM99" i="13"/>
  <c r="AN99" i="13" s="1"/>
  <c r="AM115" i="13"/>
  <c r="AN115" i="13" s="1"/>
  <c r="AM16" i="13"/>
  <c r="AN16" i="13" s="1"/>
  <c r="AM38" i="13"/>
  <c r="AN38" i="13" s="1"/>
  <c r="AM36" i="13"/>
  <c r="AN36" i="13" s="1"/>
  <c r="AN37" i="13"/>
  <c r="AM26" i="13"/>
  <c r="AN26" i="13" s="1"/>
  <c r="P131" i="13"/>
  <c r="P142" i="13" s="1"/>
  <c r="AM127" i="13"/>
  <c r="AN127" i="13" s="1"/>
  <c r="H11" i="16"/>
  <c r="G61" i="16"/>
  <c r="AM11" i="13"/>
  <c r="AN11" i="13" s="1"/>
  <c r="O11" i="13" s="1"/>
  <c r="Q11" i="13" s="1"/>
  <c r="AM12" i="13"/>
  <c r="AN12" i="13" s="1"/>
  <c r="O12" i="13" s="1"/>
  <c r="Q12" i="13" s="1"/>
  <c r="N9" i="13"/>
  <c r="N12" i="13"/>
  <c r="L10" i="13"/>
  <c r="L47" i="13" s="1"/>
  <c r="L58" i="13" s="1"/>
  <c r="AM13" i="13"/>
  <c r="AN13" i="13" s="1"/>
  <c r="O13" i="13" s="1"/>
  <c r="Q13" i="13" s="1"/>
  <c r="AM8" i="13"/>
  <c r="AM7" i="13"/>
  <c r="AN7" i="13" s="1"/>
  <c r="O7" i="13" s="1"/>
  <c r="Q7" i="13" s="1"/>
  <c r="AP47" i="13"/>
  <c r="AM10" i="13"/>
  <c r="AN10" i="13" s="1"/>
  <c r="O10" i="13" s="1"/>
  <c r="Q10" i="13" s="1"/>
  <c r="AM9" i="13"/>
  <c r="AN9" i="13" s="1"/>
  <c r="O9" i="13" s="1"/>
  <c r="Q9" i="13" s="1"/>
  <c r="I47" i="13"/>
  <c r="AS47" i="13"/>
  <c r="I57" i="13" s="1"/>
  <c r="AR47" i="13"/>
  <c r="J47" i="13"/>
  <c r="B44" i="30"/>
  <c r="P47" i="13"/>
  <c r="P58" i="13" s="1"/>
  <c r="F47" i="30" s="1"/>
  <c r="B47" i="30" s="1"/>
  <c r="AQ47" i="13"/>
  <c r="G57" i="13" s="1"/>
  <c r="K47" i="13"/>
  <c r="K58" i="13" s="1"/>
  <c r="R16" i="35"/>
  <c r="R17" i="35"/>
  <c r="R9" i="35"/>
  <c r="R38" i="35"/>
  <c r="R30" i="35"/>
  <c r="R22" i="35"/>
  <c r="R8" i="35"/>
  <c r="R47" i="35"/>
  <c r="R39" i="35"/>
  <c r="R31" i="35"/>
  <c r="R23" i="35"/>
  <c r="R12" i="35"/>
  <c r="R13" i="35"/>
  <c r="R42" i="35"/>
  <c r="R34" i="35"/>
  <c r="R26" i="35"/>
  <c r="R18" i="35"/>
  <c r="R43" i="35"/>
  <c r="R35" i="35"/>
  <c r="R27" i="35"/>
  <c r="R19" i="35"/>
  <c r="R10" i="35"/>
  <c r="R11" i="35"/>
  <c r="R40" i="35"/>
  <c r="R32" i="35"/>
  <c r="R24" i="35"/>
  <c r="R41" i="35"/>
  <c r="R33" i="35"/>
  <c r="R25" i="35"/>
  <c r="H45" i="30"/>
  <c r="C89" i="16"/>
  <c r="F100" i="30"/>
  <c r="B100" i="30" s="1"/>
  <c r="E51" i="34"/>
  <c r="F51" i="34"/>
  <c r="B49" i="38"/>
  <c r="B47" i="38"/>
  <c r="E53" i="34"/>
  <c r="F53" i="34"/>
  <c r="F102" i="30"/>
  <c r="B102" i="30" s="1"/>
  <c r="E41" i="38"/>
  <c r="B41" i="38"/>
  <c r="B50" i="38"/>
  <c r="F31" i="30" s="1"/>
  <c r="B31" i="30" s="1"/>
  <c r="B48" i="38"/>
  <c r="F34" i="30" s="1"/>
  <c r="B34" i="30" s="1"/>
  <c r="E42" i="38"/>
  <c r="B50" i="15"/>
  <c r="G13" i="16"/>
  <c r="G14" i="16" s="1"/>
  <c r="H13" i="16"/>
  <c r="B50" i="34"/>
  <c r="F92" i="30"/>
  <c r="B92" i="30" s="1"/>
  <c r="E44" i="38"/>
  <c r="E45" i="38"/>
  <c r="C51" i="38"/>
  <c r="B55" i="38"/>
  <c r="B51" i="38"/>
  <c r="F24" i="30" s="1"/>
  <c r="B24" i="30" s="1"/>
  <c r="B44" i="38"/>
  <c r="F51" i="21"/>
  <c r="F74" i="30" s="1"/>
  <c r="B74" i="30" s="1"/>
  <c r="B46" i="15"/>
  <c r="B45" i="15"/>
  <c r="F50" i="15"/>
  <c r="F48" i="15"/>
  <c r="F45" i="15"/>
  <c r="B52" i="15"/>
  <c r="F47" i="15"/>
  <c r="F52" i="15"/>
  <c r="B51" i="15"/>
  <c r="F51" i="15"/>
  <c r="B44" i="15"/>
  <c r="F53" i="15"/>
  <c r="AK6" i="35"/>
  <c r="AJ6" i="35"/>
  <c r="F44" i="15"/>
  <c r="B53" i="15"/>
  <c r="H12" i="16"/>
  <c r="H14" i="16" s="1"/>
  <c r="C43" i="16" s="1"/>
  <c r="L47" i="34"/>
  <c r="Y6" i="35"/>
  <c r="AR6" i="35"/>
  <c r="G6" i="21"/>
  <c r="G51" i="21" s="1"/>
  <c r="F73" i="30" s="1"/>
  <c r="B73" i="30" s="1"/>
  <c r="H60" i="16"/>
  <c r="H61" i="16" s="1"/>
  <c r="C90" i="16" s="1"/>
  <c r="Q47" i="34"/>
  <c r="AN8" i="13"/>
  <c r="O8" i="13" s="1"/>
  <c r="Q8" i="13" s="1"/>
  <c r="AN18" i="13"/>
  <c r="AN28" i="13"/>
  <c r="AN31" i="13"/>
  <c r="N8" i="33"/>
  <c r="O8" i="33"/>
  <c r="J8" i="33"/>
  <c r="J50" i="33" s="1"/>
  <c r="B52" i="33" s="1"/>
  <c r="F18" i="30" s="1"/>
  <c r="B18" i="30" s="1"/>
  <c r="L8" i="33"/>
  <c r="M8" i="33"/>
  <c r="K8" i="33"/>
  <c r="B47" i="15"/>
  <c r="M47" i="13"/>
  <c r="M58" i="13" s="1"/>
  <c r="F39" i="30" s="1"/>
  <c r="B39" i="30" s="1"/>
  <c r="N7" i="13"/>
  <c r="J11" i="33"/>
  <c r="K11" i="33"/>
  <c r="M11" i="33"/>
  <c r="L11" i="33"/>
  <c r="N20" i="33"/>
  <c r="O20" i="33"/>
  <c r="M20" i="33"/>
  <c r="L20" i="33"/>
  <c r="K20" i="33"/>
  <c r="K34" i="9"/>
  <c r="F59" i="30" s="1"/>
  <c r="B59" i="30" s="1"/>
  <c r="F49" i="15"/>
  <c r="G140" i="13"/>
  <c r="G141" i="13"/>
  <c r="F55" i="33"/>
  <c r="AN17" i="13"/>
  <c r="AN21" i="13"/>
  <c r="N29" i="33"/>
  <c r="J31" i="33"/>
  <c r="M42" i="33"/>
  <c r="O42" i="33"/>
  <c r="N34" i="10"/>
  <c r="N32" i="10"/>
  <c r="N20" i="10"/>
  <c r="N21" i="10"/>
  <c r="K47" i="33"/>
  <c r="O44" i="33"/>
  <c r="L35" i="33"/>
  <c r="N47" i="33"/>
  <c r="M44" i="33"/>
  <c r="J49" i="33"/>
  <c r="J33" i="10"/>
  <c r="J48" i="10" s="1"/>
  <c r="B50" i="10" s="1"/>
  <c r="F77" i="30" s="1"/>
  <c r="B77" i="30" s="1"/>
  <c r="M2" i="10"/>
  <c r="M16" i="33"/>
  <c r="N31" i="33"/>
  <c r="O35" i="33"/>
  <c r="M37" i="33"/>
  <c r="N42" i="33"/>
  <c r="L46" i="33"/>
  <c r="O47" i="33"/>
  <c r="N24" i="13"/>
  <c r="N40" i="10"/>
  <c r="N28" i="10"/>
  <c r="N12" i="10"/>
  <c r="N29" i="10"/>
  <c r="N13" i="10"/>
  <c r="L47" i="33"/>
  <c r="N37" i="33"/>
  <c r="M35" i="33"/>
  <c r="N49" i="33"/>
  <c r="R9" i="34"/>
  <c r="R47" i="34" s="1"/>
  <c r="R25" i="34"/>
  <c r="R17" i="34"/>
  <c r="R33" i="34"/>
  <c r="R41" i="34"/>
  <c r="Q41" i="35"/>
  <c r="K11" i="35"/>
  <c r="K48" i="35" s="1"/>
  <c r="M16" i="35"/>
  <c r="M48" i="35" s="1"/>
  <c r="F129" i="30" s="1"/>
  <c r="B129" i="30" s="1"/>
  <c r="S35" i="34"/>
  <c r="S27" i="34"/>
  <c r="S23" i="34"/>
  <c r="S15" i="34"/>
  <c r="S9" i="34"/>
  <c r="S5" i="34"/>
  <c r="S47" i="34" s="1"/>
  <c r="S39" i="34"/>
  <c r="S31" i="34"/>
  <c r="S25" i="34"/>
  <c r="S21" i="34"/>
  <c r="S17" i="34"/>
  <c r="S13" i="34"/>
  <c r="S45" i="34"/>
  <c r="S41" i="34"/>
  <c r="S37" i="34"/>
  <c r="S33" i="34"/>
  <c r="S29" i="34"/>
  <c r="AU15" i="35"/>
  <c r="AU48" i="35" s="1"/>
  <c r="AX15" i="35"/>
  <c r="AX48" i="35" s="1"/>
  <c r="Q47" i="35"/>
  <c r="L17" i="35"/>
  <c r="L48" i="35" s="1"/>
  <c r="F127" i="30" s="1"/>
  <c r="B127" i="30" s="1"/>
  <c r="M44" i="35"/>
  <c r="T38" i="34"/>
  <c r="V7" i="34"/>
  <c r="V47" i="34" s="1"/>
  <c r="V11" i="34"/>
  <c r="V19" i="34"/>
  <c r="T34" i="34"/>
  <c r="T47" i="34" s="1"/>
  <c r="V42" i="34"/>
  <c r="V31" i="34"/>
  <c r="Q48" i="35" l="1"/>
  <c r="Q47" i="13"/>
  <c r="O47" i="13"/>
  <c r="O58" i="13" s="1"/>
  <c r="F46" i="30" s="1"/>
  <c r="B46" i="30" s="1"/>
  <c r="H58" i="13"/>
  <c r="F38" i="30"/>
  <c r="B38" i="30" s="1"/>
  <c r="F37" i="30"/>
  <c r="B37" i="30" s="1"/>
  <c r="I58" i="13"/>
  <c r="Y57" i="13"/>
  <c r="Y53" i="13"/>
  <c r="G56" i="13"/>
  <c r="Y54" i="13"/>
  <c r="I56" i="13"/>
  <c r="Y58" i="13"/>
  <c r="I55" i="13"/>
  <c r="G58" i="13"/>
  <c r="F43" i="30" s="1"/>
  <c r="B43" i="30" s="1"/>
  <c r="G55" i="13"/>
  <c r="F58" i="13"/>
  <c r="F42" i="30" s="1"/>
  <c r="B42" i="30" s="1"/>
  <c r="R48" i="35"/>
  <c r="F147" i="30" s="1"/>
  <c r="B147" i="30" s="1"/>
  <c r="F49" i="34"/>
  <c r="E49" i="34"/>
  <c r="F98" i="30"/>
  <c r="B98" i="30" s="1"/>
  <c r="F52" i="34"/>
  <c r="F101" i="30"/>
  <c r="B101" i="30" s="1"/>
  <c r="E52" i="34"/>
  <c r="E48" i="34"/>
  <c r="F48" i="34"/>
  <c r="F97" i="30"/>
  <c r="B97" i="30" s="1"/>
  <c r="N48" i="10"/>
  <c r="B54" i="10" s="1"/>
  <c r="F78" i="30" s="1"/>
  <c r="B78" i="30" s="1"/>
  <c r="M50" i="33"/>
  <c r="B55" i="33" s="1"/>
  <c r="F21" i="30" s="1"/>
  <c r="B21" i="30" s="1"/>
  <c r="N50" i="33"/>
  <c r="F52" i="33" s="1"/>
  <c r="F22" i="30" s="1"/>
  <c r="B22" i="30" s="1"/>
  <c r="C88" i="16"/>
  <c r="L50" i="33"/>
  <c r="B54" i="33" s="1"/>
  <c r="F20" i="30" s="1"/>
  <c r="B20" i="30" s="1"/>
  <c r="B48" i="34"/>
  <c r="F93" i="30"/>
  <c r="B93" i="30" s="1"/>
  <c r="C87" i="16"/>
  <c r="F50" i="34"/>
  <c r="F99" i="30"/>
  <c r="B99" i="30" s="1"/>
  <c r="E50" i="34"/>
  <c r="N47" i="13"/>
  <c r="N58" i="13" s="1"/>
  <c r="F36" i="30" s="1"/>
  <c r="B36" i="30" s="1"/>
  <c r="B53" i="34"/>
  <c r="F95" i="30"/>
  <c r="B95" i="30" s="1"/>
  <c r="C40" i="16"/>
  <c r="C41" i="16"/>
  <c r="C42" i="16"/>
  <c r="F40" i="30" s="1"/>
  <c r="B40" i="30" s="1"/>
  <c r="F35" i="30"/>
  <c r="B35" i="30" s="1"/>
  <c r="F142" i="30"/>
  <c r="B142" i="30" s="1"/>
  <c r="B14" i="30" s="1"/>
  <c r="F130" i="30"/>
  <c r="B130" i="30" s="1"/>
  <c r="M6" i="10"/>
  <c r="M43" i="10"/>
  <c r="M16" i="10"/>
  <c r="M26" i="10"/>
  <c r="M23" i="10"/>
  <c r="M22" i="10"/>
  <c r="M27" i="10"/>
  <c r="M45" i="10"/>
  <c r="M40" i="10"/>
  <c r="M10" i="10"/>
  <c r="M28" i="10"/>
  <c r="M13" i="10"/>
  <c r="M41" i="10"/>
  <c r="M19" i="10"/>
  <c r="M21" i="10"/>
  <c r="M31" i="10"/>
  <c r="M42" i="10"/>
  <c r="M37" i="10"/>
  <c r="M32" i="10"/>
  <c r="M11" i="10"/>
  <c r="M36" i="10"/>
  <c r="M24" i="10"/>
  <c r="M25" i="10"/>
  <c r="M8" i="10"/>
  <c r="M15" i="10"/>
  <c r="M14" i="10"/>
  <c r="M30" i="10"/>
  <c r="M29" i="10"/>
  <c r="M17" i="10"/>
  <c r="M46" i="10"/>
  <c r="M35" i="10"/>
  <c r="M47" i="10"/>
  <c r="M38" i="10"/>
  <c r="M33" i="10"/>
  <c r="M44" i="10"/>
  <c r="M18" i="10"/>
  <c r="M7" i="10"/>
  <c r="M12" i="10"/>
  <c r="M5" i="10"/>
  <c r="M20" i="10"/>
  <c r="M4" i="10"/>
  <c r="M39" i="10"/>
  <c r="M9" i="10"/>
  <c r="M34" i="10"/>
  <c r="K50" i="33"/>
  <c r="B53" i="33" s="1"/>
  <c r="F19" i="30" s="1"/>
  <c r="B19" i="30" s="1"/>
  <c r="O50" i="33"/>
  <c r="F53" i="33" s="1"/>
  <c r="F23" i="30" s="1"/>
  <c r="B23" i="30" s="1"/>
  <c r="F30" i="30"/>
  <c r="B30" i="30" s="1"/>
  <c r="F71" i="30" l="1"/>
  <c r="B71" i="30" s="1"/>
  <c r="B15" i="30"/>
  <c r="J142" i="13"/>
  <c r="J58" i="13"/>
  <c r="M48" i="10"/>
  <c r="B53" i="10" s="1"/>
  <c r="F75" i="30" s="1"/>
  <c r="B75" i="30" s="1"/>
  <c r="F50" i="30" l="1"/>
  <c r="B50" i="30" s="1"/>
</calcChain>
</file>

<file path=xl/comments1.xml><?xml version="1.0" encoding="utf-8"?>
<comments xmlns="http://schemas.openxmlformats.org/spreadsheetml/2006/main">
  <authors>
    <author>INDOT</author>
    <author>Randy Post</author>
  </authors>
  <commentList>
    <comment ref="AA6" authorId="0" shapeId="0">
      <text>
        <r>
          <rPr>
            <b/>
            <sz val="8"/>
            <color indexed="81"/>
            <rFont val="Tahoma"/>
            <family val="2"/>
          </rPr>
          <t>INDOT:</t>
        </r>
        <r>
          <rPr>
            <sz val="8"/>
            <color indexed="81"/>
            <rFont val="Tahoma"/>
            <family val="2"/>
          </rPr>
          <t xml:space="preserve">
Place here the average depth of asphalt milling in inches.</t>
        </r>
      </text>
    </comment>
    <comment ref="AE6" authorId="0" shapeId="0">
      <text>
        <r>
          <rPr>
            <b/>
            <sz val="8"/>
            <color indexed="81"/>
            <rFont val="Tahoma"/>
            <family val="2"/>
          </rPr>
          <t>INDOT:</t>
        </r>
        <r>
          <rPr>
            <sz val="8"/>
            <color indexed="81"/>
            <rFont val="Tahoma"/>
            <family val="2"/>
          </rPr>
          <t xml:space="preserve">
Place here the average depth of asphalt milling in inches.</t>
        </r>
      </text>
    </comment>
    <comment ref="AG6" authorId="1" shapeId="0">
      <text>
        <r>
          <rPr>
            <b/>
            <sz val="9"/>
            <color indexed="81"/>
            <rFont val="Tahoma"/>
            <family val="2"/>
          </rPr>
          <t>Randy Post:</t>
        </r>
        <r>
          <rPr>
            <sz val="9"/>
            <color indexed="81"/>
            <rFont val="Tahoma"/>
            <family val="2"/>
          </rPr>
          <t xml:space="preserve">
Scarification, Profile, or Asphalt Removal Milling will not be a choice if have 2nd milling depth, otherwise the default will be scarification.</t>
        </r>
      </text>
    </comment>
    <comment ref="W53" authorId="1" shapeId="0">
      <text>
        <r>
          <rPr>
            <b/>
            <sz val="9"/>
            <color indexed="81"/>
            <rFont val="Tahoma"/>
            <family val="2"/>
          </rPr>
          <t>Randy Post:</t>
        </r>
        <r>
          <rPr>
            <sz val="9"/>
            <color indexed="81"/>
            <rFont val="Tahoma"/>
            <family val="2"/>
          </rPr>
          <t xml:space="preserve">
Only use if have HMA or SMA pavement.</t>
        </r>
      </text>
    </comment>
    <comment ref="W54" authorId="1" shapeId="0">
      <text>
        <r>
          <rPr>
            <b/>
            <sz val="9"/>
            <color indexed="81"/>
            <rFont val="Tahoma"/>
            <family val="2"/>
          </rPr>
          <t>Randy Post:</t>
        </r>
        <r>
          <rPr>
            <sz val="9"/>
            <color indexed="81"/>
            <rFont val="Tahoma"/>
            <family val="2"/>
          </rPr>
          <t xml:space="preserve">
Only use if have HMA or SMA pavement.</t>
        </r>
      </text>
    </comment>
    <comment ref="W57" authorId="1" shapeId="0">
      <text>
        <r>
          <rPr>
            <b/>
            <sz val="9"/>
            <color indexed="81"/>
            <rFont val="Tahoma"/>
            <family val="2"/>
          </rPr>
          <t>Randy Post:</t>
        </r>
        <r>
          <rPr>
            <sz val="9"/>
            <color indexed="81"/>
            <rFont val="Tahoma"/>
            <family val="2"/>
          </rPr>
          <t xml:space="preserve">
Only use if have HMA or SMA pavement.</t>
        </r>
      </text>
    </comment>
    <comment ref="W58" authorId="1" shapeId="0">
      <text>
        <r>
          <rPr>
            <b/>
            <sz val="9"/>
            <color indexed="81"/>
            <rFont val="Tahoma"/>
            <family val="2"/>
          </rPr>
          <t>Randy Post:</t>
        </r>
        <r>
          <rPr>
            <sz val="9"/>
            <color indexed="81"/>
            <rFont val="Tahoma"/>
            <family val="2"/>
          </rPr>
          <t xml:space="preserve">
Only use if have HMA or SMA pavement.</t>
        </r>
      </text>
    </comment>
  </commentList>
</comments>
</file>

<file path=xl/comments2.xml><?xml version="1.0" encoding="utf-8"?>
<comments xmlns="http://schemas.openxmlformats.org/spreadsheetml/2006/main">
  <authors>
    <author>Randy Post</author>
  </authors>
  <commentList>
    <comment ref="P49" authorId="0" shapeId="0">
      <text>
        <r>
          <rPr>
            <b/>
            <sz val="9"/>
            <color indexed="81"/>
            <rFont val="Tahoma"/>
            <family val="2"/>
          </rPr>
          <t>Randy Post:</t>
        </r>
        <r>
          <rPr>
            <sz val="9"/>
            <color indexed="81"/>
            <rFont val="Tahoma"/>
            <family val="2"/>
          </rPr>
          <t xml:space="preserve">
Automatically uses same pavement type as patching.  Can override type displayed above here.</t>
        </r>
      </text>
    </comment>
  </commentList>
</comments>
</file>

<file path=xl/comments3.xml><?xml version="1.0" encoding="utf-8"?>
<comments xmlns="http://schemas.openxmlformats.org/spreadsheetml/2006/main">
  <authors>
    <author>Randy Post</author>
  </authors>
  <commentList>
    <comment ref="K18" authorId="0" shapeId="0">
      <text>
        <r>
          <rPr>
            <b/>
            <sz val="9"/>
            <color indexed="81"/>
            <rFont val="Tahoma"/>
            <family val="2"/>
          </rPr>
          <t>Randy Post:</t>
        </r>
        <r>
          <rPr>
            <sz val="9"/>
            <color indexed="81"/>
            <rFont val="Tahoma"/>
            <family val="2"/>
          </rPr>
          <t xml:space="preserve">
Automatically uses same pavement type as patching.  Can override type displayed above here.</t>
        </r>
      </text>
    </comment>
    <comment ref="K22" authorId="0" shapeId="0">
      <text>
        <r>
          <rPr>
            <b/>
            <sz val="9"/>
            <color indexed="81"/>
            <rFont val="Tahoma"/>
            <family val="2"/>
          </rPr>
          <t>Randy Post:</t>
        </r>
        <r>
          <rPr>
            <sz val="9"/>
            <color indexed="81"/>
            <rFont val="Tahoma"/>
            <family val="2"/>
          </rPr>
          <t xml:space="preserve">
Only need to fill-in if have Functional treatment.</t>
        </r>
      </text>
    </comment>
  </commentList>
</comments>
</file>

<file path=xl/comments4.xml><?xml version="1.0" encoding="utf-8"?>
<comments xmlns="http://schemas.openxmlformats.org/spreadsheetml/2006/main">
  <authors>
    <author>Randy Post</author>
  </authors>
  <commentList>
    <comment ref="L7" authorId="0" shapeId="0">
      <text>
        <r>
          <rPr>
            <b/>
            <sz val="9"/>
            <color indexed="81"/>
            <rFont val="Tahoma"/>
            <family val="2"/>
          </rPr>
          <t>Randy Post:</t>
        </r>
        <r>
          <rPr>
            <sz val="9"/>
            <color indexed="81"/>
            <rFont val="Tahoma"/>
            <family val="2"/>
          </rPr>
          <t xml:space="preserve">
Determined by Area Engineer</t>
        </r>
      </text>
    </comment>
    <comment ref="C36" authorId="0" shapeId="0">
      <text>
        <r>
          <rPr>
            <b/>
            <sz val="9"/>
            <color indexed="81"/>
            <rFont val="Tahoma"/>
            <family val="2"/>
          </rPr>
          <t>Randy Post:</t>
        </r>
        <r>
          <rPr>
            <sz val="9"/>
            <color indexed="81"/>
            <rFont val="Tahoma"/>
            <family val="2"/>
          </rPr>
          <t xml:space="preserve">
Find Pay Item Code</t>
        </r>
      </text>
    </comment>
    <comment ref="C37" authorId="0" shapeId="0">
      <text>
        <r>
          <rPr>
            <b/>
            <sz val="9"/>
            <color indexed="81"/>
            <rFont val="Tahoma"/>
            <family val="2"/>
          </rPr>
          <t>Randy Post:</t>
        </r>
        <r>
          <rPr>
            <sz val="9"/>
            <color indexed="81"/>
            <rFont val="Tahoma"/>
            <family val="2"/>
          </rPr>
          <t xml:space="preserve">
Find Pay Item Code</t>
        </r>
      </text>
    </comment>
    <comment ref="C42" authorId="0" shapeId="0">
      <text>
        <r>
          <rPr>
            <b/>
            <sz val="9"/>
            <color indexed="81"/>
            <rFont val="Tahoma"/>
            <family val="2"/>
          </rPr>
          <t>Randy Post:</t>
        </r>
        <r>
          <rPr>
            <sz val="9"/>
            <color indexed="81"/>
            <rFont val="Tahoma"/>
            <family val="2"/>
          </rPr>
          <t xml:space="preserve">
Find Pay Item Code</t>
        </r>
      </text>
    </comment>
    <comment ref="L42" authorId="0" shapeId="0">
      <text>
        <r>
          <rPr>
            <b/>
            <sz val="9"/>
            <color indexed="81"/>
            <rFont val="Tahoma"/>
            <family val="2"/>
          </rPr>
          <t>Randy Post:</t>
        </r>
        <r>
          <rPr>
            <sz val="9"/>
            <color indexed="81"/>
            <rFont val="Tahoma"/>
            <family val="2"/>
          </rPr>
          <t xml:space="preserve">
ESAL Category</t>
        </r>
      </text>
    </comment>
    <comment ref="M42" authorId="0" shapeId="0">
      <text>
        <r>
          <rPr>
            <b/>
            <sz val="9"/>
            <color indexed="81"/>
            <rFont val="Tahoma"/>
            <family val="2"/>
          </rPr>
          <t>Randy Post:</t>
        </r>
        <r>
          <rPr>
            <sz val="9"/>
            <color indexed="81"/>
            <rFont val="Tahoma"/>
            <family val="2"/>
          </rPr>
          <t xml:space="preserve">
PG Binder grade</t>
        </r>
      </text>
    </comment>
    <comment ref="N42" authorId="0" shapeId="0">
      <text>
        <r>
          <rPr>
            <b/>
            <sz val="9"/>
            <color indexed="81"/>
            <rFont val="Tahoma"/>
            <family val="2"/>
          </rPr>
          <t>Randy Post:</t>
        </r>
        <r>
          <rPr>
            <sz val="9"/>
            <color indexed="81"/>
            <rFont val="Tahoma"/>
            <family val="2"/>
          </rPr>
          <t xml:space="preserve">
mixture size</t>
        </r>
      </text>
    </comment>
    <comment ref="C43" authorId="0" shapeId="0">
      <text>
        <r>
          <rPr>
            <b/>
            <sz val="9"/>
            <color indexed="81"/>
            <rFont val="Tahoma"/>
            <family val="2"/>
          </rPr>
          <t>Randy Post:</t>
        </r>
        <r>
          <rPr>
            <sz val="9"/>
            <color indexed="81"/>
            <rFont val="Tahoma"/>
            <family val="2"/>
          </rPr>
          <t xml:space="preserve">
Find Pay Item Code</t>
        </r>
      </text>
    </comment>
    <comment ref="L43" authorId="0" shapeId="0">
      <text>
        <r>
          <rPr>
            <b/>
            <sz val="9"/>
            <color indexed="81"/>
            <rFont val="Tahoma"/>
            <family val="2"/>
          </rPr>
          <t>Randy Post:</t>
        </r>
        <r>
          <rPr>
            <sz val="9"/>
            <color indexed="81"/>
            <rFont val="Tahoma"/>
            <family val="2"/>
          </rPr>
          <t xml:space="preserve">
ESAL Category</t>
        </r>
      </text>
    </comment>
    <comment ref="M43" authorId="0" shapeId="0">
      <text>
        <r>
          <rPr>
            <b/>
            <sz val="9"/>
            <color indexed="81"/>
            <rFont val="Tahoma"/>
            <family val="2"/>
          </rPr>
          <t>Randy Post:</t>
        </r>
        <r>
          <rPr>
            <sz val="9"/>
            <color indexed="81"/>
            <rFont val="Tahoma"/>
            <family val="2"/>
          </rPr>
          <t xml:space="preserve">
PG Binder grade</t>
        </r>
      </text>
    </comment>
    <comment ref="N43" authorId="0" shapeId="0">
      <text>
        <r>
          <rPr>
            <b/>
            <sz val="9"/>
            <color indexed="81"/>
            <rFont val="Tahoma"/>
            <family val="2"/>
          </rPr>
          <t>Randy Post:</t>
        </r>
        <r>
          <rPr>
            <sz val="9"/>
            <color indexed="81"/>
            <rFont val="Tahoma"/>
            <family val="2"/>
          </rPr>
          <t xml:space="preserve">
mixture size</t>
        </r>
      </text>
    </comment>
    <comment ref="C44" authorId="0" shapeId="0">
      <text>
        <r>
          <rPr>
            <b/>
            <sz val="9"/>
            <color indexed="81"/>
            <rFont val="Tahoma"/>
            <family val="2"/>
          </rPr>
          <t>Randy Post:</t>
        </r>
        <r>
          <rPr>
            <sz val="9"/>
            <color indexed="81"/>
            <rFont val="Tahoma"/>
            <family val="2"/>
          </rPr>
          <t xml:space="preserve">
Find Pay Item Code</t>
        </r>
      </text>
    </comment>
    <comment ref="L44" authorId="0" shapeId="0">
      <text>
        <r>
          <rPr>
            <b/>
            <sz val="9"/>
            <color indexed="81"/>
            <rFont val="Tahoma"/>
            <family val="2"/>
          </rPr>
          <t>Randy Post:</t>
        </r>
        <r>
          <rPr>
            <sz val="9"/>
            <color indexed="81"/>
            <rFont val="Tahoma"/>
            <family val="2"/>
          </rPr>
          <t xml:space="preserve">
ESAL Category</t>
        </r>
      </text>
    </comment>
    <comment ref="M44" authorId="0" shapeId="0">
      <text>
        <r>
          <rPr>
            <b/>
            <sz val="9"/>
            <color indexed="81"/>
            <rFont val="Tahoma"/>
            <family val="2"/>
          </rPr>
          <t>Randy Post:</t>
        </r>
        <r>
          <rPr>
            <sz val="9"/>
            <color indexed="81"/>
            <rFont val="Tahoma"/>
            <family val="2"/>
          </rPr>
          <t xml:space="preserve">
PG Binder grade</t>
        </r>
      </text>
    </comment>
    <comment ref="N44" authorId="0" shapeId="0">
      <text>
        <r>
          <rPr>
            <b/>
            <sz val="9"/>
            <color indexed="81"/>
            <rFont val="Tahoma"/>
            <family val="2"/>
          </rPr>
          <t>Randy Post:</t>
        </r>
        <r>
          <rPr>
            <sz val="9"/>
            <color indexed="81"/>
            <rFont val="Tahoma"/>
            <family val="2"/>
          </rPr>
          <t xml:space="preserve">
mixture size</t>
        </r>
      </text>
    </comment>
    <comment ref="C45" authorId="0" shapeId="0">
      <text>
        <r>
          <rPr>
            <b/>
            <sz val="9"/>
            <color indexed="81"/>
            <rFont val="Tahoma"/>
            <family val="2"/>
          </rPr>
          <t>Randy Post:</t>
        </r>
        <r>
          <rPr>
            <sz val="9"/>
            <color indexed="81"/>
            <rFont val="Tahoma"/>
            <family val="2"/>
          </rPr>
          <t xml:space="preserve">
Find Pay Item Code</t>
        </r>
      </text>
    </comment>
    <comment ref="L45" authorId="0" shapeId="0">
      <text>
        <r>
          <rPr>
            <b/>
            <sz val="9"/>
            <color indexed="81"/>
            <rFont val="Tahoma"/>
            <family val="2"/>
          </rPr>
          <t>Randy Post:</t>
        </r>
        <r>
          <rPr>
            <sz val="9"/>
            <color indexed="81"/>
            <rFont val="Tahoma"/>
            <family val="2"/>
          </rPr>
          <t xml:space="preserve">
ESAL Category</t>
        </r>
      </text>
    </comment>
    <comment ref="M45" authorId="0" shapeId="0">
      <text>
        <r>
          <rPr>
            <b/>
            <sz val="9"/>
            <color indexed="81"/>
            <rFont val="Tahoma"/>
            <family val="2"/>
          </rPr>
          <t>Randy Post:</t>
        </r>
        <r>
          <rPr>
            <sz val="9"/>
            <color indexed="81"/>
            <rFont val="Tahoma"/>
            <family val="2"/>
          </rPr>
          <t xml:space="preserve">
PG Binder grade</t>
        </r>
      </text>
    </comment>
    <comment ref="N45" authorId="0" shapeId="0">
      <text>
        <r>
          <rPr>
            <b/>
            <sz val="9"/>
            <color indexed="81"/>
            <rFont val="Tahoma"/>
            <family val="2"/>
          </rPr>
          <t>Randy Post:</t>
        </r>
        <r>
          <rPr>
            <sz val="9"/>
            <color indexed="81"/>
            <rFont val="Tahoma"/>
            <family val="2"/>
          </rPr>
          <t xml:space="preserve">
mixture size</t>
        </r>
      </text>
    </comment>
    <comment ref="C49" authorId="0" shapeId="0">
      <text>
        <r>
          <rPr>
            <b/>
            <sz val="9"/>
            <color indexed="81"/>
            <rFont val="Tahoma"/>
            <family val="2"/>
          </rPr>
          <t>Randy Post:</t>
        </r>
        <r>
          <rPr>
            <sz val="9"/>
            <color indexed="81"/>
            <rFont val="Tahoma"/>
            <family val="2"/>
          </rPr>
          <t xml:space="preserve">
Find Pay Item Code</t>
        </r>
      </text>
    </comment>
    <comment ref="C52" authorId="0" shapeId="0">
      <text>
        <r>
          <rPr>
            <b/>
            <sz val="9"/>
            <color indexed="81"/>
            <rFont val="Tahoma"/>
            <family val="2"/>
          </rPr>
          <t>Randy Post:</t>
        </r>
        <r>
          <rPr>
            <sz val="9"/>
            <color indexed="81"/>
            <rFont val="Tahoma"/>
            <family val="2"/>
          </rPr>
          <t xml:space="preserve">
Find Pay Item Code</t>
        </r>
      </text>
    </comment>
    <comment ref="L52" authorId="0" shapeId="0">
      <text>
        <r>
          <rPr>
            <b/>
            <sz val="9"/>
            <color indexed="81"/>
            <rFont val="Tahoma"/>
            <family val="2"/>
          </rPr>
          <t>Randy Post:</t>
        </r>
        <r>
          <rPr>
            <sz val="9"/>
            <color indexed="81"/>
            <rFont val="Tahoma"/>
            <family val="2"/>
          </rPr>
          <t xml:space="preserve">
ESAL Category</t>
        </r>
      </text>
    </comment>
    <comment ref="M52" authorId="0" shapeId="0">
      <text>
        <r>
          <rPr>
            <b/>
            <sz val="9"/>
            <color indexed="81"/>
            <rFont val="Tahoma"/>
            <family val="2"/>
          </rPr>
          <t>Randy Post:</t>
        </r>
        <r>
          <rPr>
            <sz val="9"/>
            <color indexed="81"/>
            <rFont val="Tahoma"/>
            <family val="2"/>
          </rPr>
          <t xml:space="preserve">
PG Binder grade</t>
        </r>
      </text>
    </comment>
    <comment ref="N52" authorId="0" shapeId="0">
      <text>
        <r>
          <rPr>
            <b/>
            <sz val="9"/>
            <color indexed="81"/>
            <rFont val="Tahoma"/>
            <family val="2"/>
          </rPr>
          <t>Randy Post:</t>
        </r>
        <r>
          <rPr>
            <sz val="9"/>
            <color indexed="81"/>
            <rFont val="Tahoma"/>
            <family val="2"/>
          </rPr>
          <t xml:space="preserve">
mixture size</t>
        </r>
      </text>
    </comment>
    <comment ref="C69" authorId="0" shapeId="0">
      <text>
        <r>
          <rPr>
            <b/>
            <sz val="9"/>
            <color indexed="81"/>
            <rFont val="Tahoma"/>
            <family val="2"/>
          </rPr>
          <t>Randy Post:</t>
        </r>
        <r>
          <rPr>
            <sz val="9"/>
            <color indexed="81"/>
            <rFont val="Tahoma"/>
            <family val="2"/>
          </rPr>
          <t xml:space="preserve">
Find Pay Item Code</t>
        </r>
      </text>
    </comment>
    <comment ref="C79" authorId="0" shapeId="0">
      <text>
        <r>
          <rPr>
            <b/>
            <sz val="9"/>
            <color indexed="81"/>
            <rFont val="Tahoma"/>
            <family val="2"/>
          </rPr>
          <t>Randy Post:</t>
        </r>
        <r>
          <rPr>
            <sz val="9"/>
            <color indexed="81"/>
            <rFont val="Tahoma"/>
            <family val="2"/>
          </rPr>
          <t xml:space="preserve">
Find Pay Item Code</t>
        </r>
      </text>
    </comment>
    <comment ref="L81" authorId="0" shapeId="0">
      <text>
        <r>
          <rPr>
            <b/>
            <sz val="9"/>
            <color indexed="81"/>
            <rFont val="Tahoma"/>
            <family val="2"/>
          </rPr>
          <t>Randy Post:</t>
        </r>
        <r>
          <rPr>
            <sz val="9"/>
            <color indexed="81"/>
            <rFont val="Tahoma"/>
            <family val="2"/>
          </rPr>
          <t xml:space="preserve">
Determined by Area Engineer</t>
        </r>
      </text>
    </comment>
    <comment ref="N81" authorId="0" shapeId="0">
      <text>
        <r>
          <rPr>
            <b/>
            <sz val="9"/>
            <color indexed="81"/>
            <rFont val="Tahoma"/>
            <family val="2"/>
          </rPr>
          <t>Randy Post:</t>
        </r>
        <r>
          <rPr>
            <sz val="9"/>
            <color indexed="81"/>
            <rFont val="Tahoma"/>
            <family val="2"/>
          </rPr>
          <t xml:space="preserve">
Determined by Area Engineer</t>
        </r>
      </text>
    </comment>
    <comment ref="L82" authorId="0" shapeId="0">
      <text>
        <r>
          <rPr>
            <b/>
            <sz val="9"/>
            <color indexed="81"/>
            <rFont val="Tahoma"/>
            <family val="2"/>
          </rPr>
          <t>Randy Post:</t>
        </r>
        <r>
          <rPr>
            <sz val="9"/>
            <color indexed="81"/>
            <rFont val="Tahoma"/>
            <family val="2"/>
          </rPr>
          <t xml:space="preserve">
Determined by Area Engineer</t>
        </r>
      </text>
    </comment>
    <comment ref="N82" authorId="0" shapeId="0">
      <text>
        <r>
          <rPr>
            <b/>
            <sz val="9"/>
            <color indexed="81"/>
            <rFont val="Tahoma"/>
            <family val="2"/>
          </rPr>
          <t>Randy Post:</t>
        </r>
        <r>
          <rPr>
            <sz val="9"/>
            <color indexed="81"/>
            <rFont val="Tahoma"/>
            <family val="2"/>
          </rPr>
          <t xml:space="preserve">
Determined by Area Engineer</t>
        </r>
      </text>
    </comment>
    <comment ref="L83" authorId="0" shapeId="0">
      <text>
        <r>
          <rPr>
            <b/>
            <sz val="9"/>
            <color indexed="81"/>
            <rFont val="Tahoma"/>
            <family val="2"/>
          </rPr>
          <t>Randy Post:</t>
        </r>
        <r>
          <rPr>
            <sz val="9"/>
            <color indexed="81"/>
            <rFont val="Tahoma"/>
            <family val="2"/>
          </rPr>
          <t xml:space="preserve">
Determined by Area Engineer</t>
        </r>
      </text>
    </comment>
    <comment ref="N83" authorId="0" shapeId="0">
      <text>
        <r>
          <rPr>
            <b/>
            <sz val="9"/>
            <color indexed="81"/>
            <rFont val="Tahoma"/>
            <family val="2"/>
          </rPr>
          <t>Randy Post:</t>
        </r>
        <r>
          <rPr>
            <sz val="9"/>
            <color indexed="81"/>
            <rFont val="Tahoma"/>
            <family val="2"/>
          </rPr>
          <t xml:space="preserve">
Determined by Area Engineer</t>
        </r>
      </text>
    </comment>
    <comment ref="L84" authorId="0" shapeId="0">
      <text>
        <r>
          <rPr>
            <b/>
            <sz val="9"/>
            <color indexed="81"/>
            <rFont val="Tahoma"/>
            <family val="2"/>
          </rPr>
          <t>Randy Post:</t>
        </r>
        <r>
          <rPr>
            <sz val="9"/>
            <color indexed="81"/>
            <rFont val="Tahoma"/>
            <family val="2"/>
          </rPr>
          <t xml:space="preserve">
Determined by Area Engineer</t>
        </r>
      </text>
    </comment>
    <comment ref="N84" authorId="0" shapeId="0">
      <text>
        <r>
          <rPr>
            <b/>
            <sz val="9"/>
            <color indexed="81"/>
            <rFont val="Tahoma"/>
            <family val="2"/>
          </rPr>
          <t>Randy Post:</t>
        </r>
        <r>
          <rPr>
            <sz val="9"/>
            <color indexed="81"/>
            <rFont val="Tahoma"/>
            <family val="2"/>
          </rPr>
          <t xml:space="preserve">
Determined by Area Engineer</t>
        </r>
      </text>
    </comment>
    <comment ref="L87" authorId="0" shapeId="0">
      <text>
        <r>
          <rPr>
            <b/>
            <sz val="9"/>
            <color indexed="81"/>
            <rFont val="Tahoma"/>
            <family val="2"/>
          </rPr>
          <t>Randy Post:</t>
        </r>
        <r>
          <rPr>
            <sz val="9"/>
            <color indexed="81"/>
            <rFont val="Tahoma"/>
            <family val="2"/>
          </rPr>
          <t xml:space="preserve">
Determined by Area Engineer</t>
        </r>
      </text>
    </comment>
    <comment ref="L88" authorId="0" shapeId="0">
      <text>
        <r>
          <rPr>
            <b/>
            <sz val="9"/>
            <color indexed="81"/>
            <rFont val="Tahoma"/>
            <family val="2"/>
          </rPr>
          <t>Randy Post:</t>
        </r>
        <r>
          <rPr>
            <sz val="9"/>
            <color indexed="81"/>
            <rFont val="Tahoma"/>
            <family val="2"/>
          </rPr>
          <t xml:space="preserve">
Determined by Area Engineer</t>
        </r>
      </text>
    </comment>
    <comment ref="L89" authorId="0" shapeId="0">
      <text>
        <r>
          <rPr>
            <b/>
            <sz val="9"/>
            <color indexed="81"/>
            <rFont val="Tahoma"/>
            <family val="2"/>
          </rPr>
          <t>Randy Post:</t>
        </r>
        <r>
          <rPr>
            <sz val="9"/>
            <color indexed="81"/>
            <rFont val="Tahoma"/>
            <family val="2"/>
          </rPr>
          <t xml:space="preserve">
Determined by Area Engineer</t>
        </r>
      </text>
    </comment>
    <comment ref="C97" authorId="0" shapeId="0">
      <text>
        <r>
          <rPr>
            <b/>
            <sz val="9"/>
            <color indexed="81"/>
            <rFont val="Tahoma"/>
            <family val="2"/>
          </rPr>
          <t>Randy Post:</t>
        </r>
        <r>
          <rPr>
            <sz val="9"/>
            <color indexed="81"/>
            <rFont val="Tahoma"/>
            <family val="2"/>
          </rPr>
          <t xml:space="preserve">
Find Pay Item Code</t>
        </r>
      </text>
    </comment>
    <comment ref="C98" authorId="0" shapeId="0">
      <text>
        <r>
          <rPr>
            <b/>
            <sz val="9"/>
            <color indexed="81"/>
            <rFont val="Tahoma"/>
            <family val="2"/>
          </rPr>
          <t>Randy Post:</t>
        </r>
        <r>
          <rPr>
            <sz val="9"/>
            <color indexed="81"/>
            <rFont val="Tahoma"/>
            <family val="2"/>
          </rPr>
          <t xml:space="preserve">
Find Pay Item Code</t>
        </r>
      </text>
    </comment>
    <comment ref="C99" authorId="0" shapeId="0">
      <text>
        <r>
          <rPr>
            <b/>
            <sz val="9"/>
            <color indexed="81"/>
            <rFont val="Tahoma"/>
            <family val="2"/>
          </rPr>
          <t>Randy Post:</t>
        </r>
        <r>
          <rPr>
            <sz val="9"/>
            <color indexed="81"/>
            <rFont val="Tahoma"/>
            <family val="2"/>
          </rPr>
          <t xml:space="preserve">
Find Pay Item Code</t>
        </r>
      </text>
    </comment>
    <comment ref="C100" authorId="0" shapeId="0">
      <text>
        <r>
          <rPr>
            <b/>
            <sz val="9"/>
            <color indexed="81"/>
            <rFont val="Tahoma"/>
            <family val="2"/>
          </rPr>
          <t>Randy Post:</t>
        </r>
        <r>
          <rPr>
            <sz val="9"/>
            <color indexed="81"/>
            <rFont val="Tahoma"/>
            <family val="2"/>
          </rPr>
          <t xml:space="preserve">
Find Pay Item Code</t>
        </r>
      </text>
    </comment>
    <comment ref="C101" authorId="0" shapeId="0">
      <text>
        <r>
          <rPr>
            <b/>
            <sz val="9"/>
            <color indexed="81"/>
            <rFont val="Tahoma"/>
            <family val="2"/>
          </rPr>
          <t>Randy Post:</t>
        </r>
        <r>
          <rPr>
            <sz val="9"/>
            <color indexed="81"/>
            <rFont val="Tahoma"/>
            <family val="2"/>
          </rPr>
          <t xml:space="preserve">
Find Pay Item Code</t>
        </r>
      </text>
    </comment>
    <comment ref="C102" authorId="0" shapeId="0">
      <text>
        <r>
          <rPr>
            <b/>
            <sz val="9"/>
            <color indexed="81"/>
            <rFont val="Tahoma"/>
            <family val="2"/>
          </rPr>
          <t>Randy Post:</t>
        </r>
        <r>
          <rPr>
            <sz val="9"/>
            <color indexed="81"/>
            <rFont val="Tahoma"/>
            <family val="2"/>
          </rPr>
          <t xml:space="preserve">
Find Pay Item Code</t>
        </r>
      </text>
    </comment>
    <comment ref="C127" authorId="0" shapeId="0">
      <text>
        <r>
          <rPr>
            <b/>
            <sz val="9"/>
            <color indexed="81"/>
            <rFont val="Tahoma"/>
            <family val="2"/>
          </rPr>
          <t>Randy Post:</t>
        </r>
        <r>
          <rPr>
            <sz val="9"/>
            <color indexed="81"/>
            <rFont val="Tahoma"/>
            <family val="2"/>
          </rPr>
          <t xml:space="preserve">
Find Pay Item Code</t>
        </r>
      </text>
    </comment>
    <comment ref="C128" authorId="0" shapeId="0">
      <text>
        <r>
          <rPr>
            <b/>
            <sz val="9"/>
            <color indexed="81"/>
            <rFont val="Tahoma"/>
            <family val="2"/>
          </rPr>
          <t>Randy Post:</t>
        </r>
        <r>
          <rPr>
            <sz val="9"/>
            <color indexed="81"/>
            <rFont val="Tahoma"/>
            <family val="2"/>
          </rPr>
          <t xml:space="preserve">
Find Pay Item Code</t>
        </r>
      </text>
    </comment>
    <comment ref="C129" authorId="0" shapeId="0">
      <text>
        <r>
          <rPr>
            <b/>
            <sz val="9"/>
            <color indexed="81"/>
            <rFont val="Tahoma"/>
            <family val="2"/>
          </rPr>
          <t>Randy Post:</t>
        </r>
        <r>
          <rPr>
            <sz val="9"/>
            <color indexed="81"/>
            <rFont val="Tahoma"/>
            <family val="2"/>
          </rPr>
          <t xml:space="preserve">
Find Pay Item Code</t>
        </r>
      </text>
    </comment>
    <comment ref="C130" authorId="0" shapeId="0">
      <text>
        <r>
          <rPr>
            <b/>
            <sz val="9"/>
            <color indexed="81"/>
            <rFont val="Tahoma"/>
            <family val="2"/>
          </rPr>
          <t>Randy Post:</t>
        </r>
        <r>
          <rPr>
            <sz val="9"/>
            <color indexed="81"/>
            <rFont val="Tahoma"/>
            <family val="2"/>
          </rPr>
          <t xml:space="preserve">
Find Pay Item Code</t>
        </r>
      </text>
    </comment>
    <comment ref="C131" authorId="0" shapeId="0">
      <text>
        <r>
          <rPr>
            <b/>
            <sz val="9"/>
            <color indexed="81"/>
            <rFont val="Tahoma"/>
            <family val="2"/>
          </rPr>
          <t>Randy Post:</t>
        </r>
        <r>
          <rPr>
            <sz val="9"/>
            <color indexed="81"/>
            <rFont val="Tahoma"/>
            <family val="2"/>
          </rPr>
          <t xml:space="preserve">
Find Pay Item Code</t>
        </r>
      </text>
    </comment>
    <comment ref="C132" authorId="0" shapeId="0">
      <text>
        <r>
          <rPr>
            <b/>
            <sz val="9"/>
            <color indexed="81"/>
            <rFont val="Tahoma"/>
            <family val="2"/>
          </rPr>
          <t>Randy Post:</t>
        </r>
        <r>
          <rPr>
            <sz val="9"/>
            <color indexed="81"/>
            <rFont val="Tahoma"/>
            <family val="2"/>
          </rPr>
          <t xml:space="preserve">
Find Pay Item Code</t>
        </r>
      </text>
    </comment>
    <comment ref="C133" authorId="0" shapeId="0">
      <text>
        <r>
          <rPr>
            <b/>
            <sz val="9"/>
            <color indexed="81"/>
            <rFont val="Tahoma"/>
            <family val="2"/>
          </rPr>
          <t>Randy Post:</t>
        </r>
        <r>
          <rPr>
            <sz val="9"/>
            <color indexed="81"/>
            <rFont val="Tahoma"/>
            <family val="2"/>
          </rPr>
          <t xml:space="preserve">
Find Pay Item Code</t>
        </r>
      </text>
    </comment>
    <comment ref="C134" authorId="0" shapeId="0">
      <text>
        <r>
          <rPr>
            <b/>
            <sz val="9"/>
            <color indexed="81"/>
            <rFont val="Tahoma"/>
            <family val="2"/>
          </rPr>
          <t>Randy Post:</t>
        </r>
        <r>
          <rPr>
            <sz val="9"/>
            <color indexed="81"/>
            <rFont val="Tahoma"/>
            <family val="2"/>
          </rPr>
          <t xml:space="preserve">
Find Pay Item Code</t>
        </r>
      </text>
    </comment>
    <comment ref="C135" authorId="0" shapeId="0">
      <text>
        <r>
          <rPr>
            <b/>
            <sz val="9"/>
            <color indexed="81"/>
            <rFont val="Tahoma"/>
            <family val="2"/>
          </rPr>
          <t>Randy Post:</t>
        </r>
        <r>
          <rPr>
            <sz val="9"/>
            <color indexed="81"/>
            <rFont val="Tahoma"/>
            <family val="2"/>
          </rPr>
          <t xml:space="preserve">
Find Pay Item Code</t>
        </r>
      </text>
    </comment>
    <comment ref="C136" authorId="0" shapeId="0">
      <text>
        <r>
          <rPr>
            <b/>
            <sz val="9"/>
            <color indexed="81"/>
            <rFont val="Tahoma"/>
            <family val="2"/>
          </rPr>
          <t>Randy Post:</t>
        </r>
        <r>
          <rPr>
            <sz val="9"/>
            <color indexed="81"/>
            <rFont val="Tahoma"/>
            <family val="2"/>
          </rPr>
          <t xml:space="preserve">
Find Pay Item Code</t>
        </r>
      </text>
    </comment>
    <comment ref="C137" authorId="0" shapeId="0">
      <text>
        <r>
          <rPr>
            <b/>
            <sz val="9"/>
            <color indexed="81"/>
            <rFont val="Tahoma"/>
            <family val="2"/>
          </rPr>
          <t>Randy Post:</t>
        </r>
        <r>
          <rPr>
            <sz val="9"/>
            <color indexed="81"/>
            <rFont val="Tahoma"/>
            <family val="2"/>
          </rPr>
          <t xml:space="preserve">
Find Pay Item Code</t>
        </r>
      </text>
    </comment>
    <comment ref="C138" authorId="0" shapeId="0">
      <text>
        <r>
          <rPr>
            <b/>
            <sz val="9"/>
            <color indexed="81"/>
            <rFont val="Tahoma"/>
            <family val="2"/>
          </rPr>
          <t>Randy Post:</t>
        </r>
        <r>
          <rPr>
            <sz val="9"/>
            <color indexed="81"/>
            <rFont val="Tahoma"/>
            <family val="2"/>
          </rPr>
          <t xml:space="preserve">
Find Pay Item Code</t>
        </r>
      </text>
    </comment>
    <comment ref="C139" authorId="0" shapeId="0">
      <text>
        <r>
          <rPr>
            <b/>
            <sz val="9"/>
            <color indexed="81"/>
            <rFont val="Tahoma"/>
            <family val="2"/>
          </rPr>
          <t>Randy Post:</t>
        </r>
        <r>
          <rPr>
            <sz val="9"/>
            <color indexed="81"/>
            <rFont val="Tahoma"/>
            <family val="2"/>
          </rPr>
          <t xml:space="preserve">
Find Pay Item Code</t>
        </r>
      </text>
    </comment>
    <comment ref="C140" authorId="0" shapeId="0">
      <text>
        <r>
          <rPr>
            <b/>
            <sz val="9"/>
            <color indexed="81"/>
            <rFont val="Tahoma"/>
            <family val="2"/>
          </rPr>
          <t>Randy Post:</t>
        </r>
        <r>
          <rPr>
            <sz val="9"/>
            <color indexed="81"/>
            <rFont val="Tahoma"/>
            <family val="2"/>
          </rPr>
          <t xml:space="preserve">
Find Pay Item Code</t>
        </r>
      </text>
    </comment>
    <comment ref="C141" authorId="0" shapeId="0">
      <text>
        <r>
          <rPr>
            <b/>
            <sz val="9"/>
            <color indexed="81"/>
            <rFont val="Tahoma"/>
            <family val="2"/>
          </rPr>
          <t>Randy Post:</t>
        </r>
        <r>
          <rPr>
            <sz val="9"/>
            <color indexed="81"/>
            <rFont val="Tahoma"/>
            <family val="2"/>
          </rPr>
          <t xml:space="preserve">
Find Pay Item Code</t>
        </r>
      </text>
    </comment>
  </commentList>
</comments>
</file>

<file path=xl/sharedStrings.xml><?xml version="1.0" encoding="utf-8"?>
<sst xmlns="http://schemas.openxmlformats.org/spreadsheetml/2006/main" count="2132" uniqueCount="958">
  <si>
    <t>Station</t>
  </si>
  <si>
    <t>Transition</t>
  </si>
  <si>
    <t>Start Station</t>
  </si>
  <si>
    <t>End Station</t>
  </si>
  <si>
    <t>Lane</t>
  </si>
  <si>
    <t>Driveways</t>
  </si>
  <si>
    <t>Typical Mailbox Approach (610-MBAP-01)</t>
  </si>
  <si>
    <t>Typical Mailbox Approach (610-MBAP-02)</t>
  </si>
  <si>
    <t>≥ 50 mph</t>
  </si>
  <si>
    <t>≤ 45 mph</t>
  </si>
  <si>
    <t>Mailbox</t>
  </si>
  <si>
    <t>Combo. Mailbox App. &amp; Drive (610-MBAP-01)</t>
  </si>
  <si>
    <t>Combo. Mailbox App. &amp; Drive (610-MBAP-02)</t>
  </si>
  <si>
    <t>Unimproved</t>
  </si>
  <si>
    <t>Improved</t>
  </si>
  <si>
    <t>Residential Drive paved or unpaved shoulder (Class 2) (610-DRIV-02)</t>
  </si>
  <si>
    <t>Commercial Drive paved or unpaved shoulder (Class 4) (610-DRIV-04)</t>
  </si>
  <si>
    <t>Field Entrance paved or unpaved shoulder (Class 5) (610-DRIV-05)</t>
  </si>
  <si>
    <t>Industrial Drive paved or unpaved shoulder (Class 6) (610-DRIV-06)</t>
  </si>
  <si>
    <t>(lft)</t>
  </si>
  <si>
    <t>(ea)</t>
  </si>
  <si>
    <t>HMA</t>
  </si>
  <si>
    <t>Agg.</t>
  </si>
  <si>
    <t>Milling</t>
  </si>
  <si>
    <t>Asphalt</t>
  </si>
  <si>
    <t>Description/ Comments</t>
  </si>
  <si>
    <t>Mainline</t>
  </si>
  <si>
    <t>Shoulder</t>
  </si>
  <si>
    <t>HMA Shldr.</t>
  </si>
  <si>
    <t>(enter area formula)</t>
  </si>
  <si>
    <t>(enter x if req'd)</t>
  </si>
  <si>
    <t>Surface</t>
  </si>
  <si>
    <t>Asphalt for Tack Coat</t>
  </si>
  <si>
    <t>Intermed.</t>
  </si>
  <si>
    <t>Totals</t>
  </si>
  <si>
    <t>(ton)</t>
  </si>
  <si>
    <t>#/sys</t>
  </si>
  <si>
    <t>in.</t>
  </si>
  <si>
    <t>Don't change values in red</t>
  </si>
  <si>
    <t>Direction</t>
  </si>
  <si>
    <t>NB</t>
  </si>
  <si>
    <t>SB</t>
  </si>
  <si>
    <t>EB</t>
  </si>
  <si>
    <t>WB</t>
  </si>
  <si>
    <t>Left-turn</t>
  </si>
  <si>
    <t>Right-turn</t>
  </si>
  <si>
    <t>Location</t>
  </si>
  <si>
    <t>Do not change areas in red.</t>
  </si>
  <si>
    <t>Percentage to add to distributed quantity for undistributed quantity.</t>
  </si>
  <si>
    <t>Type of HMA Patching</t>
  </si>
  <si>
    <t>Type</t>
  </si>
  <si>
    <t>A</t>
  </si>
  <si>
    <t>B</t>
  </si>
  <si>
    <t>C</t>
  </si>
  <si>
    <t>D</t>
  </si>
  <si>
    <t>Quantity Summary</t>
  </si>
  <si>
    <t>Compacted Aggregate, No. 53, Base</t>
  </si>
  <si>
    <t>Depth of Comp. Agg. For Base (in.)</t>
  </si>
  <si>
    <t>NOTES:</t>
  </si>
  <si>
    <t>Percentage of comp. agg. base to be replaced</t>
  </si>
  <si>
    <t>Partial Depth Patching shall consist of:</t>
  </si>
  <si>
    <t>Side</t>
  </si>
  <si>
    <t>Road Name</t>
  </si>
  <si>
    <t>LT</t>
  </si>
  <si>
    <t>RT</t>
  </si>
  <si>
    <t>Existing Road Condition</t>
  </si>
  <si>
    <t>Exist. Road Condition</t>
  </si>
  <si>
    <t># of lifts of HMA Patching</t>
  </si>
  <si>
    <t>Depth of HMA Partial Patching (#/sys)</t>
  </si>
  <si>
    <t># of lifts of HMA Partial Patching</t>
  </si>
  <si>
    <t>Minor Approach Type</t>
  </si>
  <si>
    <t>Residential</t>
  </si>
  <si>
    <t>Commercial</t>
  </si>
  <si>
    <t>Industrial</t>
  </si>
  <si>
    <t>Stand-Alone</t>
  </si>
  <si>
    <t>Combo (before drive)</t>
  </si>
  <si>
    <t>Combo (after drive)</t>
  </si>
  <si>
    <t>Field Entrance</t>
  </si>
  <si>
    <t>Percentage of number of mailbox approaches in speed zones of 45 mph or less.  (typ. 0%)</t>
  </si>
  <si>
    <t>Milling, Approach</t>
  </si>
  <si>
    <t>All improved minor approaches shall consist of:</t>
  </si>
  <si>
    <t>Residential &amp; Mailbox:</t>
  </si>
  <si>
    <t>Unimproved minor approaches shall be as follows:</t>
  </si>
  <si>
    <t>Field Entrance:</t>
  </si>
  <si>
    <t>Res. &amp; Mailbox</t>
  </si>
  <si>
    <t>Field Entr.</t>
  </si>
  <si>
    <t># tack coat apps.</t>
  </si>
  <si>
    <t>Remarks</t>
  </si>
  <si>
    <t>Guardrail, Remove</t>
  </si>
  <si>
    <t>Guardrail End Treatment, Remove</t>
  </si>
  <si>
    <t>Guardrail End Treatment, OS</t>
  </si>
  <si>
    <t>Guardrail, Adjust Height</t>
  </si>
  <si>
    <t>Monument Type</t>
  </si>
  <si>
    <t>Condition</t>
  </si>
  <si>
    <t>Description of Work</t>
  </si>
  <si>
    <t>Do not change cells in red.</t>
  </si>
  <si>
    <t>Material</t>
  </si>
  <si>
    <t>Direction of Road:</t>
  </si>
  <si>
    <t>NB, SB</t>
  </si>
  <si>
    <t>EB, WB</t>
  </si>
  <si>
    <t>(ft)</t>
  </si>
  <si>
    <t>lft</t>
  </si>
  <si>
    <t>Width</t>
  </si>
  <si>
    <t>ea</t>
  </si>
  <si>
    <t>Core Number</t>
  </si>
  <si>
    <t>Ref. Post</t>
  </si>
  <si>
    <t>Concrete</t>
  </si>
  <si>
    <t>Pavement Depth (in)</t>
  </si>
  <si>
    <t>Dist. from Centerline</t>
  </si>
  <si>
    <t>Shldr.</t>
  </si>
  <si>
    <t>Fill-in table to left.</t>
  </si>
  <si>
    <t>Item Description</t>
  </si>
  <si>
    <t>Quantity</t>
  </si>
  <si>
    <t>Guardrail Terminal System, W-Beam, Curved, 3</t>
  </si>
  <si>
    <t>SRPMs</t>
  </si>
  <si>
    <t>Yes</t>
  </si>
  <si>
    <t>No</t>
  </si>
  <si>
    <t>pH</t>
  </si>
  <si>
    <t>Structure Number</t>
  </si>
  <si>
    <t>Left</t>
  </si>
  <si>
    <t>Right</t>
  </si>
  <si>
    <t>Cross</t>
  </si>
  <si>
    <t>Offset</t>
  </si>
  <si>
    <t>ft</t>
  </si>
  <si>
    <t>Size</t>
  </si>
  <si>
    <t>in</t>
  </si>
  <si>
    <t>Pipe Type</t>
  </si>
  <si>
    <t>Description</t>
  </si>
  <si>
    <t>Manhole, Inlet, Catch Basin, or Specialty Structure</t>
  </si>
  <si>
    <t>Length</t>
  </si>
  <si>
    <t>Skew</t>
  </si>
  <si>
    <t>Cover</t>
  </si>
  <si>
    <t>Flowline</t>
  </si>
  <si>
    <t>Up Stream</t>
  </si>
  <si>
    <t>Elev.</t>
  </si>
  <si>
    <t>Down Stream</t>
  </si>
  <si>
    <t>yrs</t>
  </si>
  <si>
    <t>Service Life</t>
  </si>
  <si>
    <t>Site Designation</t>
  </si>
  <si>
    <t>Backfill Method</t>
  </si>
  <si>
    <t>Structure Backfill</t>
  </si>
  <si>
    <t>cys</t>
  </si>
  <si>
    <t>sys</t>
  </si>
  <si>
    <t>ton</t>
  </si>
  <si>
    <t>type</t>
  </si>
  <si>
    <t>slope</t>
  </si>
  <si>
    <t>Connect to Str.</t>
  </si>
  <si>
    <t>Safety Metal End Section</t>
  </si>
  <si>
    <t>Grated Box End Section</t>
  </si>
  <si>
    <t>Pipe End Section</t>
  </si>
  <si>
    <t>Video Inspection</t>
  </si>
  <si>
    <t>Concrete, Class A for Str.</t>
  </si>
  <si>
    <t>Geotextiles</t>
  </si>
  <si>
    <t>Flowable Backfill</t>
  </si>
  <si>
    <t>MEE = Match Existing Elevation</t>
  </si>
  <si>
    <t>A = Abrasive</t>
  </si>
  <si>
    <t>NA = Non-Abrasive</t>
  </si>
  <si>
    <t>Aluminum to Steel Splice Connector, Type A S</t>
  </si>
  <si>
    <t>Centerline</t>
  </si>
  <si>
    <t>No Change Required</t>
  </si>
  <si>
    <t>Drilled Hole for Underseal</t>
  </si>
  <si>
    <t>holes spaced apart</t>
  </si>
  <si>
    <t>#gal per hole</t>
  </si>
  <si>
    <t>#gal/ton</t>
  </si>
  <si>
    <t>Quantities are based on the following assumptions:</t>
  </si>
  <si>
    <t>=</t>
  </si>
  <si>
    <t>Sta.</t>
  </si>
  <si>
    <t>Detector Housing, Remove</t>
  </si>
  <si>
    <t>Signal Detector Housing</t>
  </si>
  <si>
    <t>Uniform Riprap</t>
  </si>
  <si>
    <t>Approx. Station</t>
  </si>
  <si>
    <t>TWLTL</t>
  </si>
  <si>
    <t>Lines &amp; SRPMs</t>
  </si>
  <si>
    <t>Pavement Marking (lines) Material:</t>
  </si>
  <si>
    <t>Lane Lines</t>
  </si>
  <si>
    <t>Solid Yellow 4"</t>
  </si>
  <si>
    <t>Broken Yellow 4"</t>
  </si>
  <si>
    <t>Solid White 4"</t>
  </si>
  <si>
    <t>Broken White 4"</t>
  </si>
  <si>
    <t>Other/ Blue SRPMs</t>
  </si>
  <si>
    <t>SRPMs &amp; Edge Line</t>
  </si>
  <si>
    <t>LT Turn</t>
  </si>
  <si>
    <t>No Passing Both</t>
  </si>
  <si>
    <t>TWLTL Trans</t>
  </si>
  <si>
    <t>RT Turn</t>
  </si>
  <si>
    <t>Passing Both</t>
  </si>
  <si>
    <t>Broken</t>
  </si>
  <si>
    <t>Passing NB</t>
  </si>
  <si>
    <t>LT &amp; Broken</t>
  </si>
  <si>
    <t>Passing SB</t>
  </si>
  <si>
    <t>RT &amp; Broken</t>
  </si>
  <si>
    <t>Passing EB</t>
  </si>
  <si>
    <t>LT &amp; RT Turn</t>
  </si>
  <si>
    <t>Passing WB</t>
  </si>
  <si>
    <t>LT,RT,Broken</t>
  </si>
  <si>
    <t>Transverse Markings &amp; Pavement Message Markings</t>
  </si>
  <si>
    <t>Approximate Station/ Location</t>
  </si>
  <si>
    <t>See Detail for calculations</t>
  </si>
  <si>
    <t>Per Loop:</t>
  </si>
  <si>
    <t>Saw Cut =</t>
  </si>
  <si>
    <t>Loop Wire =</t>
  </si>
  <si>
    <t>Per 4-Loop Installation:</t>
  </si>
  <si>
    <t>Begin Station</t>
  </si>
  <si>
    <t>Quadrant</t>
  </si>
  <si>
    <t>SE</t>
  </si>
  <si>
    <t>SW</t>
  </si>
  <si>
    <t>NE</t>
  </si>
  <si>
    <t>NW</t>
  </si>
  <si>
    <t>Side Street Station</t>
  </si>
  <si>
    <t>Area</t>
  </si>
  <si>
    <t>(sys)</t>
  </si>
  <si>
    <t>Areas (sys)**</t>
  </si>
  <si>
    <t>Milling (sys)**</t>
  </si>
  <si>
    <t>Widths (feet)*</t>
  </si>
  <si>
    <t>Center</t>
  </si>
  <si>
    <t>Solid Yellow 8"</t>
  </si>
  <si>
    <t>Gore Area</t>
  </si>
  <si>
    <t>Temporary Pavement Markings 4"</t>
  </si>
  <si>
    <t># of 4-Loop Installations</t>
  </si>
  <si>
    <t>Passing Blister</t>
  </si>
  <si>
    <t>Dual LT Turn</t>
  </si>
  <si>
    <t>Type of Treatment</t>
  </si>
  <si>
    <t>Functional</t>
  </si>
  <si>
    <t>Funct.</t>
  </si>
  <si>
    <t>P.M.</t>
  </si>
  <si>
    <t>Prevent. Maint.</t>
  </si>
  <si>
    <t>Treatment Type</t>
  </si>
  <si>
    <t>P.M. Improved Appr.</t>
  </si>
  <si>
    <t>Func. Improved Appr.</t>
  </si>
  <si>
    <t>Item Number</t>
  </si>
  <si>
    <t>406-05520</t>
  </si>
  <si>
    <t>306-08432</t>
  </si>
  <si>
    <t>401-06264</t>
  </si>
  <si>
    <t>301-07448</t>
  </si>
  <si>
    <t>801-06203</t>
  </si>
  <si>
    <t>808-75998</t>
  </si>
  <si>
    <t>801-06216</t>
  </si>
  <si>
    <t>801-06218</t>
  </si>
  <si>
    <t>Total Depth of Pavement</t>
  </si>
  <si>
    <t>LT Turn &amp; Gore</t>
  </si>
  <si>
    <t>Dual LT Turn &amp; Gore</t>
  </si>
  <si>
    <t>Broken &amp; Gore</t>
  </si>
  <si>
    <t>LT, Broken, &amp; Gore</t>
  </si>
  <si>
    <t>Solid White 8"</t>
  </si>
  <si>
    <t/>
  </si>
  <si>
    <t>Stump, Remove</t>
  </si>
  <si>
    <t>Guardrail End Treatment, MS</t>
  </si>
  <si>
    <t>Dual LT Turn, Broken, &amp; Gore</t>
  </si>
  <si>
    <t>306-08043</t>
  </si>
  <si>
    <t>Undistributed</t>
  </si>
  <si>
    <t>Adams</t>
  </si>
  <si>
    <t>Allen</t>
  </si>
  <si>
    <t>Blackford</t>
  </si>
  <si>
    <t>Elkhart</t>
  </si>
  <si>
    <t>Fulton</t>
  </si>
  <si>
    <t>Grant</t>
  </si>
  <si>
    <t>Jay</t>
  </si>
  <si>
    <t>Huntington</t>
  </si>
  <si>
    <t>Kosciusko</t>
  </si>
  <si>
    <t>Lagrange</t>
  </si>
  <si>
    <t>Miami</t>
  </si>
  <si>
    <t>Noble</t>
  </si>
  <si>
    <t>Steuben</t>
  </si>
  <si>
    <t>Wabash</t>
  </si>
  <si>
    <t>Wells</t>
  </si>
  <si>
    <t>Whitley</t>
  </si>
  <si>
    <t>Mailbox Assembly, Single, Reset (Undistributed)</t>
  </si>
  <si>
    <t>105-06845</t>
  </si>
  <si>
    <t>CONSTRUCTION ENGINEERING</t>
  </si>
  <si>
    <t>LS</t>
  </si>
  <si>
    <t>109-08359</t>
  </si>
  <si>
    <t>LIQUIDATED DAMAGES</t>
  </si>
  <si>
    <t>DOL</t>
  </si>
  <si>
    <t>109-08360</t>
  </si>
  <si>
    <t>CONTRACT LIENS</t>
  </si>
  <si>
    <t>109-08440</t>
  </si>
  <si>
    <t>QUALITY ADJUSTMENTS, HMA</t>
  </si>
  <si>
    <t>109-08443</t>
  </si>
  <si>
    <t>QUALITY ADJUSTMENTS, TEMPORARY TRAFFIC CONTROL DEVICES</t>
  </si>
  <si>
    <t>109-08444</t>
  </si>
  <si>
    <t>QUALITY ADJUSTMENTS, FAILED MATERIALS</t>
  </si>
  <si>
    <t>109-09377</t>
  </si>
  <si>
    <t>QUALITY ADJUSTMENTS, PAVEMENT TRAFFIC MARKINGS</t>
  </si>
  <si>
    <t>109-09489</t>
  </si>
  <si>
    <t>PAYMENT ADJUSTMENT, PG ASPHALT BINDER</t>
  </si>
  <si>
    <t>110-01001</t>
  </si>
  <si>
    <t>MOBILIZATION AND DEMOBILIZATION</t>
  </si>
  <si>
    <t>EACH</t>
  </si>
  <si>
    <t>SYS</t>
  </si>
  <si>
    <t>COMPACTED AGGREGATE, NO. 53, BASE</t>
  </si>
  <si>
    <t>TON</t>
  </si>
  <si>
    <t>303-07449</t>
  </si>
  <si>
    <t>COMPACTED AGGREGATE, NO. 73</t>
  </si>
  <si>
    <t>, FULL DEPTH</t>
  </si>
  <si>
    <t>, PARTIAL DEPTH</t>
  </si>
  <si>
    <t>MILLING, TRANSITION</t>
  </si>
  <si>
    <t>MILLING, APPROACH</t>
  </si>
  <si>
    <t>PROFILOGRAPH, HMA</t>
  </si>
  <si>
    <t>ASPHALT FOR TACK COAT</t>
  </si>
  <si>
    <t>LFT</t>
  </si>
  <si>
    <t>604-06070</t>
  </si>
  <si>
    <t>SIDEWALK, CONCRETE</t>
  </si>
  <si>
    <t>611-08232</t>
  </si>
  <si>
    <t>MAILBOX ASSEMBLY, SINGLE, RESET</t>
  </si>
  <si>
    <t>615-06527</t>
  </si>
  <si>
    <t>MONUMENT, SECTION CORNER</t>
  </si>
  <si>
    <t>MOS</t>
  </si>
  <si>
    <t>801-01506</t>
  </si>
  <si>
    <t>801-03290</t>
  </si>
  <si>
    <t>CONSTRUCTION SIGN, C</t>
  </si>
  <si>
    <t>TEMPORARY PAVEMENT MARKING, 4 IN</t>
  </si>
  <si>
    <t>801-06207</t>
  </si>
  <si>
    <t>TEMPORARY PAVEMENT MARKING, REMOVABLE 4 IN</t>
  </si>
  <si>
    <t>801-06213</t>
  </si>
  <si>
    <t>TEMPORARY TRANSVERSE PAVEMENT MARKING, 24"</t>
  </si>
  <si>
    <t>TEMPORARY TRANSVERSE PAVEMENT MARKING, REMOVABLE, 24 IN</t>
  </si>
  <si>
    <t>801-06640</t>
  </si>
  <si>
    <t>CONSTRUCTION SIGN, A</t>
  </si>
  <si>
    <t>801-06775</t>
  </si>
  <si>
    <t>MAINTAINING TRAFFIC</t>
  </si>
  <si>
    <t>801-92448</t>
  </si>
  <si>
    <t>CONSTRUCTION SIGNS, MOBILE</t>
  </si>
  <si>
    <t>DAY</t>
  </si>
  <si>
    <t>808-09381</t>
  </si>
  <si>
    <t>RETRO-REFLECTIVITY TESTING</t>
  </si>
  <si>
    <t>808-75996</t>
  </si>
  <si>
    <t>SNOWPLOWABLE RAISED PAVEMENT MARKER, REMOVE</t>
  </si>
  <si>
    <t>SNOWPLOWABLE RAISED PAVEMENT MARKER</t>
  </si>
  <si>
    <t>Supplemental Description</t>
  </si>
  <si>
    <t>Unit</t>
  </si>
  <si>
    <t>Joint Adhesive</t>
  </si>
  <si>
    <t>Fill in the total number of mainline lanes (below in yellow) at the station listed.</t>
  </si>
  <si>
    <t>Total # of Mainline Lanes at this Sta.</t>
  </si>
  <si>
    <t>Mainline Calc.</t>
  </si>
  <si>
    <t>Shoulders</t>
  </si>
  <si>
    <t>Total # Joints</t>
  </si>
  <si>
    <t>Both</t>
  </si>
  <si>
    <t>Notes:</t>
  </si>
  <si>
    <t xml:space="preserve">   * Widths are approximate and shall be field verified.</t>
  </si>
  <si>
    <t>Casting, Water Valve, Adjust to Grade</t>
  </si>
  <si>
    <t>Structure, Manhole, Reconstructed</t>
  </si>
  <si>
    <t>Structure, Inlet, Reconstructed</t>
  </si>
  <si>
    <t>Casting Type</t>
  </si>
  <si>
    <t>Comp. Pave.</t>
  </si>
  <si>
    <t>&gt;</t>
  </si>
  <si>
    <t>Dotted White 4"</t>
  </si>
  <si>
    <t>Broken &amp; Dotted</t>
  </si>
  <si>
    <t>No Pass &amp; Gore</t>
  </si>
  <si>
    <t>Dotted</t>
  </si>
  <si>
    <t>Liq. Asph. Sealant</t>
  </si>
  <si>
    <t>Saw Cut for Roadway Loop and Sealant</t>
  </si>
  <si>
    <t>Transi-tion</t>
  </si>
  <si>
    <t>Type of Treat.</t>
  </si>
  <si>
    <t>QC/QA-HMA</t>
  </si>
  <si>
    <t>Fog Seal</t>
  </si>
  <si>
    <t>Pavement Treatments</t>
  </si>
  <si>
    <t>QC/QA-SMA</t>
  </si>
  <si>
    <t>UBWC</t>
  </si>
  <si>
    <t>MicroSurf.</t>
  </si>
  <si>
    <t>Seal Coat</t>
  </si>
  <si>
    <t>Fill-in yellow values below.  Only fill-in surface &amp; intermediate if have HMA or SMA.</t>
  </si>
  <si>
    <t>P.M. &amp; Funct.</t>
  </si>
  <si>
    <t>P.M. &amp; Funct., typically only mainline</t>
  </si>
  <si>
    <t>P.M., typically only shoulder</t>
  </si>
  <si>
    <t>Transition
(sys)</t>
  </si>
  <si>
    <t xml:space="preserve"> ** Areas are calculated by using station and widths in current row and the row above.</t>
  </si>
  <si>
    <t>Place x in yellow cells below for Scarify/ Profile or Asphalt Milling for station range (row above to current row).  For Transition, place an equation or area number in sys.</t>
  </si>
  <si>
    <t>Asphalt Milling Depth (in.)</t>
  </si>
  <si>
    <t>If have 2 different asphalt milling depths, answer yes to question below and fill-in Additional Asphalt Milling Depth and mark x in appropriate cells on the left.</t>
  </si>
  <si>
    <t>2 depths of milling?</t>
  </si>
  <si>
    <t>yes</t>
  </si>
  <si>
    <t>no</t>
  </si>
  <si>
    <t>2nd Milling Depth (in.)</t>
  </si>
  <si>
    <t>District</t>
  </si>
  <si>
    <t>Crawfordsville</t>
  </si>
  <si>
    <t>Fort Wayne</t>
  </si>
  <si>
    <t>Greenfield</t>
  </si>
  <si>
    <t>LaPorte</t>
  </si>
  <si>
    <t>Seymour</t>
  </si>
  <si>
    <t>Vincennes</t>
  </si>
  <si>
    <t>Avg. Comp. Agg. Depth</t>
  </si>
  <si>
    <t>Type of Agg. Shldr.</t>
  </si>
  <si>
    <t>Comp. Agg. No. 53</t>
  </si>
  <si>
    <t>Comp. Agg. No. 73</t>
  </si>
  <si>
    <t>Asphalt Millings</t>
  </si>
  <si>
    <t>Ft. Wayne Comp. Agg. Type=</t>
  </si>
  <si>
    <t>Ft. Wayne Dist. County</t>
  </si>
  <si>
    <t>Note for Fort Wayne District:</t>
  </si>
  <si>
    <t>Unless you pick the Type of Agg. Shldr. as being Asphalt Millings, the County will determine the type of agg.</t>
  </si>
  <si>
    <t>Patching locations and quantities are approximate.  These locations are subject to the review of the Engineer.  Locations may be added or changed at the time of construction.</t>
  </si>
  <si>
    <t>Type of HMA for Approaches</t>
  </si>
  <si>
    <t>Areas of Improved Roads</t>
  </si>
  <si>
    <t>Depth
(travel lane to ROW line)</t>
  </si>
  <si>
    <t>NOTE:</t>
  </si>
  <si>
    <t>Build minor approaches to Standard Drawings E 610-DRIV-21 and E 610-MBAP-01 (W = up to 8 ft), where drainage ditches and right-of-way permit.</t>
  </si>
  <si>
    <t>Commercial &amp; Industrial:</t>
  </si>
  <si>
    <t>Quantity Improved</t>
  </si>
  <si>
    <t>Quantity Unimproved</t>
  </si>
  <si>
    <t>Avg. Area Each Appr.</t>
  </si>
  <si>
    <t>Total Area Improved</t>
  </si>
  <si>
    <t>Total Area Unimproved</t>
  </si>
  <si>
    <t>sft</t>
  </si>
  <si>
    <t>Taper Area =</t>
  </si>
  <si>
    <t>Storage Area =</t>
  </si>
  <si>
    <t>Mailbox Area =</t>
  </si>
  <si>
    <t>Total Area =</t>
  </si>
  <si>
    <t>Depth of HMA Partial Patching (in)</t>
  </si>
  <si>
    <t>surface</t>
  </si>
  <si>
    <t>intermed.</t>
  </si>
  <si>
    <t>base</t>
  </si>
  <si>
    <t>Desired = 20 ft</t>
  </si>
  <si>
    <t>Desired = 28 ft</t>
  </si>
  <si>
    <t>Depth =
(Edge of Pavement to ROW)</t>
  </si>
  <si>
    <t>Desired = 32 ft</t>
  </si>
  <si>
    <t>Avg. Existing Drive Width =
(12 ft min to 24 ft max)</t>
  </si>
  <si>
    <t>Mouth Width =
(Radii = 15 ft &amp; 25 ft)</t>
  </si>
  <si>
    <t>Mouth Width =
(Radii = 20 ft)</t>
  </si>
  <si>
    <t>Mouth Width =
(Radii = 45 ft)</t>
  </si>
  <si>
    <t>Avg. Existing Drive Width =
(20 ft min to 40 ft max)</t>
  </si>
  <si>
    <t>Avg. Existing Drive Width =
(32 ft min to 50 ft max)</t>
  </si>
  <si>
    <t>Avg. Existing Drive Width =
(24 ft min)</t>
  </si>
  <si>
    <t>Mailbox After Drive</t>
  </si>
  <si>
    <t>Mailbox Before Drive</t>
  </si>
  <si>
    <t>Subgrade Treatment Type</t>
  </si>
  <si>
    <t>Funct. Treatment Section</t>
  </si>
  <si>
    <t>Fill-in quantity of each minor approach type in table to left.  Also fill-in any yellow blanks throughout the worksheet.  Use both tables if select "Both" for Type of Treatment, otherwise, just use the top table.</t>
  </si>
  <si>
    <t>If mailbox approaches can't be built to standard or currently aren't standard, fill-in the information below.</t>
  </si>
  <si>
    <t>Percentage of mailbox approaches that can't be built or currently are not standard.</t>
  </si>
  <si>
    <t>Avg. areas of each existing mailbox appr.</t>
  </si>
  <si>
    <t>End
Station</t>
  </si>
  <si>
    <t>Direction 2</t>
  </si>
  <si>
    <t>Direction of roadway</t>
  </si>
  <si>
    <t>Project Station</t>
  </si>
  <si>
    <t>Ref. Post (RP)</t>
  </si>
  <si>
    <t>(enter as decimal)</t>
  </si>
  <si>
    <t>Project Stationing</t>
  </si>
  <si>
    <t>FWD Reading</t>
  </si>
  <si>
    <t>(meters)</t>
  </si>
  <si>
    <t>If any of the FWD readings are zero, put in 0.001 instead of zero.</t>
  </si>
  <si>
    <t>Conversion No.</t>
  </si>
  <si>
    <t>Fill-in the FWD reading for each RP and then find and fill-in corresponding Station.</t>
  </si>
  <si>
    <t>Fill-in what conversion want to use above, along with start and end FWD readings that require underseal.  Combine sequential readings from FWD table.</t>
  </si>
  <si>
    <t>Fill-in yellow spaces below and see additional instruction below.</t>
  </si>
  <si>
    <t>Units</t>
  </si>
  <si>
    <t>(in)</t>
  </si>
  <si>
    <t>Exist. Diameter</t>
  </si>
  <si>
    <t>Pay Diameter</t>
  </si>
  <si>
    <t>Headwall, Remove</t>
  </si>
  <si>
    <t>Fill-in all spaces in table, except for Pay Diameter.  For stump and headwall removal, just fill-out Station and Side and pick from drop-down in Comments.</t>
  </si>
  <si>
    <t>Can revise cells in orange.</t>
  </si>
  <si>
    <t>Fill-in stationing, side and what guardrail treatment is req'd., and any remarks.  Hand dig guardrail post is automatically estimated.  Can change the headings, but note that hand dig guardrail post is estimated from OS, MS and guardrail length.</t>
  </si>
  <si>
    <t>- All stationing is approximate and shall be verified.</t>
  </si>
  <si>
    <t>say</t>
  </si>
  <si>
    <t># of Single Loop Installations *</t>
  </si>
  <si>
    <t>* Some of the single loop installations may belong to a 4-loop installation, thus making it a 5-loop installation.</t>
  </si>
  <si>
    <t>Add. Saw Cut for wide lanes at 4-loop installations or for single loop installations from the loop to the detector housing.</t>
  </si>
  <si>
    <t>Add. Loop Wire for wide lanes at 4-loop installations or for single loop installations from the loop to the detector housing.</t>
  </si>
  <si>
    <t>Fill-in Station/ Location, # of loops, detector housings, DH removal and remarks.  Fill-in yellow areas below.  If you have a 5-loop installation, you can say that you have one 4-loop installation and one single loop installation, as stated in the note below the table.</t>
  </si>
  <si>
    <t>The additional saw cut (and loop wire) is for when you have a 4-loop installation that is farther away than the typical 12' lane width, the additional lengths for each of the 4 loops will need to be added in here.  Also, for single loops, the distance between the loop and detector housing needs added in here.</t>
  </si>
  <si>
    <t>Casting Adjusted to Grade, Monument</t>
  </si>
  <si>
    <t>Monument, Re-establish</t>
  </si>
  <si>
    <t>Monument, Section Corner</t>
  </si>
  <si>
    <t>Type of Monument</t>
  </si>
  <si>
    <t>Fill-in table to the left.  Can add an additional Description of Work in the orange cell below.  Can also change the type of monument used in the yellow cell below.</t>
  </si>
  <si>
    <t>Edge Line</t>
  </si>
  <si>
    <t xml:space="preserve">NOTES: </t>
  </si>
  <si>
    <t>SRPMs, Remove</t>
  </si>
  <si>
    <t>- All stationing is approximate and shall be verified.
- All lane lines have been accounted for in temporary pavement markings quantity.
- SRPMs = Snowplowable Raised Pavement Markers</t>
  </si>
  <si>
    <t>Have existing SRPMs?</t>
  </si>
  <si>
    <t>Need to remove existing SRPMs?</t>
  </si>
  <si>
    <t>Want to place new SRPMs?</t>
  </si>
  <si>
    <t>Pavement Marking Material:</t>
  </si>
  <si>
    <t>Fill-in stations and pick lines needed for edge lines, lane lines and centerlines within the station range in table on left.  Also fill-in yellow cells below.</t>
  </si>
  <si>
    <t>Headings in the table can be revised if have different items.</t>
  </si>
  <si>
    <t>Calculations for Crosshatching</t>
  </si>
  <si>
    <t>Posted Speed</t>
  </si>
  <si>
    <t>(mph)</t>
  </si>
  <si>
    <t>Station at beginning of gore</t>
  </si>
  <si>
    <t>Station at end of gore</t>
  </si>
  <si>
    <t>Fill-in stations and quantities that are needed within the station range in table on left.  Also fill-in yellow cells below.  Fill-in orange cells below for rows that you want to calculate crosshatching.</t>
  </si>
  <si>
    <t>Spacing of crosshatch</t>
  </si>
  <si>
    <t>Total crosshatch length to place in table on left</t>
  </si>
  <si>
    <t>Width of crosshatch line</t>
  </si>
  <si>
    <t>Width at beginning of gore</t>
  </si>
  <si>
    <t>Station at 1st intermediate point</t>
  </si>
  <si>
    <t>Width at 1st intermediate point</t>
  </si>
  <si>
    <t>Station at 2nd intermediate point</t>
  </si>
  <si>
    <t>Width at end intermediate point</t>
  </si>
  <si>
    <t>Width at end of gore</t>
  </si>
  <si>
    <t># lines in 1st section</t>
  </si>
  <si>
    <t>begin/end + 1 intermed.</t>
  </si>
  <si>
    <t>begin/end + 2 intermed.</t>
  </si>
  <si>
    <t>How many transition points does gore contain?</t>
  </si>
  <si>
    <t>just begin/ end</t>
  </si>
  <si>
    <t>Average length of crosshatch in 1st section</t>
  </si>
  <si>
    <t># transition points</t>
  </si>
  <si>
    <t># lines in 2nd section</t>
  </si>
  <si>
    <t>Average length of crosshatch in 2nd section</t>
  </si>
  <si>
    <t># lines in 3rd section</t>
  </si>
  <si>
    <t>Average length of crosshatch in 3rd section</t>
  </si>
  <si>
    <t>Brick</t>
  </si>
  <si>
    <t>When entering stations, enter them without +. (i.e. enter 1200 for Sta. 12+00)</t>
  </si>
  <si>
    <t>Stationing automatically assumes an alignment of Line "A".  If different, you will need to format the cells for stations accordingly.</t>
  </si>
  <si>
    <t>The following color scheme is used throughout the worksheets:</t>
  </si>
  <si>
    <t>green</t>
  </si>
  <si>
    <t>signifies instructions</t>
  </si>
  <si>
    <t>yellow</t>
  </si>
  <si>
    <t>orange</t>
  </si>
  <si>
    <t>signifies cells that user has the option to fill-in</t>
  </si>
  <si>
    <t>signifies cells that user is required to fill-in</t>
  </si>
  <si>
    <t>red</t>
  </si>
  <si>
    <t>signifies cells that user should not disturb</t>
  </si>
  <si>
    <t>Optional: The following tab colors could be used to signify the following:</t>
  </si>
  <si>
    <t>worksheet is required and is not complete</t>
  </si>
  <si>
    <t>worksheet is required and is complete</t>
  </si>
  <si>
    <t>109-08463</t>
  </si>
  <si>
    <t>PROJECT ESTIMATE ADJUSTMENT</t>
  </si>
  <si>
    <t>109-11362</t>
  </si>
  <si>
    <t>QUALITY ADJUSTMENTS, FAILURE TO MAINTAIN TEMPORARY EROSION AND SEDIMENT CONTROL MEASURES</t>
  </si>
  <si>
    <t>If have divided highway, use top and bottom tables, otherwise just use top table.</t>
  </si>
  <si>
    <t>Divided highway?</t>
  </si>
  <si>
    <t>NB/ SB</t>
  </si>
  <si>
    <t>EB/ WB</t>
  </si>
  <si>
    <t>Side Street Name</t>
  </si>
  <si>
    <t>worksheet is not required</t>
  </si>
  <si>
    <t>Fill-in table to the left and the yellow cells below for undistributed quantities.  Can change and/ or add more descriptions of work in orange cells.</t>
  </si>
  <si>
    <t>Zero values are hidden on all worksheets.  Thus, even though you do not see a cell populated, it may contain a formula that equals zero until other cells are populated.</t>
  </si>
  <si>
    <t>Main. Inside</t>
  </si>
  <si>
    <t>Main. Outside</t>
  </si>
  <si>
    <t>Main./ Shldr.</t>
  </si>
  <si>
    <t>Main./ Cntr.</t>
  </si>
  <si>
    <t>Override type of HMA</t>
  </si>
  <si>
    <t>Full Depth Patching</t>
  </si>
  <si>
    <t>Partial Depth Patching</t>
  </si>
  <si>
    <t>Depth of HMA Full Depth Patching (#/sys)</t>
  </si>
  <si>
    <t>Type of Patching</t>
  </si>
  <si>
    <t>Partial</t>
  </si>
  <si>
    <t>Patching Areas (sys)</t>
  </si>
  <si>
    <t>Fill-in start &amp; end stations, direction, lane, type of patching, and width on table to the left.  Fill-in yellow cells below.</t>
  </si>
  <si>
    <t>For divided highways, make centerline No Passing Both to account for yellow edgeline in each direction.</t>
  </si>
  <si>
    <t>Add any other SRPMs not along a line or where there is a fire hydrant within the ROW.</t>
  </si>
  <si>
    <t>Milled HMA Shldr. Corr. Adjustments</t>
  </si>
  <si>
    <t>Begin</t>
  </si>
  <si>
    <t>End</t>
  </si>
  <si>
    <t>Project</t>
  </si>
  <si>
    <t>Exception/ Equation #1</t>
  </si>
  <si>
    <t>Exception/ Equation #2</t>
  </si>
  <si>
    <t>Exception/ Equation #3</t>
  </si>
  <si>
    <t>Exception/ Equation #4</t>
  </si>
  <si>
    <t>Exception/ Equation #5</t>
  </si>
  <si>
    <t>Exception/ Equation #6</t>
  </si>
  <si>
    <t>Exception/ Equation #7</t>
  </si>
  <si>
    <t>Exception/ Equation #8</t>
  </si>
  <si>
    <t>Milled HMA Corrugations</t>
  </si>
  <si>
    <t>gore</t>
  </si>
  <si>
    <t>Liquid Asphalt Sealant *</t>
  </si>
  <si>
    <t>CLRS = Centerline Longitudinal Rumble Stripe
All stationing is approx. and shall be verified.
* This is only for where there is not a joint near the corrugations.</t>
  </si>
  <si>
    <t>Place Milled Centerline Corrugations?
("yes" if yes)
("gore" if yes in gore)</t>
  </si>
  <si>
    <t>Is there a pavement joint near the corrugations?</t>
  </si>
  <si>
    <t>Fill-in stationing on the table to the left and fill-in yellow cells below.  If liquid asphalt sealant is only required for part of the station range, the formula in that cell can be overridden.</t>
  </si>
  <si>
    <t>Place Milled Edgeline Corrugations?
("yes" if yes)</t>
  </si>
  <si>
    <t>ELRS = Edgeline Longitudinal Rumble Stripe
All stationing is approx. and shall be verified.
* This is only for where there is not a joint near the corrugations.</t>
  </si>
  <si>
    <t>Fill in all yellow cells where applicable.</t>
  </si>
  <si>
    <t>Curb</t>
  </si>
  <si>
    <t>Curb, Concrete</t>
  </si>
  <si>
    <t>Type of Curb</t>
  </si>
  <si>
    <t>Curb &amp; Gutter</t>
  </si>
  <si>
    <t>Fill-in station, widths, type of treatment, and description/ comments in table to the left.  Mainline width should include all auxiliary lanes as well.  If have station equations, will need to delete or revise equations in the table to the left.  See Additional Instructions below.</t>
  </si>
  <si>
    <t>DeKalb</t>
  </si>
  <si>
    <t>Comm. &amp; Industr.</t>
  </si>
  <si>
    <t>Fill-in station (from end to beginning), widths, type of treatment, and description/ comments in table to the left.  Mainline width should include all auxiliary lanes as well.  If have station equations, will need to delete or revise equations in the table to the left.  See Additional Instructions above.</t>
  </si>
  <si>
    <t>For 2-lane, 2-way roads, fill-in stations from beginning to end regardless of direction.  For divided highways, fill-in stations from beginning to end for the NB/ EB direction and then from end to beginning for the SB/ WB direction.</t>
  </si>
  <si>
    <t>Fill-in stations from beginning to end for the NB/ EB direction and then from end to beginning for the SB/ WB direction on the table to the left and fill-in yellow cells below.  If liquid asphalt sealant is only required for part of the station range, the formula in that cell can be overridden.</t>
  </si>
  <si>
    <t>Finished tables can be copied and pasted as a picture with transparent background enabled into the template MicroStation drawing for letter-sized sheets at 1:1 except for the following: Resurface, Milling, Agg. (0.7 scale); Str. Data (0.7 scale); and Pave Mark (0.8 scale)</t>
  </si>
  <si>
    <t>•</t>
  </si>
  <si>
    <r>
      <rPr>
        <u/>
        <sz val="9"/>
        <rFont val="Tahoma"/>
        <family val="2"/>
      </rPr>
      <t>NOTE:</t>
    </r>
    <r>
      <rPr>
        <sz val="9"/>
        <rFont val="Tahoma"/>
        <family val="2"/>
      </rPr>
      <t xml:space="preserve"> 2 of these tables can fit side by side on a sheet.</t>
    </r>
  </si>
  <si>
    <t>Start
Station</t>
  </si>
  <si>
    <t>Width at Travel Lane</t>
  </si>
  <si>
    <t>Width at ROW Line</t>
  </si>
  <si>
    <t>Structure No.</t>
  </si>
  <si>
    <t>1/ Circular</t>
  </si>
  <si>
    <t xml:space="preserve"> </t>
  </si>
  <si>
    <t>Ribbed PE Pipe (S)*</t>
  </si>
  <si>
    <t>Smooth Wall PE Pipe (S)* / Maximum DR</t>
  </si>
  <si>
    <t>Profile Wall PVC Pipe (S)</t>
  </si>
  <si>
    <t>Smooth Wall PVC Pipe (S)*</t>
  </si>
  <si>
    <t>LEGEND</t>
  </si>
  <si>
    <t>RCP -</t>
  </si>
  <si>
    <t>RCHEP -</t>
  </si>
  <si>
    <t>PE -</t>
  </si>
  <si>
    <t>DR -</t>
  </si>
  <si>
    <t>PVC -</t>
  </si>
  <si>
    <t>BIT -</t>
  </si>
  <si>
    <t>CORR -</t>
  </si>
  <si>
    <t>BPI -</t>
  </si>
  <si>
    <t>ALUM -</t>
  </si>
  <si>
    <t>STR -</t>
  </si>
  <si>
    <t>CFP -</t>
  </si>
  <si>
    <t>CIR -</t>
  </si>
  <si>
    <t>DEF -</t>
  </si>
  <si>
    <t>(S) -</t>
  </si>
  <si>
    <t>(C) -</t>
  </si>
  <si>
    <t>OK -</t>
  </si>
  <si>
    <t>(LS) -</t>
  </si>
  <si>
    <t>* -</t>
  </si>
  <si>
    <t>** -</t>
  </si>
  <si>
    <t>PIPE MATERIAL SUMMARY TABLE</t>
  </si>
  <si>
    <t>STRUCTURE NUMBER</t>
  </si>
  <si>
    <t>PIPE TYPE / SHAPE</t>
  </si>
  <si>
    <t>SMOOTH PIPE SIZE</t>
  </si>
  <si>
    <t>CORRUGATED PIPE SIZE</t>
  </si>
  <si>
    <t>RCP/RCHEP (S)</t>
  </si>
  <si>
    <t>CLASS</t>
  </si>
  <si>
    <t>NON-REINFORCED CONCRETE PIPE, CLASS 3 (S)</t>
  </si>
  <si>
    <t>CORRUGATED PE PIPE, TYPE S (S)*</t>
  </si>
  <si>
    <t>RIBBED PE PIPE (S)*</t>
  </si>
  <si>
    <t>SMOOTH WALL PE PIPE (S)* / MAXIMUM DR</t>
  </si>
  <si>
    <t>PROFILE WALL PVC PIPE (S)</t>
  </si>
  <si>
    <t>SMOOTH WALL PVC PIPE (S)*</t>
  </si>
  <si>
    <t>VITRIFIED CLAY PIPE, EXTRA STRENGTH (S)</t>
  </si>
  <si>
    <t>CORRUGATED STEEL PIPE / PIPE-ARCH</t>
  </si>
  <si>
    <t>FULLY BIT. PAVED &amp; LINED (S)</t>
  </si>
  <si>
    <t>REINFORCED CONCRETE PIPE</t>
  </si>
  <si>
    <t>ZINC COATED (C)</t>
  </si>
  <si>
    <t>REINFORCED CONCRETE HORIZONTAL ELLIPTICAL PIPE</t>
  </si>
  <si>
    <t>ZINC COATED W/ BPI (C)</t>
  </si>
  <si>
    <t>POLYETHYLENE</t>
  </si>
  <si>
    <t>DIMENSION RATIO</t>
  </si>
  <si>
    <t>ALUM. COATED TYPE 2 (C)</t>
  </si>
  <si>
    <t>POLYVINYL CHLORIDE</t>
  </si>
  <si>
    <t>BITUMINOUS</t>
  </si>
  <si>
    <t>ALUM. COATED TYPE 2 W/ BPI (C)</t>
  </si>
  <si>
    <t>CORRUGATION</t>
  </si>
  <si>
    <t>BITUMINOUS PAVED INVERT</t>
  </si>
  <si>
    <t>POLYMER PRECOATED GALVANIZED (C)</t>
  </si>
  <si>
    <t>ALUMINUM</t>
  </si>
  <si>
    <t>STRUCTURAL</t>
  </si>
  <si>
    <t>POLYMER PRECOATED GALVANIZED W/ BPI (C)</t>
  </si>
  <si>
    <t>CONCRETE FIELD PAVING</t>
  </si>
  <si>
    <t>CIRCULAR PIPE</t>
  </si>
  <si>
    <t xml:space="preserve">POLYMER PRECOATED GALVANIZED CORRUGATED STEEL PIPE TYPE 1A (S) </t>
  </si>
  <si>
    <t>DEFORMED PIPE</t>
  </si>
  <si>
    <t>SMOOTH PIPE MATERIAL</t>
  </si>
  <si>
    <t>FIBER BONDED BITUMINOUS COATED W/ BPI (C)</t>
  </si>
  <si>
    <t>© -</t>
  </si>
  <si>
    <t>CORRUGATED PIPE MATERIAL</t>
  </si>
  <si>
    <t>ACCEPTABLE FOR USE</t>
  </si>
  <si>
    <t>CORRUGATED ALUM. ALLOY PIPE (C)</t>
  </si>
  <si>
    <t>LOCK SEAM PIPE REQUIRED</t>
  </si>
  <si>
    <t>REFER TO STANDARD DRAWING 715-PHCL-18 OR 19 FOR NOMINAL DIAMETER APPROPRIATE FOR PAY ITEM DIAMETER.</t>
  </si>
  <si>
    <t>CORRUGATED ALUM. ALLOY PIPE W/ BPI (C)</t>
  </si>
  <si>
    <t>STR. PLATE ALUMINUM ALLOY PLATE (C)</t>
  </si>
  <si>
    <t>TABULATED THICKNESS REFERS TO TOP &amp; SIDE PLATES.  BOTTOM PLATES SHALL BE OF NEXT GREATER AVAILABLE THICKNESS.</t>
  </si>
  <si>
    <t>STR. PLATE ALUMINUM ALLOY PLATE W/ CFP (C)</t>
  </si>
  <si>
    <t>STR. PLATE STEEL PIPE (C)</t>
  </si>
  <si>
    <t>STR. PLATE STEEL PIPE W/ CFP (C)</t>
  </si>
  <si>
    <r>
      <t xml:space="preserve">D </t>
    </r>
    <r>
      <rPr>
        <vertAlign val="subscript"/>
        <sz val="9"/>
        <rFont val="Tahoma"/>
        <family val="2"/>
      </rPr>
      <t>0.01</t>
    </r>
    <r>
      <rPr>
        <sz val="9"/>
        <rFont val="Tahoma"/>
        <family val="2"/>
      </rPr>
      <t xml:space="preserve"> Rating</t>
    </r>
  </si>
  <si>
    <r>
      <t xml:space="preserve">D </t>
    </r>
    <r>
      <rPr>
        <vertAlign val="subscript"/>
        <sz val="9"/>
        <rFont val="Tahoma"/>
        <family val="2"/>
      </rPr>
      <t>0.01</t>
    </r>
    <r>
      <rPr>
        <sz val="9"/>
        <rFont val="Tahoma"/>
        <family val="2"/>
      </rPr>
      <t xml:space="preserve"> RATING</t>
    </r>
  </si>
  <si>
    <t>Corr. Profile</t>
  </si>
  <si>
    <t>Thickness</t>
  </si>
  <si>
    <t>Thickness**</t>
  </si>
  <si>
    <t>blue</t>
  </si>
  <si>
    <t>worksheet is not required, but has helpful information</t>
  </si>
  <si>
    <t>The tables below can be used if there are not enough rows in the table above.  If this is the case, start with the first table below and make the top table the last table that is filled in.</t>
  </si>
  <si>
    <t>TREE, 6 IN., REMOVE</t>
  </si>
  <si>
    <t>TREE, 10 IN., REMOVE</t>
  </si>
  <si>
    <t>TREE, 18 IN., REMOVE</t>
  </si>
  <si>
    <t>TREE, 30 IN., REMOVE</t>
  </si>
  <si>
    <t>TREE, 48 IN., REMOVE</t>
  </si>
  <si>
    <t>TREE, 60 IN., REMOVE</t>
  </si>
  <si>
    <t>201-02245</t>
  </si>
  <si>
    <t>201-02250</t>
  </si>
  <si>
    <t>201-02255</t>
  </si>
  <si>
    <t>201-02260</t>
  </si>
  <si>
    <t>201-02265</t>
  </si>
  <si>
    <t>201-02270</t>
  </si>
  <si>
    <t>Place in Contract (X)</t>
  </si>
  <si>
    <t>TEMPORARY PAVEMENT MESSAGE MARKING, (RXR)</t>
  </si>
  <si>
    <t>X</t>
  </si>
  <si>
    <t>Route:</t>
  </si>
  <si>
    <t>Project Limits:</t>
  </si>
  <si>
    <t>Des. No.:</t>
  </si>
  <si>
    <t>Contract No.:</t>
  </si>
  <si>
    <t>202-02240</t>
  </si>
  <si>
    <t>PAVEMENT REMOVAL</t>
  </si>
  <si>
    <t>202-90277</t>
  </si>
  <si>
    <t>DETECTOR HOUSING, REMOVE</t>
  </si>
  <si>
    <t>303-01180</t>
  </si>
  <si>
    <t>COMPACTED AGGREGATE, NO. 53</t>
  </si>
  <si>
    <t>Scarification</t>
  </si>
  <si>
    <t>Profile</t>
  </si>
  <si>
    <t>Asphalt Removal</t>
  </si>
  <si>
    <t>Scarification, Profile, or Asphlat Removal Milling?</t>
  </si>
  <si>
    <t>Highest posted speed limit:</t>
  </si>
  <si>
    <t>ESAL</t>
  </si>
  <si>
    <t>PG Binder</t>
  </si>
  <si>
    <t>mix size</t>
  </si>
  <si>
    <t>9.5 MM</t>
  </si>
  <si>
    <t>12.5 MM</t>
  </si>
  <si>
    <t>19.0 MM</t>
  </si>
  <si>
    <t>1,</t>
  </si>
  <si>
    <t>2,</t>
  </si>
  <si>
    <t>3,</t>
  </si>
  <si>
    <t>4,</t>
  </si>
  <si>
    <t>5,</t>
  </si>
  <si>
    <t xml:space="preserve"> 64,</t>
  </si>
  <si>
    <t xml:space="preserve"> 70,</t>
  </si>
  <si>
    <t xml:space="preserve"> 76,</t>
  </si>
  <si>
    <r>
      <rPr>
        <u/>
        <sz val="9"/>
        <rFont val="Tahoma"/>
        <family val="2"/>
      </rPr>
      <t>Mainline</t>
    </r>
    <r>
      <rPr>
        <sz val="9"/>
        <rFont val="Tahoma"/>
        <family val="2"/>
      </rPr>
      <t xml:space="preserve"> Surface QC/QA-HMA,</t>
    </r>
  </si>
  <si>
    <r>
      <rPr>
        <u/>
        <sz val="9"/>
        <rFont val="Tahoma"/>
        <family val="2"/>
      </rPr>
      <t>Mainline</t>
    </r>
    <r>
      <rPr>
        <sz val="9"/>
        <rFont val="Tahoma"/>
        <family val="2"/>
      </rPr>
      <t xml:space="preserve"> Intermed. QC/QA-HMA,</t>
    </r>
  </si>
  <si>
    <r>
      <rPr>
        <u/>
        <sz val="9"/>
        <rFont val="Tahoma"/>
        <family val="2"/>
      </rPr>
      <t>Shoulder</t>
    </r>
    <r>
      <rPr>
        <sz val="9"/>
        <rFont val="Tahoma"/>
        <family val="2"/>
      </rPr>
      <t xml:space="preserve"> Surface QC/QA-HMA,</t>
    </r>
  </si>
  <si>
    <r>
      <rPr>
        <u/>
        <sz val="9"/>
        <rFont val="Tahoma"/>
        <family val="2"/>
      </rPr>
      <t>Shoulder</t>
    </r>
    <r>
      <rPr>
        <sz val="9"/>
        <rFont val="Tahoma"/>
        <family val="2"/>
      </rPr>
      <t xml:space="preserve"> Intermed. QC/QA-HMA,</t>
    </r>
  </si>
  <si>
    <t>Is Mainline &amp; Shoulder pavement the same?</t>
  </si>
  <si>
    <t>401-10258</t>
  </si>
  <si>
    <t>401-10259</t>
  </si>
  <si>
    <t>401-11785</t>
  </si>
  <si>
    <t>JOINT ADHESIVE, SURFACE</t>
  </si>
  <si>
    <t>JOINT ADHESIVE, INTERMEDIATE</t>
  </si>
  <si>
    <t>LIQUID ASPHALT SEALANT</t>
  </si>
  <si>
    <t>Type of Seal Coat</t>
  </si>
  <si>
    <t>seal coat</t>
  </si>
  <si>
    <t>3P</t>
  </si>
  <si>
    <t>2P</t>
  </si>
  <si>
    <t>CRACKS AND JOINTS IN ASPHALT PAVEMENT, SEAL</t>
  </si>
  <si>
    <t>408-07504</t>
  </si>
  <si>
    <r>
      <rPr>
        <u/>
        <sz val="9"/>
        <rFont val="Tahoma"/>
        <family val="2"/>
      </rPr>
      <t>Mainline</t>
    </r>
    <r>
      <rPr>
        <sz val="9"/>
        <rFont val="Tahoma"/>
        <family val="2"/>
      </rPr>
      <t xml:space="preserve"> Surface QC/QA-SMA,</t>
    </r>
  </si>
  <si>
    <t>412-09355</t>
  </si>
  <si>
    <t>FOG SEAL</t>
  </si>
  <si>
    <t>Type of Micro-Surfacing</t>
  </si>
  <si>
    <t>micro-surfacing</t>
  </si>
  <si>
    <t>SINGLE COURSE</t>
  </si>
  <si>
    <t>MULTIPLE COURSE</t>
  </si>
  <si>
    <t>UBWC mix size</t>
  </si>
  <si>
    <t>4.75 MM</t>
  </si>
  <si>
    <t>UBWC mixture size</t>
  </si>
  <si>
    <t>Scroll right and down in each worksheet for possible instructions and cells to fill-in.</t>
  </si>
  <si>
    <t>Guardrail, W-Beam, 6 Ft 3 In Spacing</t>
  </si>
  <si>
    <t>Guardrail, W-Beam, Double Faced, 6 Ft 3 In Spacing</t>
  </si>
  <si>
    <t>Hand Dig Guardrail Post Holes</t>
  </si>
  <si>
    <t>Type of curb (and gutter)</t>
  </si>
  <si>
    <t>605-</t>
  </si>
  <si>
    <t>306-</t>
  </si>
  <si>
    <t>401-</t>
  </si>
  <si>
    <t>404-</t>
  </si>
  <si>
    <t>410-</t>
  </si>
  <si>
    <t>Casting, Furnish and Adjust to Grade</t>
  </si>
  <si>
    <t>615-06520</t>
  </si>
  <si>
    <t>MONUMENT, RE-ESTABLISH</t>
  </si>
  <si>
    <t>615-06525</t>
  </si>
  <si>
    <t>CASTING ADJUSTED TO GRADE, MONUMENT</t>
  </si>
  <si>
    <t>720-01894</t>
  </si>
  <si>
    <t>CASTING, FURNISH AND ADJUST TO GRADE</t>
  </si>
  <si>
    <t>, MONUMENT</t>
  </si>
  <si>
    <t>606-07484</t>
  </si>
  <si>
    <t>MILLED HMA CORRUGATIONS</t>
  </si>
  <si>
    <t>615-</t>
  </si>
  <si>
    <t>Sodding, Nursery</t>
  </si>
  <si>
    <t>621-06575</t>
  </si>
  <si>
    <t>SODDING, NURSERY</t>
  </si>
  <si>
    <t>Type of field office</t>
  </si>
  <si>
    <t>field office</t>
  </si>
  <si>
    <t># of months</t>
  </si>
  <si>
    <t>each</t>
  </si>
  <si>
    <t>628-09409</t>
  </si>
  <si>
    <t>MOBILE INTERNET SERVICE</t>
  </si>
  <si>
    <t>628-11729</t>
  </si>
  <si>
    <t>628-11730</t>
  </si>
  <si>
    <t>628-11731</t>
  </si>
  <si>
    <t>628-11732</t>
  </si>
  <si>
    <t>CELLULAR TELEPHONE TYPE A</t>
  </si>
  <si>
    <t>CELLULAR TELEPHONE TYPE B</t>
  </si>
  <si>
    <t>CELLULAR TELEPHONE ADDITIONAL DATA</t>
  </si>
  <si>
    <t>CELLULAR TELEPHONE ADDITIONAL MINUTES</t>
  </si>
  <si>
    <t>per month</t>
  </si>
  <si>
    <t>service</t>
  </si>
  <si>
    <t>500 MIN</t>
  </si>
  <si>
    <t>750 MIN</t>
  </si>
  <si>
    <t>1000 MIN</t>
  </si>
  <si>
    <t>2000 MIN</t>
  </si>
  <si>
    <t>Casting, 15, Furnish and Adjust to Grade</t>
  </si>
  <si>
    <t>, Inlet</t>
  </si>
  <si>
    <t>, Manhole</t>
  </si>
  <si>
    <t>Casting, Adjust to Grade</t>
  </si>
  <si>
    <t>Description of Work w/ Supplemental Description</t>
  </si>
  <si>
    <t>720-</t>
  </si>
  <si>
    <t>801-01093</t>
  </si>
  <si>
    <t>TEMPORARY WORKSITE SPEED LIMIT SIGN ASSUMBLY</t>
  </si>
  <si>
    <t>Want this item?</t>
  </si>
  <si>
    <t>801-01504</t>
  </si>
  <si>
    <t>TEMPORARY PAVEMENT MESSAGE MARKING, LANE INDICATION ARROW</t>
  </si>
  <si>
    <t>Have more than one Des. No. for this Contract?</t>
  </si>
  <si>
    <t>801-01505</t>
  </si>
  <si>
    <t>TEMPORARY PAVEMENT MESSAGE MARKING, (ONLY)</t>
  </si>
  <si>
    <t>801-03291</t>
  </si>
  <si>
    <t>CONSTRUCTION SIGN, D</t>
  </si>
  <si>
    <t>801-06211</t>
  </si>
  <si>
    <t>801-06212</t>
  </si>
  <si>
    <t>TEMPORARY PAVEMENT MESSAGE MARKING, REMOVABLE, LANE INDICATION ARROW</t>
  </si>
  <si>
    <t>TEMPORARY PAVEMENT MESSAGE MARKING, REMOVABLE, (ONLY)</t>
  </si>
  <si>
    <t>TEMPORARY PAVEMENT MESSAGE MARKING, REMOVABLE, (RXR)</t>
  </si>
  <si>
    <t>801-06645</t>
  </si>
  <si>
    <t>CONSTRUCTION SIGN, B</t>
  </si>
  <si>
    <t>801-06710</t>
  </si>
  <si>
    <t>FLASHING ARROW SIGN</t>
  </si>
  <si>
    <t>days</t>
  </si>
  <si>
    <t>Signal Cable, Roadway Loop, Copper 1C/14 Ga</t>
  </si>
  <si>
    <t>Signal Cable, Detector Lead-in, Copper 2C/16 Ga</t>
  </si>
  <si>
    <t>Conduit, Steel, Galvanized, 2 In</t>
  </si>
  <si>
    <t>Solid, Yellow, 8 in</t>
  </si>
  <si>
    <t>808-</t>
  </si>
  <si>
    <t xml:space="preserve">Paint, </t>
  </si>
  <si>
    <t xml:space="preserve">Thermoplastic, </t>
  </si>
  <si>
    <t xml:space="preserve">Multi-Component, </t>
  </si>
  <si>
    <t>Word (ONLY)</t>
  </si>
  <si>
    <t>Word (RXR)</t>
  </si>
  <si>
    <t>Lane Indication Arrow</t>
  </si>
  <si>
    <t>Quantity of internet services</t>
  </si>
  <si>
    <t>Quantity of type A cell phones</t>
  </si>
  <si>
    <t>Quantity of type B cell phones</t>
  </si>
  <si>
    <t>min/month for cell phone service</t>
  </si>
  <si>
    <t>Quantity of type C constr. signs</t>
  </si>
  <si>
    <t>Quantity of type D constr. signs</t>
  </si>
  <si>
    <t>Quantity of type A constr. signs</t>
  </si>
  <si>
    <t>Quantity of type B constr. signs</t>
  </si>
  <si>
    <t>Quantity of flashing arrow sign</t>
  </si>
  <si>
    <t>Quantity of mobile constr. signs</t>
  </si>
  <si>
    <t>Material for Underseal</t>
  </si>
  <si>
    <t>612-04315</t>
  </si>
  <si>
    <t>612-60410</t>
  </si>
  <si>
    <t>MATERIAL FOR UNDERSEAL</t>
  </si>
  <si>
    <t>DRILLED HOLE FOR UNDERSEAL</t>
  </si>
  <si>
    <t>808-06716</t>
  </si>
  <si>
    <t>LINE, REMOVE</t>
  </si>
  <si>
    <t>808-06368</t>
  </si>
  <si>
    <t>TRANSVERSE MARKING, REMOVE</t>
  </si>
  <si>
    <t>808-05866</t>
  </si>
  <si>
    <t>PAVEMENT MESSAGE MARKING, REMOVE</t>
  </si>
  <si>
    <t>Milled HMA Corru-gations</t>
  </si>
  <si>
    <t>Temp. Pavement Markings, 4 in</t>
  </si>
  <si>
    <t>Solid, White, 8 in</t>
  </si>
  <si>
    <t>Dotted, White, 4 in</t>
  </si>
  <si>
    <t>Broken, White, 4 in</t>
  </si>
  <si>
    <t>Solid, White, 4 in</t>
  </si>
  <si>
    <t>Broken, Yellow, 4 in</t>
  </si>
  <si>
    <t>Solid, Yellow, 4 in</t>
  </si>
  <si>
    <t>Quantity of temp. worksite speed sign assembly</t>
  </si>
  <si>
    <t>Completely fill-out all required worksheets.  Fill-in all yellow cells below and the orange cells that apply.  The Xs should automatically populate when a quantity is present.  Any items added to the Str. Data worksheet will need to be added to this summary table manually.  Pay item codes that have a comment will require manual entry.  Pay item codes and descriptions are subject to change.</t>
  </si>
  <si>
    <t>Unused rows at the bottom of a completed table should be deleted so errors do not occur in calculating quantities.  If additional rows are added, make sure equations are copied across the entire row.  See additional instructions on the Resurface, Milling, Agg. worksheet for a unique situation on that worksheet.  If rows are added, the scale when inserted into MicroStation will need modified.</t>
  </si>
  <si>
    <t>Want Milled HMA Corrugations?</t>
  </si>
  <si>
    <t>per each</t>
  </si>
  <si>
    <t>district</t>
  </si>
  <si>
    <r>
      <rPr>
        <u/>
        <sz val="9"/>
        <rFont val="Tahoma"/>
        <family val="2"/>
      </rPr>
      <t>Crawfordsville:</t>
    </r>
    <r>
      <rPr>
        <sz val="9"/>
        <rFont val="Tahoma"/>
        <family val="2"/>
      </rPr>
      <t xml:space="preserve"> This will include a Linear Grading item when Asphalt Millings are used on the shoulder.  </t>
    </r>
    <r>
      <rPr>
        <u/>
        <sz val="9"/>
        <rFont val="Tahoma"/>
        <family val="2"/>
      </rPr>
      <t>Fort Wayne:</t>
    </r>
    <r>
      <rPr>
        <sz val="9"/>
        <rFont val="Tahoma"/>
        <family val="2"/>
      </rPr>
      <t xml:space="preserve"> This will include a Comp. Agg., No. 73, Recycled Asphalt Pavement item when Asphalt Milling are used on the shoulder.  Also, this will add pay items for the preparation of the existing surface when have UBWC or Micro-surface.</t>
    </r>
  </si>
  <si>
    <t>203-08607</t>
  </si>
  <si>
    <t>LINEAR GRADING</t>
  </si>
  <si>
    <t>Fill-in all spaces in table to left, except area.  See additional instructions on how to fill-in columns G thru K.  See below to fill-in yellow spaces.</t>
  </si>
  <si>
    <t>Width at Radii/ Taper</t>
  </si>
  <si>
    <t>Depth (travel lane to radii/ taper)</t>
  </si>
  <si>
    <t>Unimprov.</t>
  </si>
  <si>
    <t>II</t>
  </si>
  <si>
    <t>Subgrade Treatment, Type II</t>
  </si>
  <si>
    <t>SUBGRADE TREATMENT, TYPE II</t>
  </si>
  <si>
    <t>207-08264</t>
  </si>
  <si>
    <t>Will construction be more than one season?</t>
  </si>
  <si>
    <t>for removable</t>
  </si>
  <si>
    <t>for non-removable</t>
  </si>
  <si>
    <t>If so, enter the amount in percentage below that you want to add to the temporary pavement markings.</t>
  </si>
  <si>
    <t>District?</t>
  </si>
  <si>
    <t>℄</t>
  </si>
  <si>
    <t>If Fort Wayne or LaPorte, this adds in undistributed quantities for 2c/16 wire and conduit, along with a note.</t>
  </si>
  <si>
    <t>If Fort Wayne or LaPorte, this adds in a note.</t>
  </si>
  <si>
    <t>Approach</t>
  </si>
  <si>
    <t>Are the exist. shoulders. being repaved?</t>
  </si>
  <si>
    <t>(typically maximum penalty signs)</t>
  </si>
  <si>
    <t>(typically all other signs for MOT)</t>
  </si>
  <si>
    <t>(typically pedestrian MOT signs)</t>
  </si>
  <si>
    <t>801-07118</t>
  </si>
  <si>
    <t>BARRICADE, III-A</t>
  </si>
  <si>
    <t>Quantity of type III-A barricades</t>
  </si>
  <si>
    <t>(typically for pedestrian MOT)</t>
  </si>
  <si>
    <t>Areas of Unimproved/ Reconstructed Roads</t>
  </si>
  <si>
    <t>Reconstr.</t>
  </si>
  <si>
    <r>
      <t xml:space="preserve">Unimproved/ Reconstructed Appr. </t>
    </r>
    <r>
      <rPr>
        <sz val="9"/>
        <rFont val="Tahoma"/>
        <family val="2"/>
      </rPr>
      <t>(based on commercial drives)</t>
    </r>
  </si>
  <si>
    <r>
      <rPr>
        <u/>
        <sz val="9"/>
        <rFont val="Tahoma"/>
        <family val="2"/>
      </rPr>
      <t>Additional Instructions:</t>
    </r>
    <r>
      <rPr>
        <sz val="9"/>
        <rFont val="Tahoma"/>
        <family val="2"/>
      </rPr>
      <t xml:space="preserve">  You can specify to reconstruct an improved approach if in bad shape.
There are 3 different scenarios for filling-in this table.
1. For regular approaches, use columns G, J, &amp; K.
2. For long approaches, use columns G thru K.
3. For crossovers along a divided highway, split into two approaches (use 2 rows) and use columns G, H, &amp; I for each row.</t>
    </r>
  </si>
  <si>
    <t>Dual LT Turn, Broken, RT Turn</t>
  </si>
  <si>
    <t>Broken x 2</t>
  </si>
  <si>
    <t>LT &amp; Broken x 2</t>
  </si>
  <si>
    <t>RT &amp; Broken x 2</t>
  </si>
  <si>
    <t>LT, RT, Broken x 2</t>
  </si>
  <si>
    <t>Broken x 2 &amp; Gore</t>
  </si>
  <si>
    <t>Dual LT Turn, Broken x 2, &amp; Gore</t>
  </si>
  <si>
    <t>LT, Broken x 2, &amp; Gore</t>
  </si>
  <si>
    <t>Broken x 2 &amp; Dotted</t>
  </si>
  <si>
    <t>Gore, Broken x 2, RT</t>
  </si>
  <si>
    <t>Snowplowable Raised Pavement Markers (SRPMs)</t>
  </si>
  <si>
    <t>628-11976</t>
  </si>
  <si>
    <t>628-11977</t>
  </si>
  <si>
    <t>COMPUTER SYSTEM EQUIPMENT</t>
  </si>
  <si>
    <t>COMPUTER SYSTEM</t>
  </si>
  <si>
    <t>Quantity of computer system equipment</t>
  </si>
  <si>
    <t>Quantity of computer system</t>
  </si>
  <si>
    <t>If so, which side?</t>
  </si>
  <si>
    <t>Inside</t>
  </si>
  <si>
    <t>Outside</t>
  </si>
  <si>
    <t>If have non-divided highway, want Milled HMA Corrugations instead of ELRS?</t>
  </si>
  <si>
    <t>If want Milled HMA Corrugations or Linear Grading along a divided highway, then fill-out yellow cells in table immediately below.  If want  Milled HMA Corrugations or Linear Grading along a non-divided highway, just fill-out the first 2 columns of yellow cells immediately below.</t>
  </si>
  <si>
    <t>Inside Joint</t>
  </si>
  <si>
    <t>Centerline Joint</t>
  </si>
  <si>
    <t>Outside Joint</t>
  </si>
  <si>
    <t>Left-turn Joint</t>
  </si>
  <si>
    <t>Right-turn Joint</t>
  </si>
  <si>
    <t>Can fill-in own lane type here in orange cells.</t>
  </si>
  <si>
    <t>Patching Type</t>
  </si>
  <si>
    <t>Distributed Quantity</t>
  </si>
  <si>
    <t>Undistributed Quantity</t>
  </si>
  <si>
    <t>Total Patching</t>
  </si>
  <si>
    <t>Full ( HMA)</t>
  </si>
  <si>
    <t>Full (Composite)</t>
  </si>
  <si>
    <t>Type of full depth patching</t>
  </si>
  <si>
    <t>Composite</t>
  </si>
  <si>
    <t>Average depth of existing HMA pavement (in.)</t>
  </si>
  <si>
    <t>Average depth of existing concrete pavement (in.)</t>
  </si>
  <si>
    <t>Is a majority of the existing concrete pavement going to be replaced?</t>
  </si>
  <si>
    <t>Percentage of existing concrete pavement to be replaced</t>
  </si>
  <si>
    <t>Average Depth of Asphalt Pavement</t>
  </si>
  <si>
    <t>Average Depth of Concrete Pavement</t>
  </si>
  <si>
    <t>Average Depth of All Pavement</t>
  </si>
  <si>
    <t>Are there existing paved shoulders?</t>
  </si>
  <si>
    <t>If yes, is the shoulder material being placed the same as the mainline material being placed?</t>
  </si>
  <si>
    <t>(Inside Shoulders of Divided Highways)</t>
  </si>
  <si>
    <t>(Outside Shoulders of Any Roadway)</t>
  </si>
  <si>
    <r>
      <t xml:space="preserve">Will corrugations on </t>
    </r>
    <r>
      <rPr>
        <b/>
        <sz val="9"/>
        <rFont val="Tahoma"/>
        <family val="2"/>
      </rPr>
      <t>inside</t>
    </r>
    <r>
      <rPr>
        <sz val="9"/>
        <rFont val="Tahoma"/>
        <family val="2"/>
      </rPr>
      <t xml:space="preserve"> shoulders be within 1' of a pavement joint?</t>
    </r>
  </si>
  <si>
    <r>
      <t xml:space="preserve">Will corrugations on </t>
    </r>
    <r>
      <rPr>
        <b/>
        <sz val="9"/>
        <rFont val="Tahoma"/>
        <family val="2"/>
      </rPr>
      <t>outside</t>
    </r>
    <r>
      <rPr>
        <sz val="9"/>
        <rFont val="Tahoma"/>
        <family val="2"/>
      </rPr>
      <t xml:space="preserve"> shoulders be within 1' of a pavement joint?</t>
    </r>
  </si>
  <si>
    <r>
      <rPr>
        <u/>
        <sz val="9"/>
        <rFont val="Tahoma"/>
        <family val="2"/>
      </rPr>
      <t xml:space="preserve">Additional Instructions:
</t>
    </r>
    <r>
      <rPr>
        <sz val="9"/>
        <rFont val="Tahoma"/>
        <family val="2"/>
      </rPr>
      <t>-This table can have both PM &amp; Functional Treatments, as long as they are both HMA or SMA.
-The Joint Adhesive and Liquid Asphalt Sealant columns can be hidden if have something other than HMA or SMA.
-The main table can calculate tapers by entering in the station and widths at the beginning of the taper and at the end of the taper.
-If you have an abrupt change of widths at a single station, enter the station concurrently in the table.  This will not calculate any area values on the row of the 2nd similar station.  Where this happens, an "x" border can be used in this row, similar to what is shown on the first row of the table.
-If rows are inserted or deleted, it must be done so across the entire worksheet.  Equations for all tables must be copied into newly create rows and in the row immediately below the rows that are inserted or deleted, due to the nature of the equations.</t>
    </r>
  </si>
  <si>
    <t>- All stationing is approximate and shall be verified.
- PMM = Pavement Message Marking</t>
  </si>
  <si>
    <t>Stop Line, White,
24 in</t>
  </si>
  <si>
    <t>Crosswalk Line, White, 6 in</t>
  </si>
  <si>
    <t>Solid, Cross-hatch Line, Yellow, 12 in</t>
  </si>
  <si>
    <t>Solid, Cross-hatch Line, Yellow, 24 in</t>
  </si>
  <si>
    <t>Solid, Cross-hatch Line, White, 12 in</t>
  </si>
  <si>
    <t>Grooving for Pavement Markings</t>
  </si>
  <si>
    <t>If have CLRS and/or ELRS, hide column P (Grooving for Pavement Markings), since most places will have CLRS and/or ELRS instead of grooving.  This difference will be accounted for in the summary.</t>
  </si>
  <si>
    <t>808-12032</t>
  </si>
  <si>
    <t>GROOVING FOR PAVEMENT MARKINGS</t>
  </si>
  <si>
    <t>Curb Ramp, Concrete</t>
  </si>
  <si>
    <t>Detectable Warning Surfaces</t>
  </si>
  <si>
    <t>Detectable Warning Surfaces, Retrofit</t>
  </si>
  <si>
    <t>Sidewalk, Concrete</t>
  </si>
  <si>
    <t>Fill-in entire table to left.  See below for Add. Instructions.</t>
  </si>
  <si>
    <r>
      <rPr>
        <u/>
        <sz val="9"/>
        <rFont val="Tahoma"/>
        <family val="2"/>
      </rPr>
      <t>Additional Instructions:</t>
    </r>
    <r>
      <rPr>
        <sz val="9"/>
        <rFont val="Tahoma"/>
        <family val="2"/>
      </rPr>
      <t xml:space="preserve">
Hide the curb and sodding columns if not using.  If use these columns, need to scale to 0.85 when copying into MicroStation sheet.</t>
    </r>
  </si>
  <si>
    <t>604-08086</t>
  </si>
  <si>
    <t>CURB RAMP, CONCRETE</t>
  </si>
  <si>
    <t>DETECTABLE WARNING SURFACES</t>
  </si>
  <si>
    <t>DETECTABLE WARNING SURFACES, RETROFIT</t>
  </si>
  <si>
    <t>604-12083</t>
  </si>
  <si>
    <t>604-12084</t>
  </si>
  <si>
    <t>PARTIAL 3R QUANTITIES SPREADSHEET INSTRUCTIONS</t>
  </si>
  <si>
    <t>Mailbox Assembly, Single, Reset</t>
  </si>
  <si>
    <t>* Some of this quantity is undistributed.</t>
  </si>
</sst>
</file>

<file path=xl/styles.xml><?xml version="1.0" encoding="utf-8"?>
<styleSheet xmlns="http://schemas.openxmlformats.org/spreadsheetml/2006/main" xmlns:mc="http://schemas.openxmlformats.org/markup-compatibility/2006" xmlns:x14ac="http://schemas.microsoft.com/office/spreadsheetml/2009/9/ac" mc:Ignorable="x14ac">
  <numFmts count="36">
    <numFmt numFmtId="44" formatCode="_(&quot;$&quot;* #,##0.00_);_(&quot;$&quot;* \(#,##0.00\);_(&quot;$&quot;* &quot;-&quot;??_);_(@_)"/>
    <numFmt numFmtId="164" formatCode="0.0"/>
    <numFmt numFmtId="165" formatCode="###\+##"/>
    <numFmt numFmtId="166" formatCode="0\+00"/>
    <numFmt numFmtId="167" formatCode="0\+00.00"/>
    <numFmt numFmtId="168" formatCode="###\ &quot;#/sys&quot;"/>
    <numFmt numFmtId="169" formatCode="#&quot; #/sys&quot;"/>
    <numFmt numFmtId="170" formatCode="#&quot; tons &quot;"/>
    <numFmt numFmtId="171" formatCode="#&quot;''&quot;"/>
    <numFmt numFmtId="172" formatCode="#&quot; sys&quot;"/>
    <numFmt numFmtId="173" formatCode="#&quot; cys&quot;"/>
    <numFmt numFmtId="174" formatCode="0.#&quot; tons&quot;"/>
    <numFmt numFmtId="175" formatCode="#&quot; tons&quot;"/>
    <numFmt numFmtId="176" formatCode="#&quot; ea&quot;"/>
    <numFmt numFmtId="177" formatCode="#&quot; ea &quot;"/>
    <numFmt numFmtId="178" formatCode="0.0&quot;''&quot;"/>
    <numFmt numFmtId="179" formatCode="0.0&quot;'&quot;"/>
    <numFmt numFmtId="180" formatCode="0\+00.0"/>
    <numFmt numFmtId="181" formatCode="0&quot; #/sys&quot;"/>
    <numFmt numFmtId="182" formatCode="#.0&quot; in.&quot;"/>
    <numFmt numFmtId="183" formatCode="0\+00&quot; ''A''&quot;"/>
    <numFmt numFmtId="184" formatCode="0.0%"/>
    <numFmt numFmtId="185" formatCode="#&quot; in.&quot;"/>
    <numFmt numFmtId="186" formatCode="0\+00\ &quot;''A''&quot;"/>
    <numFmt numFmtId="187" formatCode="0.0&quot; sys&quot;"/>
    <numFmt numFmtId="188" formatCode="#&quot; in&quot;"/>
    <numFmt numFmtId="189" formatCode="0.000"/>
    <numFmt numFmtId="190" formatCode="0\+00&quot; ''AA''&quot;"/>
    <numFmt numFmtId="191" formatCode="#&quot; sys &quot;"/>
    <numFmt numFmtId="192" formatCode="#&quot; ft &quot;"/>
    <numFmt numFmtId="193" formatCode="#&quot; mph &quot;"/>
    <numFmt numFmtId="194" formatCode="0.0&quot; in.&quot;"/>
    <numFmt numFmtId="195" formatCode="0.0&quot;'' (avg)&quot;"/>
    <numFmt numFmtId="196" formatCode="0.0&quot; ft&quot;"/>
    <numFmt numFmtId="197" formatCode="0.0&quot; tons &quot;"/>
    <numFmt numFmtId="198" formatCode="#&quot; sys   &quot;"/>
  </numFmts>
  <fonts count="45" x14ac:knownFonts="1">
    <font>
      <sz val="10"/>
      <name val="Arial"/>
    </font>
    <font>
      <sz val="8"/>
      <name val="Arial"/>
      <family val="2"/>
    </font>
    <font>
      <sz val="10"/>
      <name val="Arial"/>
      <family val="2"/>
    </font>
    <font>
      <sz val="12"/>
      <name val="Arial"/>
      <family val="2"/>
    </font>
    <font>
      <b/>
      <sz val="10"/>
      <name val="Arial"/>
      <family val="2"/>
    </font>
    <font>
      <b/>
      <sz val="8"/>
      <color indexed="81"/>
      <name val="Tahoma"/>
      <family val="2"/>
    </font>
    <font>
      <sz val="8"/>
      <color indexed="81"/>
      <name val="Tahoma"/>
      <family val="2"/>
    </font>
    <font>
      <sz val="9"/>
      <name val="Arial"/>
      <family val="2"/>
    </font>
    <font>
      <sz val="8"/>
      <name val="Arial"/>
      <family val="2"/>
    </font>
    <font>
      <sz val="8"/>
      <color indexed="10"/>
      <name val="Arial"/>
      <family val="2"/>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10"/>
      <name val="Arial"/>
      <family val="2"/>
    </font>
    <font>
      <sz val="10"/>
      <name val="Tahoma"/>
      <family val="2"/>
    </font>
    <font>
      <b/>
      <sz val="12"/>
      <name val="Tahoma"/>
      <family val="2"/>
    </font>
    <font>
      <sz val="12"/>
      <name val="Tahoma"/>
      <family val="2"/>
    </font>
    <font>
      <sz val="9"/>
      <name val="Tahoma"/>
      <family val="2"/>
    </font>
    <font>
      <b/>
      <sz val="9"/>
      <name val="Tahoma"/>
      <family val="2"/>
    </font>
    <font>
      <sz val="9"/>
      <color indexed="10"/>
      <name val="Tahoma"/>
      <family val="2"/>
    </font>
    <font>
      <b/>
      <sz val="14"/>
      <name val="Tahoma"/>
      <family val="2"/>
    </font>
    <font>
      <sz val="14"/>
      <name val="Tahoma"/>
      <family val="2"/>
    </font>
    <font>
      <sz val="9"/>
      <color indexed="81"/>
      <name val="Tahoma"/>
      <family val="2"/>
    </font>
    <font>
      <b/>
      <sz val="9"/>
      <color indexed="81"/>
      <name val="Tahoma"/>
      <family val="2"/>
    </font>
    <font>
      <b/>
      <u/>
      <sz val="12"/>
      <name val="Tahoma"/>
      <family val="2"/>
    </font>
    <font>
      <sz val="6"/>
      <name val="Tahoma"/>
      <family val="2"/>
    </font>
    <font>
      <u/>
      <sz val="9"/>
      <name val="Tahoma"/>
      <family val="2"/>
    </font>
    <font>
      <b/>
      <u/>
      <sz val="9"/>
      <name val="Tahoma"/>
      <family val="2"/>
    </font>
    <font>
      <sz val="10"/>
      <name val="Mathcad UniMath"/>
      <family val="3"/>
    </font>
    <font>
      <vertAlign val="subscript"/>
      <sz val="9"/>
      <name val="Tahoma"/>
      <family val="2"/>
    </font>
    <font>
      <sz val="11"/>
      <color theme="1"/>
      <name val="Calibri"/>
      <family val="2"/>
      <scheme val="minor"/>
    </font>
  </fonts>
  <fills count="34">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10"/>
        <bgColor indexed="64"/>
      </patternFill>
    </fill>
    <fill>
      <patternFill patternType="solid">
        <fgColor indexed="13"/>
        <bgColor indexed="64"/>
      </patternFill>
    </fill>
    <fill>
      <patternFill patternType="solid">
        <fgColor indexed="11"/>
        <bgColor indexed="64"/>
      </patternFill>
    </fill>
    <fill>
      <patternFill patternType="solid">
        <fgColor indexed="22"/>
        <bgColor indexed="64"/>
      </patternFill>
    </fill>
    <fill>
      <patternFill patternType="solid">
        <fgColor rgb="FFFF0000"/>
        <bgColor indexed="64"/>
      </patternFill>
    </fill>
    <fill>
      <patternFill patternType="solid">
        <fgColor rgb="FFFFFF00"/>
        <bgColor indexed="64"/>
      </patternFill>
    </fill>
    <fill>
      <patternFill patternType="solid">
        <fgColor rgb="FFFFC000"/>
        <bgColor indexed="64"/>
      </patternFill>
    </fill>
    <fill>
      <patternFill patternType="solid">
        <fgColor rgb="FF00FF00"/>
        <bgColor indexed="64"/>
      </patternFill>
    </fill>
    <fill>
      <patternFill patternType="solid">
        <fgColor rgb="FF00B0F0"/>
        <bgColor indexed="64"/>
      </patternFill>
    </fill>
    <fill>
      <patternFill patternType="solid">
        <fgColor rgb="FF3FFA26"/>
        <bgColor indexed="64"/>
      </patternFill>
    </fill>
  </fills>
  <borders count="95">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medium">
        <color indexed="64"/>
      </left>
      <right style="thin">
        <color indexed="64"/>
      </right>
      <top/>
      <bottom/>
      <diagonal/>
    </border>
    <border>
      <left style="thin">
        <color indexed="64"/>
      </left>
      <right style="medium">
        <color indexed="64"/>
      </right>
      <top/>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diagonalUp="1" diagonalDown="1">
      <left style="medium">
        <color indexed="64"/>
      </left>
      <right style="thin">
        <color indexed="64"/>
      </right>
      <top/>
      <bottom style="thin">
        <color indexed="64"/>
      </bottom>
      <diagonal style="thin">
        <color indexed="64"/>
      </diagonal>
    </border>
    <border diagonalUp="1" diagonalDown="1">
      <left style="thin">
        <color indexed="64"/>
      </left>
      <right style="thin">
        <color indexed="64"/>
      </right>
      <top/>
      <bottom style="thin">
        <color indexed="64"/>
      </bottom>
      <diagonal style="thin">
        <color indexed="64"/>
      </diagonal>
    </border>
    <border diagonalUp="1" diagonalDown="1">
      <left style="thin">
        <color indexed="64"/>
      </left>
      <right style="medium">
        <color indexed="64"/>
      </right>
      <top/>
      <bottom style="thin">
        <color indexed="64"/>
      </bottom>
      <diagonal style="thin">
        <color indexed="64"/>
      </diagonal>
    </border>
    <border diagonalUp="1" diagonalDown="1">
      <left style="thin">
        <color indexed="64"/>
      </left>
      <right/>
      <top/>
      <bottom style="thin">
        <color indexed="64"/>
      </bottom>
      <diagonal style="thin">
        <color indexed="64"/>
      </diagonal>
    </border>
    <border>
      <left style="medium">
        <color indexed="64"/>
      </left>
      <right/>
      <top/>
      <bottom style="thin">
        <color indexed="64"/>
      </bottom>
      <diagonal/>
    </border>
    <border diagonalUp="1" diagonalDown="1">
      <left/>
      <right style="medium">
        <color indexed="64"/>
      </right>
      <top/>
      <bottom style="thin">
        <color indexed="64"/>
      </bottom>
      <diagonal style="thin">
        <color indexed="64"/>
      </diagonal>
    </border>
    <border>
      <left style="medium">
        <color indexed="64"/>
      </left>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right/>
      <top style="thin">
        <color indexed="64"/>
      </top>
      <bottom style="thin">
        <color indexed="64"/>
      </bottom>
      <diagonal/>
    </border>
    <border>
      <left style="thin">
        <color indexed="64"/>
      </left>
      <right style="medium">
        <color indexed="64"/>
      </right>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right/>
      <top style="medium">
        <color indexed="64"/>
      </top>
      <bottom/>
      <diagonal/>
    </border>
    <border>
      <left/>
      <right/>
      <top/>
      <bottom style="thin">
        <color indexed="64"/>
      </bottom>
      <diagonal/>
    </border>
    <border>
      <left style="medium">
        <color indexed="64"/>
      </left>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style="medium">
        <color indexed="64"/>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style="medium">
        <color indexed="64"/>
      </left>
      <right style="medium">
        <color indexed="64"/>
      </right>
      <top/>
      <bottom style="thin">
        <color indexed="64"/>
      </bottom>
      <diagonal/>
    </border>
    <border>
      <left style="thin">
        <color indexed="64"/>
      </left>
      <right style="medium">
        <color indexed="64"/>
      </right>
      <top style="thin">
        <color indexed="64"/>
      </top>
      <bottom/>
      <diagonal/>
    </border>
    <border>
      <left style="medium">
        <color indexed="64"/>
      </left>
      <right/>
      <top/>
      <bottom/>
      <diagonal/>
    </border>
    <border>
      <left style="medium">
        <color indexed="64"/>
      </left>
      <right style="medium">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diagonal/>
    </border>
    <border>
      <left style="medium">
        <color indexed="64"/>
      </left>
      <right style="medium">
        <color indexed="64"/>
      </right>
      <top style="medium">
        <color indexed="64"/>
      </top>
      <bottom/>
      <diagonal/>
    </border>
    <border>
      <left/>
      <right style="thin">
        <color indexed="64"/>
      </right>
      <top/>
      <bottom/>
      <diagonal/>
    </border>
    <border>
      <left style="thin">
        <color indexed="64"/>
      </left>
      <right/>
      <top/>
      <bottom/>
      <diagonal/>
    </border>
    <border>
      <left/>
      <right style="thin">
        <color indexed="64"/>
      </right>
      <top/>
      <bottom style="thin">
        <color indexed="64"/>
      </bottom>
      <diagonal/>
    </border>
    <border>
      <left style="thin">
        <color indexed="64"/>
      </left>
      <right style="thin">
        <color indexed="64"/>
      </right>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diagonal/>
    </border>
    <border>
      <left style="thin">
        <color indexed="64"/>
      </left>
      <right style="thin">
        <color indexed="64"/>
      </right>
      <top style="medium">
        <color indexed="64"/>
      </top>
      <bottom/>
      <diagonal/>
    </border>
    <border>
      <left style="medium">
        <color indexed="64"/>
      </left>
      <right style="thin">
        <color indexed="64"/>
      </right>
      <top style="medium">
        <color indexed="64"/>
      </top>
      <bottom/>
      <diagonal/>
    </border>
    <border>
      <left/>
      <right style="medium">
        <color indexed="64"/>
      </right>
      <top/>
      <bottom style="thin">
        <color indexed="64"/>
      </bottom>
      <diagonal/>
    </border>
    <border>
      <left style="thin">
        <color indexed="64"/>
      </left>
      <right/>
      <top style="thin">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style="thin">
        <color indexed="64"/>
      </right>
      <top style="medium">
        <color indexed="64"/>
      </top>
      <bottom/>
      <diagonal/>
    </border>
    <border>
      <left/>
      <right style="thin">
        <color indexed="64"/>
      </right>
      <top style="thin">
        <color indexed="64"/>
      </top>
      <bottom style="medium">
        <color indexed="64"/>
      </bottom>
      <diagonal/>
    </border>
    <border>
      <left style="thin">
        <color indexed="64"/>
      </left>
      <right/>
      <top style="medium">
        <color indexed="64"/>
      </top>
      <bottom/>
      <diagonal/>
    </border>
    <border>
      <left style="medium">
        <color indexed="64"/>
      </left>
      <right style="medium">
        <color indexed="64"/>
      </right>
      <top style="thin">
        <color indexed="64"/>
      </top>
      <bottom style="medium">
        <color indexed="64"/>
      </bottom>
      <diagonal/>
    </border>
    <border>
      <left style="medium">
        <color indexed="64"/>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right/>
      <top style="thin">
        <color indexed="64"/>
      </top>
      <bottom/>
      <diagonal/>
    </border>
    <border>
      <left/>
      <right style="thin">
        <color indexed="64"/>
      </right>
      <top style="thin">
        <color indexed="64"/>
      </top>
      <bottom/>
      <diagonal/>
    </border>
    <border>
      <left/>
      <right style="medium">
        <color indexed="64"/>
      </right>
      <top/>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thin">
        <color indexed="64"/>
      </bottom>
      <diagonal/>
    </border>
    <border>
      <left/>
      <right style="thin">
        <color indexed="64"/>
      </right>
      <top style="thin">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left/>
      <right style="medium">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diagonal/>
    </border>
    <border>
      <left style="medium">
        <color indexed="64"/>
      </left>
      <right/>
      <top style="thin">
        <color indexed="64"/>
      </top>
      <bottom/>
      <diagonal/>
    </border>
    <border>
      <left style="medium">
        <color indexed="64"/>
      </left>
      <right style="medium">
        <color indexed="64"/>
      </right>
      <top/>
      <bottom style="medium">
        <color indexed="64"/>
      </bottom>
      <diagonal/>
    </border>
    <border>
      <left/>
      <right style="medium">
        <color indexed="64"/>
      </right>
      <top style="medium">
        <color indexed="64"/>
      </top>
      <bottom/>
      <diagonal/>
    </border>
    <border>
      <left style="medium">
        <color indexed="64"/>
      </left>
      <right/>
      <top/>
      <bottom style="medium">
        <color indexed="64"/>
      </bottom>
      <diagonal/>
    </border>
    <border>
      <left style="medium">
        <color indexed="64"/>
      </left>
      <right style="medium">
        <color indexed="64"/>
      </right>
      <top/>
      <bottom/>
      <diagonal/>
    </border>
    <border>
      <left style="thin">
        <color indexed="64"/>
      </left>
      <right/>
      <top/>
      <bottom style="medium">
        <color indexed="64"/>
      </bottom>
      <diagonal/>
    </border>
    <border>
      <left/>
      <right style="thin">
        <color indexed="64"/>
      </right>
      <top/>
      <bottom style="medium">
        <color indexed="64"/>
      </bottom>
      <diagonal/>
    </border>
  </borders>
  <cellStyleXfs count="46">
    <xf numFmtId="0" fontId="0" fillId="0" borderId="0"/>
    <xf numFmtId="0" fontId="10" fillId="2" borderId="0" applyNumberFormat="0" applyBorder="0" applyAlignment="0" applyProtection="0"/>
    <xf numFmtId="0" fontId="10" fillId="3" borderId="0" applyNumberFormat="0" applyBorder="0" applyAlignment="0" applyProtection="0"/>
    <xf numFmtId="0" fontId="10" fillId="4" borderId="0" applyNumberFormat="0" applyBorder="0" applyAlignment="0" applyProtection="0"/>
    <xf numFmtId="0" fontId="10" fillId="5" borderId="0" applyNumberFormat="0" applyBorder="0" applyAlignment="0" applyProtection="0"/>
    <xf numFmtId="0" fontId="10" fillId="6" borderId="0" applyNumberFormat="0" applyBorder="0" applyAlignment="0" applyProtection="0"/>
    <xf numFmtId="0" fontId="10" fillId="7" borderId="0" applyNumberFormat="0" applyBorder="0" applyAlignment="0" applyProtection="0"/>
    <xf numFmtId="0" fontId="10" fillId="8" borderId="0" applyNumberFormat="0" applyBorder="0" applyAlignment="0" applyProtection="0"/>
    <xf numFmtId="0" fontId="10" fillId="9" borderId="0" applyNumberFormat="0" applyBorder="0" applyAlignment="0" applyProtection="0"/>
    <xf numFmtId="0" fontId="10" fillId="10" borderId="0" applyNumberFormat="0" applyBorder="0" applyAlignment="0" applyProtection="0"/>
    <xf numFmtId="0" fontId="10" fillId="5" borderId="0" applyNumberFormat="0" applyBorder="0" applyAlignment="0" applyProtection="0"/>
    <xf numFmtId="0" fontId="10" fillId="8" borderId="0" applyNumberFormat="0" applyBorder="0" applyAlignment="0" applyProtection="0"/>
    <xf numFmtId="0" fontId="10" fillId="11" borderId="0" applyNumberFormat="0" applyBorder="0" applyAlignment="0" applyProtection="0"/>
    <xf numFmtId="0" fontId="11" fillId="12" borderId="0" applyNumberFormat="0" applyBorder="0" applyAlignment="0" applyProtection="0"/>
    <xf numFmtId="0" fontId="11" fillId="9" borderId="0" applyNumberFormat="0" applyBorder="0" applyAlignment="0" applyProtection="0"/>
    <xf numFmtId="0" fontId="11" fillId="10"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5" borderId="0" applyNumberFormat="0" applyBorder="0" applyAlignment="0" applyProtection="0"/>
    <xf numFmtId="0" fontId="11" fillId="16" borderId="0" applyNumberFormat="0" applyBorder="0" applyAlignment="0" applyProtection="0"/>
    <xf numFmtId="0" fontId="11" fillId="17" borderId="0" applyNumberFormat="0" applyBorder="0" applyAlignment="0" applyProtection="0"/>
    <xf numFmtId="0" fontId="11" fillId="18" borderId="0" applyNumberFormat="0" applyBorder="0" applyAlignment="0" applyProtection="0"/>
    <xf numFmtId="0" fontId="11" fillId="13" borderId="0" applyNumberFormat="0" applyBorder="0" applyAlignment="0" applyProtection="0"/>
    <xf numFmtId="0" fontId="11" fillId="14" borderId="0" applyNumberFormat="0" applyBorder="0" applyAlignment="0" applyProtection="0"/>
    <xf numFmtId="0" fontId="11" fillId="19" borderId="0" applyNumberFormat="0" applyBorder="0" applyAlignment="0" applyProtection="0"/>
    <xf numFmtId="0" fontId="12" fillId="3" borderId="0" applyNumberFormat="0" applyBorder="0" applyAlignment="0" applyProtection="0"/>
    <xf numFmtId="0" fontId="13" fillId="20" borderId="1" applyNumberFormat="0" applyAlignment="0" applyProtection="0"/>
    <xf numFmtId="0" fontId="14" fillId="21" borderId="2" applyNumberFormat="0" applyAlignment="0" applyProtection="0"/>
    <xf numFmtId="44" fontId="27" fillId="0" borderId="0" applyFont="0" applyFill="0" applyBorder="0" applyAlignment="0" applyProtection="0"/>
    <xf numFmtId="0" fontId="15" fillId="0" borderId="0" applyNumberFormat="0" applyFill="0" applyBorder="0" applyAlignment="0" applyProtection="0"/>
    <xf numFmtId="0" fontId="16" fillId="4" borderId="0" applyNumberFormat="0" applyBorder="0" applyAlignment="0" applyProtection="0"/>
    <xf numFmtId="0" fontId="17" fillId="0" borderId="3" applyNumberFormat="0" applyFill="0" applyAlignment="0" applyProtection="0"/>
    <xf numFmtId="0" fontId="18" fillId="0" borderId="4" applyNumberFormat="0" applyFill="0" applyAlignment="0" applyProtection="0"/>
    <xf numFmtId="0" fontId="19" fillId="0" borderId="5" applyNumberFormat="0" applyFill="0" applyAlignment="0" applyProtection="0"/>
    <xf numFmtId="0" fontId="19" fillId="0" borderId="0" applyNumberFormat="0" applyFill="0" applyBorder="0" applyAlignment="0" applyProtection="0"/>
    <xf numFmtId="0" fontId="20" fillId="7" borderId="1" applyNumberFormat="0" applyAlignment="0" applyProtection="0"/>
    <xf numFmtId="0" fontId="21" fillId="0" borderId="6" applyNumberFormat="0" applyFill="0" applyAlignment="0" applyProtection="0"/>
    <xf numFmtId="0" fontId="22" fillId="22" borderId="0" applyNumberFormat="0" applyBorder="0" applyAlignment="0" applyProtection="0"/>
    <xf numFmtId="0" fontId="2" fillId="0" borderId="0"/>
    <xf numFmtId="0" fontId="44" fillId="0" borderId="0"/>
    <xf numFmtId="0" fontId="2" fillId="23" borderId="7" applyNumberFormat="0" applyFont="0" applyAlignment="0" applyProtection="0"/>
    <xf numFmtId="0" fontId="23" fillId="20" borderId="8" applyNumberFormat="0" applyAlignment="0" applyProtection="0"/>
    <xf numFmtId="9" fontId="27" fillId="0" borderId="0" applyFont="0" applyFill="0" applyBorder="0" applyAlignment="0" applyProtection="0"/>
    <xf numFmtId="0" fontId="24" fillId="0" borderId="0" applyNumberFormat="0" applyFill="0" applyBorder="0" applyAlignment="0" applyProtection="0"/>
    <xf numFmtId="0" fontId="25" fillId="0" borderId="9" applyNumberFormat="0" applyFill="0" applyAlignment="0" applyProtection="0"/>
    <xf numFmtId="0" fontId="26" fillId="0" borderId="0" applyNumberFormat="0" applyFill="0" applyBorder="0" applyAlignment="0" applyProtection="0"/>
  </cellStyleXfs>
  <cellXfs count="1637">
    <xf numFmtId="0" fontId="0" fillId="0" borderId="0" xfId="0"/>
    <xf numFmtId="0" fontId="3" fillId="0" borderId="0" xfId="0" applyFont="1"/>
    <xf numFmtId="0" fontId="0" fillId="0" borderId="0" xfId="0" applyAlignment="1">
      <alignment horizontal="center"/>
    </xf>
    <xf numFmtId="0" fontId="0" fillId="0" borderId="0" xfId="0" applyAlignment="1">
      <alignment horizontal="center" vertical="center"/>
    </xf>
    <xf numFmtId="0" fontId="0" fillId="0" borderId="0" xfId="0" applyAlignment="1">
      <alignment vertical="center"/>
    </xf>
    <xf numFmtId="0" fontId="2" fillId="0" borderId="0" xfId="0" applyFont="1" applyAlignment="1">
      <alignment vertical="center"/>
    </xf>
    <xf numFmtId="0" fontId="2" fillId="0" borderId="0" xfId="0" applyFont="1" applyBorder="1" applyAlignment="1">
      <alignment vertical="center"/>
    </xf>
    <xf numFmtId="0" fontId="0" fillId="0" borderId="0" xfId="0" applyAlignment="1">
      <alignment vertical="distributed"/>
    </xf>
    <xf numFmtId="0" fontId="0" fillId="0" borderId="0" xfId="0" applyAlignment="1"/>
    <xf numFmtId="0" fontId="3" fillId="0" borderId="0" xfId="0" applyFont="1" applyAlignment="1">
      <alignment horizontal="center"/>
    </xf>
    <xf numFmtId="0" fontId="0" fillId="0" borderId="0" xfId="0" applyAlignment="1">
      <alignment horizontal="left" vertical="center"/>
    </xf>
    <xf numFmtId="0" fontId="0" fillId="0" borderId="0" xfId="0" applyAlignment="1">
      <alignment vertical="center" wrapText="1"/>
    </xf>
    <xf numFmtId="0" fontId="0" fillId="0" borderId="0" xfId="0" applyBorder="1"/>
    <xf numFmtId="0" fontId="8" fillId="0" borderId="0" xfId="0" applyFont="1" applyBorder="1" applyAlignment="1">
      <alignment horizontal="center" vertical="center"/>
    </xf>
    <xf numFmtId="164" fontId="8" fillId="0" borderId="0" xfId="0" applyNumberFormat="1" applyFont="1" applyBorder="1" applyAlignment="1">
      <alignment horizontal="center" vertical="center"/>
    </xf>
    <xf numFmtId="0" fontId="9" fillId="0" borderId="0" xfId="0" applyFont="1" applyBorder="1" applyAlignment="1">
      <alignment horizontal="center" vertical="center"/>
    </xf>
    <xf numFmtId="0" fontId="2" fillId="0" borderId="0" xfId="38"/>
    <xf numFmtId="0" fontId="2" fillId="0" borderId="0" xfId="38" applyAlignment="1"/>
    <xf numFmtId="0" fontId="2" fillId="0" borderId="0" xfId="38" applyAlignment="1">
      <alignment vertical="distributed"/>
    </xf>
    <xf numFmtId="0" fontId="3" fillId="0" borderId="0" xfId="38" applyFont="1"/>
    <xf numFmtId="0" fontId="28" fillId="0" borderId="0" xfId="0" applyFont="1"/>
    <xf numFmtId="0" fontId="31" fillId="24" borderId="10" xfId="0" applyFont="1" applyFill="1" applyBorder="1" applyAlignment="1">
      <alignment horizontal="center" vertical="center"/>
    </xf>
    <xf numFmtId="0" fontId="31" fillId="24" borderId="11" xfId="0" applyFont="1" applyFill="1" applyBorder="1" applyAlignment="1">
      <alignment horizontal="center" vertical="center"/>
    </xf>
    <xf numFmtId="0" fontId="31" fillId="0" borderId="12" xfId="0" applyFont="1" applyBorder="1" applyAlignment="1">
      <alignment horizontal="center" vertical="center"/>
    </xf>
    <xf numFmtId="0" fontId="31" fillId="0" borderId="13" xfId="0" applyFont="1" applyBorder="1" applyAlignment="1">
      <alignment horizontal="center" vertical="center"/>
    </xf>
    <xf numFmtId="0" fontId="31" fillId="0" borderId="14" xfId="0" applyFont="1" applyBorder="1" applyAlignment="1">
      <alignment horizontal="center" vertical="center"/>
    </xf>
    <xf numFmtId="0" fontId="28" fillId="0" borderId="0" xfId="0" applyFont="1" applyFill="1" applyAlignment="1">
      <alignment horizontal="center" vertical="center"/>
    </xf>
    <xf numFmtId="0" fontId="7" fillId="0" borderId="0" xfId="0" applyFont="1"/>
    <xf numFmtId="0" fontId="31" fillId="0" borderId="0" xfId="0" applyFont="1" applyAlignment="1">
      <alignment horizontal="left" vertical="center" wrapText="1"/>
    </xf>
    <xf numFmtId="0" fontId="31" fillId="0" borderId="0" xfId="0" applyFont="1" applyAlignment="1"/>
    <xf numFmtId="0" fontId="31" fillId="0" borderId="0" xfId="0" applyFont="1"/>
    <xf numFmtId="0" fontId="31" fillId="0" borderId="0" xfId="0" applyFont="1" applyBorder="1" applyAlignment="1">
      <alignment horizontal="center" vertical="center"/>
    </xf>
    <xf numFmtId="0" fontId="32" fillId="0" borderId="0" xfId="0" applyFont="1" applyFill="1" applyAlignment="1">
      <alignment horizontal="center" vertical="center"/>
    </xf>
    <xf numFmtId="0" fontId="31" fillId="0" borderId="0" xfId="0" applyFont="1" applyBorder="1" applyAlignment="1">
      <alignment vertical="center"/>
    </xf>
    <xf numFmtId="0" fontId="31" fillId="0" borderId="15" xfId="0" applyFont="1" applyBorder="1" applyAlignment="1">
      <alignment horizontal="center" vertical="center"/>
    </xf>
    <xf numFmtId="0" fontId="31" fillId="0" borderId="16" xfId="0" applyFont="1" applyBorder="1" applyAlignment="1">
      <alignment horizontal="center" vertical="center"/>
    </xf>
    <xf numFmtId="0" fontId="31" fillId="0" borderId="0" xfId="0" applyFont="1" applyBorder="1" applyAlignment="1">
      <alignment horizontal="left" vertical="center"/>
    </xf>
    <xf numFmtId="182" fontId="31" fillId="0" borderId="12" xfId="0" applyNumberFormat="1" applyFont="1" applyBorder="1" applyAlignment="1">
      <alignment horizontal="center" vertical="center"/>
    </xf>
    <xf numFmtId="182" fontId="31" fillId="0" borderId="13" xfId="0" applyNumberFormat="1" applyFont="1" applyBorder="1" applyAlignment="1">
      <alignment horizontal="center" vertical="center"/>
    </xf>
    <xf numFmtId="182" fontId="31" fillId="0" borderId="14" xfId="0" applyNumberFormat="1" applyFont="1" applyBorder="1" applyAlignment="1">
      <alignment horizontal="center" vertical="center"/>
    </xf>
    <xf numFmtId="0" fontId="31" fillId="0" borderId="0" xfId="0" applyFont="1" applyFill="1" applyBorder="1" applyAlignment="1">
      <alignment horizontal="center" vertical="center"/>
    </xf>
    <xf numFmtId="0" fontId="31" fillId="28" borderId="12" xfId="0" applyFont="1" applyFill="1" applyBorder="1" applyAlignment="1">
      <alignment horizontal="center" vertical="center"/>
    </xf>
    <xf numFmtId="0" fontId="31" fillId="28" borderId="13" xfId="0" applyFont="1" applyFill="1" applyBorder="1" applyAlignment="1">
      <alignment horizontal="center" vertical="center"/>
    </xf>
    <xf numFmtId="0" fontId="31" fillId="28" borderId="14" xfId="0" applyFont="1" applyFill="1" applyBorder="1" applyAlignment="1">
      <alignment horizontal="center" vertical="center"/>
    </xf>
    <xf numFmtId="164" fontId="31" fillId="0" borderId="17" xfId="0" applyNumberFormat="1" applyFont="1" applyBorder="1" applyAlignment="1">
      <alignment horizontal="center" vertical="center"/>
    </xf>
    <xf numFmtId="164" fontId="31" fillId="0" borderId="18" xfId="0" applyNumberFormat="1" applyFont="1" applyBorder="1" applyAlignment="1">
      <alignment horizontal="center" vertical="center"/>
    </xf>
    <xf numFmtId="164" fontId="31" fillId="0" borderId="19" xfId="0" applyNumberFormat="1" applyFont="1" applyBorder="1" applyAlignment="1">
      <alignment horizontal="center" vertical="center"/>
    </xf>
    <xf numFmtId="0" fontId="31" fillId="0" borderId="20" xfId="0" applyFont="1" applyBorder="1" applyAlignment="1">
      <alignment horizontal="center" vertical="center"/>
    </xf>
    <xf numFmtId="0" fontId="31" fillId="0" borderId="21" xfId="0" applyFont="1" applyBorder="1" applyAlignment="1">
      <alignment horizontal="center" vertical="center"/>
    </xf>
    <xf numFmtId="0" fontId="31" fillId="0" borderId="22" xfId="0" applyFont="1" applyBorder="1" applyAlignment="1">
      <alignment horizontal="center" vertical="center"/>
    </xf>
    <xf numFmtId="0" fontId="31" fillId="0" borderId="23" xfId="0" applyFont="1" applyBorder="1" applyAlignment="1">
      <alignment horizontal="center" vertical="center"/>
    </xf>
    <xf numFmtId="183" fontId="31" fillId="28" borderId="24" xfId="0" applyNumberFormat="1" applyFont="1" applyFill="1" applyBorder="1" applyAlignment="1">
      <alignment horizontal="center" vertical="center"/>
    </xf>
    <xf numFmtId="0" fontId="31" fillId="29" borderId="17" xfId="0" applyFont="1" applyFill="1" applyBorder="1" applyAlignment="1">
      <alignment horizontal="center" vertical="center"/>
    </xf>
    <xf numFmtId="0" fontId="31" fillId="28" borderId="22" xfId="0" applyFont="1" applyFill="1" applyBorder="1" applyAlignment="1">
      <alignment horizontal="center" vertical="center"/>
    </xf>
    <xf numFmtId="0" fontId="31" fillId="28" borderId="17" xfId="0" applyFont="1" applyFill="1" applyBorder="1" applyAlignment="1">
      <alignment horizontal="center" vertical="center"/>
    </xf>
    <xf numFmtId="0" fontId="31" fillId="28" borderId="25" xfId="0" applyFont="1" applyFill="1" applyBorder="1" applyAlignment="1">
      <alignment horizontal="center" vertical="center"/>
    </xf>
    <xf numFmtId="183" fontId="31" fillId="0" borderId="26" xfId="0" applyNumberFormat="1" applyFont="1" applyBorder="1" applyAlignment="1">
      <alignment horizontal="center" vertical="center"/>
    </xf>
    <xf numFmtId="164" fontId="31" fillId="0" borderId="15" xfId="0" applyNumberFormat="1" applyFont="1" applyBorder="1" applyAlignment="1">
      <alignment horizontal="center" vertical="center"/>
    </xf>
    <xf numFmtId="164" fontId="31" fillId="0" borderId="16" xfId="0" applyNumberFormat="1" applyFont="1" applyBorder="1" applyAlignment="1">
      <alignment horizontal="center" vertical="center"/>
    </xf>
    <xf numFmtId="164" fontId="31" fillId="0" borderId="27" xfId="0" applyNumberFormat="1" applyFont="1" applyBorder="1" applyAlignment="1">
      <alignment horizontal="center" vertical="center"/>
    </xf>
    <xf numFmtId="164" fontId="31" fillId="0" borderId="28" xfId="0" applyNumberFormat="1" applyFont="1" applyBorder="1" applyAlignment="1">
      <alignment horizontal="center" vertical="center"/>
    </xf>
    <xf numFmtId="164" fontId="31" fillId="0" borderId="29" xfId="0" applyNumberFormat="1" applyFont="1" applyBorder="1" applyAlignment="1">
      <alignment horizontal="center" vertical="center"/>
    </xf>
    <xf numFmtId="1" fontId="31" fillId="0" borderId="15" xfId="0" applyNumberFormat="1" applyFont="1" applyBorder="1" applyAlignment="1">
      <alignment horizontal="center" vertical="center"/>
    </xf>
    <xf numFmtId="1" fontId="31" fillId="0" borderId="16" xfId="0" applyNumberFormat="1" applyFont="1" applyBorder="1" applyAlignment="1">
      <alignment horizontal="center" vertical="center"/>
    </xf>
    <xf numFmtId="1" fontId="31" fillId="0" borderId="28" xfId="0" applyNumberFormat="1" applyFont="1" applyBorder="1" applyAlignment="1">
      <alignment horizontal="center" vertical="center"/>
    </xf>
    <xf numFmtId="1" fontId="31" fillId="0" borderId="27" xfId="0" applyNumberFormat="1" applyFont="1" applyBorder="1" applyAlignment="1">
      <alignment horizontal="center" vertical="center"/>
    </xf>
    <xf numFmtId="0" fontId="31" fillId="25" borderId="18" xfId="0" applyFont="1" applyFill="1" applyBorder="1" applyAlignment="1">
      <alignment horizontal="center" vertical="center"/>
    </xf>
    <xf numFmtId="0" fontId="31" fillId="25" borderId="30" xfId="0" applyFont="1" applyFill="1" applyBorder="1" applyAlignment="1">
      <alignment horizontal="center" vertical="center"/>
    </xf>
    <xf numFmtId="183" fontId="31" fillId="28" borderId="26" xfId="0" applyNumberFormat="1" applyFont="1" applyFill="1" applyBorder="1" applyAlignment="1">
      <alignment horizontal="center" vertical="center"/>
    </xf>
    <xf numFmtId="0" fontId="31" fillId="29" borderId="15" xfId="0" applyFont="1" applyFill="1" applyBorder="1" applyAlignment="1">
      <alignment horizontal="center" vertical="center"/>
    </xf>
    <xf numFmtId="0" fontId="31" fillId="28" borderId="28" xfId="0" applyFont="1" applyFill="1" applyBorder="1" applyAlignment="1">
      <alignment horizontal="center" vertical="center"/>
    </xf>
    <xf numFmtId="0" fontId="31" fillId="28" borderId="15" xfId="0" applyFont="1" applyFill="1" applyBorder="1" applyAlignment="1">
      <alignment horizontal="center" vertical="center"/>
    </xf>
    <xf numFmtId="0" fontId="31" fillId="28" borderId="16" xfId="0" applyFont="1" applyFill="1" applyBorder="1" applyAlignment="1">
      <alignment horizontal="center" vertical="center"/>
    </xf>
    <xf numFmtId="0" fontId="31" fillId="28" borderId="31" xfId="0" applyFont="1" applyFill="1" applyBorder="1" applyAlignment="1">
      <alignment horizontal="center" vertical="center"/>
    </xf>
    <xf numFmtId="0" fontId="31" fillId="25" borderId="16" xfId="0" applyFont="1" applyFill="1" applyBorder="1" applyAlignment="1">
      <alignment horizontal="center" vertical="center"/>
    </xf>
    <xf numFmtId="0" fontId="31" fillId="25" borderId="28" xfId="0" applyFont="1" applyFill="1" applyBorder="1" applyAlignment="1">
      <alignment horizontal="center" vertical="center"/>
    </xf>
    <xf numFmtId="164" fontId="31" fillId="0" borderId="27" xfId="0" applyNumberFormat="1" applyFont="1" applyFill="1" applyBorder="1" applyAlignment="1">
      <alignment horizontal="center" vertical="center"/>
    </xf>
    <xf numFmtId="183" fontId="31" fillId="0" borderId="26" xfId="0" applyNumberFormat="1" applyFont="1" applyFill="1" applyBorder="1" applyAlignment="1">
      <alignment horizontal="center" vertical="center"/>
    </xf>
    <xf numFmtId="164" fontId="31" fillId="0" borderId="15" xfId="0" applyNumberFormat="1" applyFont="1" applyFill="1" applyBorder="1" applyAlignment="1">
      <alignment horizontal="center" vertical="center"/>
    </xf>
    <xf numFmtId="164" fontId="31" fillId="0" borderId="16" xfId="0" applyNumberFormat="1" applyFont="1" applyFill="1" applyBorder="1" applyAlignment="1">
      <alignment horizontal="center" vertical="center"/>
    </xf>
    <xf numFmtId="0" fontId="31" fillId="29" borderId="32" xfId="0" applyFont="1" applyFill="1" applyBorder="1" applyAlignment="1">
      <alignment horizontal="center" vertical="center"/>
    </xf>
    <xf numFmtId="0" fontId="31" fillId="28" borderId="33" xfId="0" applyFont="1" applyFill="1" applyBorder="1" applyAlignment="1">
      <alignment horizontal="center" vertical="center"/>
    </xf>
    <xf numFmtId="0" fontId="31" fillId="0" borderId="0" xfId="0" applyFont="1" applyAlignment="1">
      <alignment horizontal="center" vertical="center"/>
    </xf>
    <xf numFmtId="0" fontId="32" fillId="0" borderId="0" xfId="0" applyFont="1" applyAlignment="1">
      <alignment horizontal="center" vertical="center"/>
    </xf>
    <xf numFmtId="183" fontId="31" fillId="0" borderId="34" xfId="0" applyNumberFormat="1" applyFont="1" applyFill="1" applyBorder="1" applyAlignment="1">
      <alignment horizontal="center" vertical="center"/>
    </xf>
    <xf numFmtId="0" fontId="31" fillId="0" borderId="34" xfId="0" applyFont="1" applyFill="1" applyBorder="1" applyAlignment="1">
      <alignment horizontal="center" vertical="center"/>
    </xf>
    <xf numFmtId="0" fontId="31" fillId="0" borderId="0" xfId="0" applyFont="1" applyAlignment="1">
      <alignment horizontal="left" vertical="center"/>
    </xf>
    <xf numFmtId="1" fontId="32" fillId="0" borderId="0" xfId="0" applyNumberFormat="1" applyFont="1" applyAlignment="1">
      <alignment horizontal="center" vertical="center"/>
    </xf>
    <xf numFmtId="0" fontId="32" fillId="24" borderId="0" xfId="0" applyFont="1" applyFill="1" applyAlignment="1">
      <alignment horizontal="center" vertical="center"/>
    </xf>
    <xf numFmtId="183" fontId="31" fillId="0" borderId="0" xfId="0" applyNumberFormat="1" applyFont="1" applyFill="1" applyBorder="1" applyAlignment="1">
      <alignment horizontal="center" vertical="center"/>
    </xf>
    <xf numFmtId="0" fontId="31" fillId="24" borderId="0" xfId="0" applyFont="1" applyFill="1" applyAlignment="1">
      <alignment horizontal="center" vertical="center"/>
    </xf>
    <xf numFmtId="0" fontId="31" fillId="0" borderId="0" xfId="0" applyFont="1" applyFill="1" applyAlignment="1">
      <alignment horizontal="center" vertical="center"/>
    </xf>
    <xf numFmtId="0" fontId="31" fillId="0" borderId="0" xfId="0" applyNumberFormat="1" applyFont="1" applyAlignment="1">
      <alignment horizontal="left" vertical="center"/>
    </xf>
    <xf numFmtId="0" fontId="31" fillId="0" borderId="0" xfId="0" applyNumberFormat="1" applyFont="1"/>
    <xf numFmtId="0" fontId="31" fillId="0" borderId="0" xfId="0" applyNumberFormat="1" applyFont="1" applyAlignment="1">
      <alignment horizontal="right" vertical="center"/>
    </xf>
    <xf numFmtId="0" fontId="33" fillId="0" borderId="0" xfId="0" applyFont="1" applyAlignment="1">
      <alignment vertical="center"/>
    </xf>
    <xf numFmtId="0" fontId="31" fillId="0" borderId="15" xfId="0" applyNumberFormat="1" applyFont="1" applyBorder="1" applyAlignment="1">
      <alignment horizontal="center" vertical="center"/>
    </xf>
    <xf numFmtId="0" fontId="31" fillId="0" borderId="28" xfId="0" applyNumberFormat="1" applyFont="1" applyBorder="1" applyAlignment="1">
      <alignment horizontal="center" vertical="center"/>
    </xf>
    <xf numFmtId="0" fontId="31" fillId="0" borderId="16" xfId="0" applyNumberFormat="1" applyFont="1" applyBorder="1" applyAlignment="1">
      <alignment horizontal="center" vertical="center"/>
    </xf>
    <xf numFmtId="0" fontId="31" fillId="0" borderId="0" xfId="0" applyFont="1" applyFill="1" applyAlignment="1">
      <alignment horizontal="right" vertical="center"/>
    </xf>
    <xf numFmtId="0" fontId="31" fillId="25" borderId="35" xfId="0" applyFont="1" applyFill="1" applyBorder="1" applyAlignment="1">
      <alignment horizontal="center" vertical="center"/>
    </xf>
    <xf numFmtId="0" fontId="31" fillId="0" borderId="0" xfId="0" applyFont="1" applyAlignment="1">
      <alignment vertical="center"/>
    </xf>
    <xf numFmtId="0" fontId="31" fillId="0" borderId="0" xfId="0" applyNumberFormat="1" applyFont="1" applyAlignment="1">
      <alignment horizontal="center" vertical="center"/>
    </xf>
    <xf numFmtId="0" fontId="31" fillId="0" borderId="36" xfId="0" applyFont="1" applyBorder="1" applyAlignment="1">
      <alignment horizontal="center" vertical="center"/>
    </xf>
    <xf numFmtId="1" fontId="32" fillId="0" borderId="37" xfId="0" applyNumberFormat="1" applyFont="1" applyBorder="1" applyAlignment="1">
      <alignment horizontal="center" vertical="center"/>
    </xf>
    <xf numFmtId="1" fontId="32" fillId="0" borderId="38" xfId="0" applyNumberFormat="1" applyFont="1" applyBorder="1" applyAlignment="1">
      <alignment horizontal="center" vertical="center"/>
    </xf>
    <xf numFmtId="1" fontId="32" fillId="0" borderId="39" xfId="0" applyNumberFormat="1" applyFont="1" applyBorder="1" applyAlignment="1">
      <alignment horizontal="center" vertical="center"/>
    </xf>
    <xf numFmtId="1" fontId="32" fillId="0" borderId="40" xfId="0" applyNumberFormat="1" applyFont="1" applyBorder="1" applyAlignment="1">
      <alignment horizontal="center" vertical="center"/>
    </xf>
    <xf numFmtId="1" fontId="32" fillId="0" borderId="41" xfId="0" applyNumberFormat="1" applyFont="1" applyBorder="1" applyAlignment="1">
      <alignment horizontal="center" vertical="center"/>
    </xf>
    <xf numFmtId="1" fontId="32" fillId="0" borderId="42" xfId="0" applyNumberFormat="1" applyFont="1" applyBorder="1" applyAlignment="1">
      <alignment horizontal="center" vertical="center"/>
    </xf>
    <xf numFmtId="0" fontId="7" fillId="0" borderId="0" xfId="0" applyNumberFormat="1" applyFont="1" applyAlignment="1">
      <alignment horizontal="center" vertical="center"/>
    </xf>
    <xf numFmtId="0" fontId="7" fillId="0" borderId="0" xfId="0" applyNumberFormat="1" applyFont="1" applyAlignment="1">
      <alignment horizontal="right" vertical="center"/>
    </xf>
    <xf numFmtId="0" fontId="7" fillId="0" borderId="0" xfId="0" applyNumberFormat="1" applyFont="1"/>
    <xf numFmtId="0" fontId="7" fillId="0" borderId="0" xfId="0" applyFont="1" applyAlignment="1">
      <alignment horizontal="center" vertical="center"/>
    </xf>
    <xf numFmtId="0" fontId="7" fillId="0" borderId="0" xfId="0" applyFont="1" applyFill="1" applyAlignment="1">
      <alignment horizontal="center" vertical="center"/>
    </xf>
    <xf numFmtId="0" fontId="31" fillId="25" borderId="35" xfId="0" applyFont="1" applyFill="1" applyBorder="1" applyAlignment="1">
      <alignment horizontal="center"/>
    </xf>
    <xf numFmtId="0" fontId="31" fillId="28" borderId="0" xfId="0" applyFont="1" applyFill="1" applyAlignment="1">
      <alignment horizontal="center" vertical="center"/>
    </xf>
    <xf numFmtId="0" fontId="31" fillId="0" borderId="34" xfId="0" applyFont="1" applyBorder="1"/>
    <xf numFmtId="0" fontId="31" fillId="0" borderId="34" xfId="0" applyFont="1" applyBorder="1" applyAlignment="1">
      <alignment horizontal="center" vertical="center"/>
    </xf>
    <xf numFmtId="0" fontId="32" fillId="0" borderId="34" xfId="0" applyFont="1" applyBorder="1" applyAlignment="1">
      <alignment horizontal="center" vertical="center"/>
    </xf>
    <xf numFmtId="1" fontId="31" fillId="0" borderId="34" xfId="0" applyNumberFormat="1" applyFont="1" applyBorder="1" applyAlignment="1">
      <alignment horizontal="center" vertical="center"/>
    </xf>
    <xf numFmtId="183" fontId="31" fillId="0" borderId="43" xfId="0" applyNumberFormat="1" applyFont="1" applyBorder="1" applyAlignment="1">
      <alignment horizontal="center" vertical="center"/>
    </xf>
    <xf numFmtId="164" fontId="31" fillId="0" borderId="30" xfId="0" applyNumberFormat="1" applyFont="1" applyBorder="1" applyAlignment="1">
      <alignment horizontal="center" vertical="center"/>
    </xf>
    <xf numFmtId="164" fontId="31" fillId="0" borderId="43" xfId="0" applyNumberFormat="1" applyFont="1" applyBorder="1" applyAlignment="1">
      <alignment horizontal="center" vertical="center"/>
    </xf>
    <xf numFmtId="168" fontId="31" fillId="0" borderId="32" xfId="0" applyNumberFormat="1" applyFont="1" applyBorder="1" applyAlignment="1">
      <alignment horizontal="center" vertical="center"/>
    </xf>
    <xf numFmtId="168" fontId="31" fillId="0" borderId="44" xfId="0" applyNumberFormat="1" applyFont="1" applyBorder="1" applyAlignment="1">
      <alignment horizontal="center" vertical="center"/>
    </xf>
    <xf numFmtId="0" fontId="31" fillId="0" borderId="0" xfId="0" applyFont="1" applyFill="1" applyAlignment="1">
      <alignment horizontal="left" vertical="center" wrapText="1"/>
    </xf>
    <xf numFmtId="0" fontId="31" fillId="0" borderId="0" xfId="0" applyFont="1" applyFill="1" applyAlignment="1">
      <alignment horizontal="left" vertical="center"/>
    </xf>
    <xf numFmtId="0" fontId="32" fillId="0" borderId="0" xfId="0" applyFont="1" applyFill="1" applyAlignment="1">
      <alignment horizontal="right" vertical="center"/>
    </xf>
    <xf numFmtId="1" fontId="31" fillId="30" borderId="16" xfId="0" applyNumberFormat="1" applyFont="1" applyFill="1" applyBorder="1" applyAlignment="1">
      <alignment horizontal="center" vertical="center"/>
    </xf>
    <xf numFmtId="0" fontId="31" fillId="25" borderId="29" xfId="0" applyFont="1" applyFill="1" applyBorder="1" applyAlignment="1">
      <alignment horizontal="center" vertical="center"/>
    </xf>
    <xf numFmtId="0" fontId="31" fillId="26" borderId="0" xfId="0" applyFont="1" applyFill="1" applyAlignment="1">
      <alignment horizontal="left" vertical="center"/>
    </xf>
    <xf numFmtId="0" fontId="31" fillId="0" borderId="32" xfId="0" applyFont="1" applyBorder="1" applyAlignment="1">
      <alignment horizontal="center" vertical="center"/>
    </xf>
    <xf numFmtId="0" fontId="31" fillId="0" borderId="40" xfId="0" applyFont="1" applyBorder="1" applyAlignment="1">
      <alignment horizontal="center" vertical="center"/>
    </xf>
    <xf numFmtId="0" fontId="31" fillId="0" borderId="45" xfId="0" applyFont="1" applyBorder="1" applyAlignment="1">
      <alignment horizontal="center"/>
    </xf>
    <xf numFmtId="1" fontId="31" fillId="0" borderId="15" xfId="0" applyNumberFormat="1" applyFont="1" applyFill="1" applyBorder="1" applyAlignment="1">
      <alignment horizontal="center" vertical="center"/>
    </xf>
    <xf numFmtId="1" fontId="31" fillId="0" borderId="16" xfId="0" applyNumberFormat="1" applyFont="1" applyFill="1" applyBorder="1" applyAlignment="1">
      <alignment horizontal="center" vertical="center"/>
    </xf>
    <xf numFmtId="0" fontId="31" fillId="0" borderId="13" xfId="0" applyFont="1" applyFill="1" applyBorder="1" applyAlignment="1">
      <alignment horizontal="center" vertical="center"/>
    </xf>
    <xf numFmtId="0" fontId="31" fillId="0" borderId="15" xfId="0" applyNumberFormat="1" applyFont="1" applyFill="1" applyBorder="1" applyAlignment="1">
      <alignment horizontal="center" vertical="center"/>
    </xf>
    <xf numFmtId="168" fontId="31" fillId="0" borderId="32" xfId="0" applyNumberFormat="1" applyFont="1" applyFill="1" applyBorder="1" applyAlignment="1">
      <alignment horizontal="center" vertical="center"/>
    </xf>
    <xf numFmtId="1" fontId="32" fillId="0" borderId="37" xfId="0" applyNumberFormat="1" applyFont="1" applyFill="1" applyBorder="1" applyAlignment="1">
      <alignment horizontal="center" vertical="center"/>
    </xf>
    <xf numFmtId="1" fontId="32" fillId="0" borderId="38" xfId="0" applyNumberFormat="1" applyFont="1" applyFill="1" applyBorder="1" applyAlignment="1">
      <alignment horizontal="center" vertical="center"/>
    </xf>
    <xf numFmtId="164" fontId="32" fillId="0" borderId="46" xfId="0" applyNumberFormat="1" applyFont="1" applyFill="1" applyBorder="1" applyAlignment="1">
      <alignment horizontal="center" vertical="center"/>
    </xf>
    <xf numFmtId="0" fontId="31" fillId="28" borderId="28" xfId="0" applyFont="1" applyFill="1" applyBorder="1" applyAlignment="1">
      <alignment horizontal="center" vertical="center"/>
    </xf>
    <xf numFmtId="1" fontId="32" fillId="0" borderId="47" xfId="0" applyNumberFormat="1" applyFont="1" applyFill="1" applyBorder="1" applyAlignment="1">
      <alignment horizontal="center" vertical="center"/>
    </xf>
    <xf numFmtId="1" fontId="32" fillId="0" borderId="14" xfId="0" applyNumberFormat="1" applyFont="1" applyFill="1" applyBorder="1" applyAlignment="1">
      <alignment horizontal="center" vertical="center"/>
    </xf>
    <xf numFmtId="0" fontId="31" fillId="0" borderId="33" xfId="0" applyFont="1" applyBorder="1" applyAlignment="1">
      <alignment horizontal="center" vertical="center"/>
    </xf>
    <xf numFmtId="0" fontId="31" fillId="0" borderId="29" xfId="0" applyFont="1" applyBorder="1" applyAlignment="1">
      <alignment horizontal="center" vertical="center"/>
    </xf>
    <xf numFmtId="0" fontId="31" fillId="0" borderId="31" xfId="0" applyFont="1" applyBorder="1" applyAlignment="1">
      <alignment horizontal="center" vertical="center"/>
    </xf>
    <xf numFmtId="0" fontId="31" fillId="28" borderId="18" xfId="0" applyFont="1" applyFill="1" applyBorder="1" applyAlignment="1">
      <alignment horizontal="center" vertical="center"/>
    </xf>
    <xf numFmtId="0" fontId="31" fillId="0" borderId="48" xfId="0" applyFont="1" applyBorder="1" applyAlignment="1">
      <alignment horizontal="center" vertical="center" wrapText="1"/>
    </xf>
    <xf numFmtId="0" fontId="31" fillId="0" borderId="28" xfId="0" applyFont="1" applyBorder="1" applyAlignment="1">
      <alignment horizontal="center" vertical="center"/>
    </xf>
    <xf numFmtId="0" fontId="31" fillId="0" borderId="49" xfId="0" applyFont="1" applyBorder="1" applyAlignment="1">
      <alignment horizontal="center" vertical="center" wrapText="1"/>
    </xf>
    <xf numFmtId="0" fontId="0" fillId="28" borderId="0" xfId="0" applyFill="1" applyAlignment="1">
      <alignment horizontal="center" vertical="center"/>
    </xf>
    <xf numFmtId="0" fontId="38" fillId="0" borderId="0" xfId="0" applyFont="1" applyAlignment="1">
      <alignment vertical="center"/>
    </xf>
    <xf numFmtId="0" fontId="31" fillId="0" borderId="0" xfId="0" applyFont="1" applyAlignment="1">
      <alignment horizontal="center"/>
    </xf>
    <xf numFmtId="0" fontId="32" fillId="0" borderId="0" xfId="0" applyFont="1" applyBorder="1" applyAlignment="1">
      <alignment horizontal="center" vertical="center"/>
    </xf>
    <xf numFmtId="0" fontId="31" fillId="0" borderId="0" xfId="0" applyFont="1" applyAlignment="1">
      <alignment vertical="center" wrapText="1"/>
    </xf>
    <xf numFmtId="0" fontId="32" fillId="0" borderId="0" xfId="0" applyFont="1" applyAlignment="1">
      <alignment vertical="center"/>
    </xf>
    <xf numFmtId="186" fontId="31" fillId="0" borderId="24" xfId="0" applyNumberFormat="1" applyFont="1" applyBorder="1" applyAlignment="1">
      <alignment horizontal="center" vertical="center"/>
    </xf>
    <xf numFmtId="0" fontId="31" fillId="0" borderId="18" xfId="0" applyFont="1" applyBorder="1" applyAlignment="1">
      <alignment horizontal="center" vertical="center"/>
    </xf>
    <xf numFmtId="1" fontId="31" fillId="0" borderId="0" xfId="0" applyNumberFormat="1" applyFont="1" applyBorder="1" applyAlignment="1">
      <alignment horizontal="center" vertical="center"/>
    </xf>
    <xf numFmtId="186" fontId="31" fillId="0" borderId="26" xfId="0" applyNumberFormat="1" applyFont="1" applyBorder="1" applyAlignment="1">
      <alignment horizontal="center" vertical="center"/>
    </xf>
    <xf numFmtId="186" fontId="31" fillId="0" borderId="36" xfId="0" applyNumberFormat="1" applyFont="1" applyBorder="1" applyAlignment="1">
      <alignment horizontal="center" vertical="center"/>
    </xf>
    <xf numFmtId="0" fontId="31" fillId="0" borderId="0" xfId="0" applyFont="1" applyBorder="1" applyAlignment="1">
      <alignment horizontal="center"/>
    </xf>
    <xf numFmtId="2" fontId="31" fillId="0" borderId="0" xfId="0" applyNumberFormat="1" applyFont="1" applyBorder="1" applyAlignment="1">
      <alignment horizontal="center"/>
    </xf>
    <xf numFmtId="0" fontId="32" fillId="0" borderId="0" xfId="0" applyFont="1"/>
    <xf numFmtId="0" fontId="31" fillId="0" borderId="0" xfId="0" applyFont="1" applyBorder="1" applyAlignment="1">
      <alignment horizontal="left"/>
    </xf>
    <xf numFmtId="0" fontId="31" fillId="0" borderId="0" xfId="0" applyFont="1" applyAlignment="1">
      <alignment horizontal="left"/>
    </xf>
    <xf numFmtId="0" fontId="31" fillId="0" borderId="0" xfId="0" applyFont="1" applyBorder="1" applyAlignment="1">
      <alignment horizontal="right" vertical="center"/>
    </xf>
    <xf numFmtId="9" fontId="31" fillId="25" borderId="35" xfId="0" applyNumberFormat="1" applyFont="1" applyFill="1" applyBorder="1" applyAlignment="1">
      <alignment horizontal="center" vertical="center"/>
    </xf>
    <xf numFmtId="0" fontId="33" fillId="0" borderId="0" xfId="0" applyFont="1"/>
    <xf numFmtId="0" fontId="32" fillId="0" borderId="0" xfId="0" applyFont="1" applyAlignment="1">
      <alignment horizontal="center"/>
    </xf>
    <xf numFmtId="1" fontId="31" fillId="0" borderId="0" xfId="0" applyNumberFormat="1" applyFont="1" applyAlignment="1">
      <alignment horizontal="center" vertical="center"/>
    </xf>
    <xf numFmtId="0" fontId="31" fillId="28" borderId="35" xfId="0" applyFont="1" applyFill="1" applyBorder="1" applyAlignment="1">
      <alignment horizontal="center" vertical="center"/>
    </xf>
    <xf numFmtId="171" fontId="31" fillId="0" borderId="0" xfId="0" applyNumberFormat="1" applyFont="1" applyAlignment="1">
      <alignment horizontal="right" vertical="center"/>
    </xf>
    <xf numFmtId="170" fontId="31" fillId="0" borderId="0" xfId="0" applyNumberFormat="1" applyFont="1" applyAlignment="1">
      <alignment horizontal="right" vertical="center"/>
    </xf>
    <xf numFmtId="9" fontId="31" fillId="0" borderId="0" xfId="0" applyNumberFormat="1" applyFont="1" applyFill="1" applyBorder="1" applyAlignment="1">
      <alignment horizontal="center" vertical="center"/>
    </xf>
    <xf numFmtId="172" fontId="31" fillId="0" borderId="0" xfId="0" applyNumberFormat="1" applyFont="1" applyAlignment="1">
      <alignment horizontal="right" vertical="center"/>
    </xf>
    <xf numFmtId="9" fontId="31" fillId="29" borderId="35" xfId="0" applyNumberFormat="1" applyFont="1" applyFill="1" applyBorder="1" applyAlignment="1">
      <alignment horizontal="center" vertical="center"/>
    </xf>
    <xf numFmtId="0" fontId="31" fillId="24" borderId="50" xfId="0" applyFont="1" applyFill="1" applyBorder="1" applyAlignment="1">
      <alignment horizontal="center" vertical="center"/>
    </xf>
    <xf numFmtId="0" fontId="31" fillId="24" borderId="51" xfId="0" applyFont="1" applyFill="1" applyBorder="1" applyAlignment="1">
      <alignment horizontal="center" vertical="center"/>
    </xf>
    <xf numFmtId="0" fontId="31" fillId="0" borderId="50" xfId="0" applyFont="1" applyBorder="1"/>
    <xf numFmtId="0" fontId="31" fillId="24" borderId="52" xfId="0" applyFont="1" applyFill="1" applyBorder="1" applyAlignment="1">
      <alignment horizontal="center" vertical="center"/>
    </xf>
    <xf numFmtId="0" fontId="31" fillId="24" borderId="19" xfId="0" applyFont="1" applyFill="1" applyBorder="1" applyAlignment="1">
      <alignment horizontal="center" vertical="center"/>
    </xf>
    <xf numFmtId="0" fontId="31" fillId="0" borderId="51" xfId="0" applyFont="1" applyBorder="1"/>
    <xf numFmtId="0" fontId="31" fillId="0" borderId="0" xfId="0" applyFont="1" applyAlignment="1">
      <alignment horizontal="left" indent="1"/>
    </xf>
    <xf numFmtId="183" fontId="31" fillId="0" borderId="24" xfId="0" applyNumberFormat="1" applyFont="1" applyBorder="1" applyAlignment="1">
      <alignment horizontal="center" vertical="center"/>
    </xf>
    <xf numFmtId="183" fontId="31" fillId="0" borderId="36" xfId="0" applyNumberFormat="1" applyFont="1" applyBorder="1" applyAlignment="1">
      <alignment horizontal="center" vertical="center"/>
    </xf>
    <xf numFmtId="2" fontId="31" fillId="0" borderId="0" xfId="0" applyNumberFormat="1" applyFont="1" applyBorder="1" applyAlignment="1">
      <alignment horizontal="center" vertical="center"/>
    </xf>
    <xf numFmtId="0" fontId="31" fillId="24" borderId="53" xfId="0" applyFont="1" applyFill="1" applyBorder="1" applyAlignment="1">
      <alignment horizontal="center" vertical="center"/>
    </xf>
    <xf numFmtId="0" fontId="31" fillId="31" borderId="12" xfId="0" applyFont="1" applyFill="1" applyBorder="1" applyAlignment="1">
      <alignment horizontal="center" vertical="center"/>
    </xf>
    <xf numFmtId="0" fontId="31" fillId="31" borderId="13" xfId="0" applyFont="1" applyFill="1" applyBorder="1" applyAlignment="1">
      <alignment horizontal="center" vertical="center"/>
    </xf>
    <xf numFmtId="0" fontId="31" fillId="31" borderId="14" xfId="0" applyFont="1" applyFill="1" applyBorder="1" applyAlignment="1">
      <alignment horizontal="center" vertical="center"/>
    </xf>
    <xf numFmtId="0" fontId="31" fillId="29" borderId="35" xfId="0" applyFont="1" applyFill="1" applyBorder="1" applyAlignment="1">
      <alignment horizontal="center" vertical="center"/>
    </xf>
    <xf numFmtId="0" fontId="31" fillId="0" borderId="44" xfId="0" applyFont="1" applyBorder="1" applyAlignment="1">
      <alignment horizontal="center" vertical="center"/>
    </xf>
    <xf numFmtId="1" fontId="31" fillId="24" borderId="10" xfId="0" applyNumberFormat="1" applyFont="1" applyFill="1" applyBorder="1" applyAlignment="1">
      <alignment horizontal="center" vertical="center"/>
    </xf>
    <xf numFmtId="1" fontId="31" fillId="24" borderId="11" xfId="0" applyNumberFormat="1" applyFont="1" applyFill="1" applyBorder="1" applyAlignment="1">
      <alignment horizontal="center" vertical="center"/>
    </xf>
    <xf numFmtId="164" fontId="31" fillId="25" borderId="24" xfId="0" applyNumberFormat="1" applyFont="1" applyFill="1" applyBorder="1" applyAlignment="1">
      <alignment horizontal="center" vertical="center"/>
    </xf>
    <xf numFmtId="164" fontId="31" fillId="25" borderId="35" xfId="0" applyNumberFormat="1" applyFont="1" applyFill="1" applyBorder="1" applyAlignment="1">
      <alignment horizontal="center" vertical="center"/>
    </xf>
    <xf numFmtId="0" fontId="32" fillId="24" borderId="50" xfId="0" applyFont="1" applyFill="1" applyBorder="1" applyAlignment="1">
      <alignment horizontal="center" vertical="center"/>
    </xf>
    <xf numFmtId="0" fontId="39" fillId="0" borderId="0" xfId="0" applyFont="1" applyAlignment="1">
      <alignment horizontal="right" vertical="center"/>
    </xf>
    <xf numFmtId="0" fontId="31" fillId="29" borderId="29" xfId="0" applyFont="1" applyFill="1" applyBorder="1" applyAlignment="1">
      <alignment horizontal="center" vertical="center"/>
    </xf>
    <xf numFmtId="0" fontId="31" fillId="31" borderId="0" xfId="0" applyFont="1" applyFill="1"/>
    <xf numFmtId="0" fontId="40" fillId="31" borderId="0" xfId="0" applyFont="1" applyFill="1"/>
    <xf numFmtId="0" fontId="31" fillId="31" borderId="0" xfId="0" applyFont="1" applyFill="1" applyAlignment="1">
      <alignment horizontal="center" vertical="center"/>
    </xf>
    <xf numFmtId="183" fontId="31" fillId="31" borderId="0" xfId="0" applyNumberFormat="1" applyFont="1" applyFill="1" applyBorder="1" applyAlignment="1">
      <alignment horizontal="center" vertical="center"/>
    </xf>
    <xf numFmtId="0" fontId="31" fillId="0" borderId="0" xfId="0" applyFont="1" applyFill="1" applyBorder="1" applyAlignment="1">
      <alignment vertical="center"/>
    </xf>
    <xf numFmtId="0" fontId="31" fillId="0" borderId="54" xfId="0" applyFont="1" applyBorder="1" applyAlignment="1">
      <alignment horizontal="center" vertical="center"/>
    </xf>
    <xf numFmtId="0" fontId="31" fillId="0" borderId="55" xfId="0" applyFont="1" applyBorder="1" applyAlignment="1">
      <alignment horizontal="center" vertical="center"/>
    </xf>
    <xf numFmtId="0" fontId="31" fillId="0" borderId="56" xfId="0" applyFont="1" applyBorder="1" applyAlignment="1">
      <alignment horizontal="center" vertical="center"/>
    </xf>
    <xf numFmtId="0" fontId="31" fillId="28" borderId="55" xfId="0" applyFont="1" applyFill="1" applyBorder="1" applyAlignment="1">
      <alignment horizontal="center" vertical="center"/>
    </xf>
    <xf numFmtId="0" fontId="31" fillId="28" borderId="28" xfId="0" applyFont="1" applyFill="1" applyBorder="1" applyAlignment="1">
      <alignment horizontal="center" vertical="center"/>
    </xf>
    <xf numFmtId="0" fontId="31" fillId="28" borderId="15" xfId="0" applyFont="1" applyFill="1" applyBorder="1" applyAlignment="1">
      <alignment horizontal="center" vertical="center" wrapText="1"/>
    </xf>
    <xf numFmtId="0" fontId="31" fillId="0" borderId="53" xfId="0" applyFont="1" applyBorder="1" applyAlignment="1">
      <alignment horizontal="center" vertical="center"/>
    </xf>
    <xf numFmtId="0" fontId="31" fillId="0" borderId="0" xfId="0" applyFont="1" applyBorder="1" applyAlignment="1">
      <alignment horizontal="center" vertical="center" wrapText="1"/>
    </xf>
    <xf numFmtId="0" fontId="31" fillId="24" borderId="18" xfId="0" applyFont="1" applyFill="1" applyBorder="1" applyAlignment="1">
      <alignment horizontal="center" vertical="center" wrapText="1"/>
    </xf>
    <xf numFmtId="0" fontId="31" fillId="24" borderId="35" xfId="0" applyFont="1" applyFill="1" applyBorder="1" applyAlignment="1">
      <alignment horizontal="center" vertical="center" wrapText="1"/>
    </xf>
    <xf numFmtId="0" fontId="31" fillId="0" borderId="27" xfId="0" applyFont="1" applyBorder="1" applyAlignment="1">
      <alignment horizontal="center" vertical="center"/>
    </xf>
    <xf numFmtId="0" fontId="31" fillId="0" borderId="35" xfId="0" applyFont="1" applyBorder="1" applyAlignment="1">
      <alignment horizontal="center" vertical="center"/>
    </xf>
    <xf numFmtId="0" fontId="31" fillId="24" borderId="0" xfId="0" applyFont="1" applyFill="1" applyBorder="1" applyAlignment="1">
      <alignment horizontal="center" vertical="center"/>
    </xf>
    <xf numFmtId="0" fontId="31" fillId="0" borderId="26" xfId="0" applyFont="1" applyBorder="1" applyAlignment="1">
      <alignment horizontal="center" vertical="center"/>
    </xf>
    <xf numFmtId="0" fontId="31" fillId="0" borderId="0" xfId="0" applyFont="1" applyFill="1"/>
    <xf numFmtId="0" fontId="31" fillId="0" borderId="57" xfId="0" applyFont="1" applyBorder="1" applyAlignment="1">
      <alignment horizontal="center" vertical="center"/>
    </xf>
    <xf numFmtId="0" fontId="31" fillId="0" borderId="58" xfId="0" applyFont="1" applyBorder="1" applyAlignment="1">
      <alignment horizontal="center" vertical="center"/>
    </xf>
    <xf numFmtId="0" fontId="31" fillId="0" borderId="59" xfId="0" applyFont="1" applyBorder="1" applyAlignment="1">
      <alignment horizontal="center" vertical="center"/>
    </xf>
    <xf numFmtId="0" fontId="40" fillId="0" borderId="0" xfId="0" applyFont="1" applyAlignment="1">
      <alignment vertical="center"/>
    </xf>
    <xf numFmtId="0" fontId="40" fillId="0" borderId="0" xfId="0" applyFont="1" applyAlignment="1">
      <alignment horizontal="left" vertical="center"/>
    </xf>
    <xf numFmtId="182" fontId="31" fillId="0" borderId="0" xfId="0" applyNumberFormat="1" applyFont="1" applyAlignment="1">
      <alignment horizontal="left" vertical="center"/>
    </xf>
    <xf numFmtId="175" fontId="31" fillId="0" borderId="0" xfId="0" quotePrefix="1" applyNumberFormat="1" applyFont="1" applyAlignment="1">
      <alignment horizontal="right" vertical="center"/>
    </xf>
    <xf numFmtId="174" fontId="31" fillId="0" borderId="0" xfId="0" applyNumberFormat="1" applyFont="1" applyAlignment="1">
      <alignment horizontal="right" vertical="center"/>
    </xf>
    <xf numFmtId="0" fontId="31" fillId="0" borderId="0" xfId="0" applyFont="1" applyFill="1" applyAlignment="1">
      <alignment vertical="center"/>
    </xf>
    <xf numFmtId="0" fontId="31" fillId="24" borderId="37" xfId="0" applyFont="1" applyFill="1" applyBorder="1" applyAlignment="1">
      <alignment horizontal="center" vertical="center"/>
    </xf>
    <xf numFmtId="0" fontId="31" fillId="24" borderId="38" xfId="0" applyFont="1" applyFill="1" applyBorder="1" applyAlignment="1">
      <alignment horizontal="center" vertical="center"/>
    </xf>
    <xf numFmtId="2" fontId="31" fillId="0" borderId="0" xfId="0" applyNumberFormat="1" applyFont="1" applyFill="1" applyBorder="1" applyAlignment="1">
      <alignment horizontal="center" vertical="center"/>
    </xf>
    <xf numFmtId="0" fontId="31" fillId="0" borderId="60" xfId="0" applyFont="1" applyBorder="1" applyAlignment="1">
      <alignment horizontal="center" vertical="center" wrapText="1"/>
    </xf>
    <xf numFmtId="0" fontId="31" fillId="0" borderId="61" xfId="0" applyFont="1" applyBorder="1" applyAlignment="1">
      <alignment horizontal="center" vertical="center" wrapText="1"/>
    </xf>
    <xf numFmtId="0" fontId="31" fillId="0" borderId="62" xfId="0" applyFont="1" applyBorder="1" applyAlignment="1">
      <alignment horizontal="center" vertical="center" wrapText="1"/>
    </xf>
    <xf numFmtId="0" fontId="31" fillId="27" borderId="0" xfId="0" applyFont="1" applyFill="1" applyBorder="1" applyAlignment="1">
      <alignment horizontal="center" vertical="center"/>
    </xf>
    <xf numFmtId="0" fontId="31" fillId="27" borderId="35" xfId="0" applyFont="1" applyFill="1" applyBorder="1" applyAlignment="1">
      <alignment horizontal="center" vertical="center"/>
    </xf>
    <xf numFmtId="0" fontId="31" fillId="27" borderId="63" xfId="0" applyFont="1" applyFill="1" applyBorder="1" applyAlignment="1">
      <alignment horizontal="center" vertical="center"/>
    </xf>
    <xf numFmtId="1" fontId="31" fillId="0" borderId="0" xfId="0" applyNumberFormat="1" applyFont="1" applyFill="1" applyBorder="1" applyAlignment="1">
      <alignment horizontal="center" vertical="center"/>
    </xf>
    <xf numFmtId="1" fontId="31" fillId="0" borderId="64" xfId="0" applyNumberFormat="1" applyFont="1" applyBorder="1" applyAlignment="1">
      <alignment horizontal="center" vertical="center"/>
    </xf>
    <xf numFmtId="0" fontId="31" fillId="27" borderId="65" xfId="0" applyFont="1" applyFill="1" applyBorder="1" applyAlignment="1">
      <alignment horizontal="center" vertical="center"/>
    </xf>
    <xf numFmtId="1" fontId="31" fillId="27" borderId="65" xfId="0" applyNumberFormat="1" applyFont="1" applyFill="1" applyBorder="1" applyAlignment="1">
      <alignment horizontal="center" vertical="center"/>
    </xf>
    <xf numFmtId="1" fontId="31" fillId="27" borderId="66" xfId="0" applyNumberFormat="1" applyFont="1" applyFill="1" applyBorder="1" applyAlignment="1">
      <alignment horizontal="center" vertical="center"/>
    </xf>
    <xf numFmtId="0" fontId="32" fillId="0" borderId="34" xfId="0" applyFont="1" applyBorder="1" applyAlignment="1">
      <alignment horizontal="left" vertical="center"/>
    </xf>
    <xf numFmtId="2" fontId="32" fillId="0" borderId="34" xfId="0" applyNumberFormat="1" applyFont="1" applyBorder="1" applyAlignment="1">
      <alignment horizontal="right" vertical="center"/>
    </xf>
    <xf numFmtId="1" fontId="32" fillId="0" borderId="34" xfId="0" applyNumberFormat="1" applyFont="1" applyBorder="1" applyAlignment="1">
      <alignment horizontal="center" vertical="center"/>
    </xf>
    <xf numFmtId="1" fontId="32" fillId="0" borderId="0" xfId="0" applyNumberFormat="1" applyFont="1" applyBorder="1" applyAlignment="1">
      <alignment horizontal="center" vertical="center"/>
    </xf>
    <xf numFmtId="0" fontId="32" fillId="0" borderId="0" xfId="0" applyFont="1" applyBorder="1" applyAlignment="1">
      <alignment horizontal="center"/>
    </xf>
    <xf numFmtId="0" fontId="31" fillId="0" borderId="0" xfId="0" applyFont="1" applyAlignment="1">
      <alignment horizontal="right" vertical="center"/>
    </xf>
    <xf numFmtId="169" fontId="31" fillId="0" borderId="0" xfId="0" applyNumberFormat="1" applyFont="1" applyAlignment="1">
      <alignment vertical="center"/>
    </xf>
    <xf numFmtId="0" fontId="31" fillId="0" borderId="0" xfId="0" applyFont="1" applyAlignment="1">
      <alignment horizontal="center" vertical="center" wrapText="1"/>
    </xf>
    <xf numFmtId="175" fontId="31" fillId="0" borderId="0" xfId="0" applyNumberFormat="1" applyFont="1" applyAlignment="1">
      <alignment horizontal="right" vertical="center"/>
    </xf>
    <xf numFmtId="176" fontId="31" fillId="0" borderId="0" xfId="0" applyNumberFormat="1" applyFont="1" applyAlignment="1">
      <alignment horizontal="right" vertical="center"/>
    </xf>
    <xf numFmtId="0" fontId="31" fillId="24" borderId="0" xfId="0" applyFont="1" applyFill="1" applyAlignment="1">
      <alignment horizontal="center" vertical="center" wrapText="1"/>
    </xf>
    <xf numFmtId="164" fontId="31" fillId="0" borderId="0" xfId="0" applyNumberFormat="1" applyFont="1" applyBorder="1" applyAlignment="1">
      <alignment horizontal="center" vertical="center"/>
    </xf>
    <xf numFmtId="186" fontId="31" fillId="0" borderId="19" xfId="0" applyNumberFormat="1" applyFont="1" applyBorder="1" applyAlignment="1">
      <alignment horizontal="center" vertical="center"/>
    </xf>
    <xf numFmtId="186" fontId="31" fillId="0" borderId="27" xfId="0" applyNumberFormat="1" applyFont="1" applyBorder="1" applyAlignment="1">
      <alignment horizontal="center" vertical="center"/>
    </xf>
    <xf numFmtId="186" fontId="31" fillId="0" borderId="57" xfId="0" applyNumberFormat="1" applyFont="1" applyBorder="1" applyAlignment="1">
      <alignment horizontal="center" vertical="center"/>
    </xf>
    <xf numFmtId="0" fontId="31" fillId="0" borderId="67" xfId="0" applyFont="1" applyBorder="1" applyAlignment="1">
      <alignment horizontal="center" vertical="center" wrapText="1"/>
    </xf>
    <xf numFmtId="0" fontId="31" fillId="0" borderId="68" xfId="0" applyFont="1" applyBorder="1" applyAlignment="1">
      <alignment horizontal="center" vertical="center" wrapText="1"/>
    </xf>
    <xf numFmtId="1" fontId="31" fillId="0" borderId="52" xfId="0" applyNumberFormat="1" applyFont="1" applyBorder="1" applyAlignment="1">
      <alignment horizontal="center" vertical="center"/>
    </xf>
    <xf numFmtId="1" fontId="31" fillId="0" borderId="68" xfId="0" applyNumberFormat="1" applyFont="1" applyBorder="1" applyAlignment="1">
      <alignment horizontal="center" vertical="center"/>
    </xf>
    <xf numFmtId="165" fontId="31" fillId="0" borderId="24" xfId="0" applyNumberFormat="1" applyFont="1" applyBorder="1" applyAlignment="1">
      <alignment horizontal="center" vertical="center"/>
    </xf>
    <xf numFmtId="0" fontId="31" fillId="0" borderId="30" xfId="0" applyFont="1" applyBorder="1" applyAlignment="1">
      <alignment horizontal="center" vertical="center"/>
    </xf>
    <xf numFmtId="165" fontId="31" fillId="0" borderId="26" xfId="0" applyNumberFormat="1" applyFont="1" applyBorder="1" applyAlignment="1">
      <alignment horizontal="center" vertical="center"/>
    </xf>
    <xf numFmtId="165" fontId="31" fillId="0" borderId="36" xfId="0" applyNumberFormat="1" applyFont="1" applyBorder="1" applyAlignment="1">
      <alignment horizontal="center" vertical="center"/>
    </xf>
    <xf numFmtId="0" fontId="31" fillId="0" borderId="69" xfId="0" applyFont="1" applyBorder="1" applyAlignment="1">
      <alignment horizontal="center" vertical="center" wrapText="1"/>
    </xf>
    <xf numFmtId="0" fontId="31" fillId="0" borderId="57" xfId="0" applyFont="1" applyBorder="1" applyAlignment="1">
      <alignment horizontal="center" vertical="center" wrapText="1"/>
    </xf>
    <xf numFmtId="1" fontId="31" fillId="0" borderId="19" xfId="0" applyNumberFormat="1" applyFont="1" applyBorder="1" applyAlignment="1">
      <alignment horizontal="center" vertical="center"/>
    </xf>
    <xf numFmtId="1" fontId="31" fillId="0" borderId="57" xfId="0" applyNumberFormat="1" applyFont="1" applyBorder="1" applyAlignment="1">
      <alignment horizontal="center" vertical="center"/>
    </xf>
    <xf numFmtId="0" fontId="31" fillId="0" borderId="70" xfId="0" applyFont="1" applyBorder="1" applyAlignment="1">
      <alignment horizontal="center" vertical="center" wrapText="1"/>
    </xf>
    <xf numFmtId="1" fontId="31" fillId="0" borderId="43" xfId="0" applyNumberFormat="1" applyFont="1" applyBorder="1" applyAlignment="1">
      <alignment horizontal="center" vertical="center"/>
    </xf>
    <xf numFmtId="1" fontId="31" fillId="0" borderId="71" xfId="0" applyNumberFormat="1" applyFont="1" applyBorder="1" applyAlignment="1">
      <alignment horizontal="center" vertical="center"/>
    </xf>
    <xf numFmtId="1" fontId="31" fillId="0" borderId="70" xfId="0" applyNumberFormat="1" applyFont="1" applyBorder="1" applyAlignment="1">
      <alignment horizontal="center" vertical="center"/>
    </xf>
    <xf numFmtId="0" fontId="31" fillId="0" borderId="55" xfId="0" applyFont="1" applyBorder="1" applyAlignment="1">
      <alignment horizontal="center" vertical="center" wrapText="1"/>
    </xf>
    <xf numFmtId="0" fontId="31" fillId="0" borderId="56" xfId="0" applyFont="1" applyBorder="1" applyAlignment="1">
      <alignment horizontal="center" vertical="center" wrapText="1"/>
    </xf>
    <xf numFmtId="0" fontId="31" fillId="0" borderId="19" xfId="0" applyFont="1" applyBorder="1" applyAlignment="1">
      <alignment horizontal="center" vertical="center"/>
    </xf>
    <xf numFmtId="0" fontId="31" fillId="0" borderId="24" xfId="0" applyFont="1" applyBorder="1" applyAlignment="1">
      <alignment horizontal="center" vertical="center"/>
    </xf>
    <xf numFmtId="0" fontId="31" fillId="0" borderId="63" xfId="0" applyFont="1" applyBorder="1" applyAlignment="1">
      <alignment horizontal="center" vertical="center"/>
    </xf>
    <xf numFmtId="0" fontId="31" fillId="0" borderId="72" xfId="0" applyFont="1" applyBorder="1" applyAlignment="1">
      <alignment horizontal="center" vertical="center" wrapText="1"/>
    </xf>
    <xf numFmtId="0" fontId="31" fillId="0" borderId="66" xfId="0" applyFont="1" applyBorder="1" applyAlignment="1">
      <alignment horizontal="center" vertical="center" wrapText="1"/>
    </xf>
    <xf numFmtId="0" fontId="31" fillId="24" borderId="28" xfId="0" applyFont="1" applyFill="1" applyBorder="1" applyAlignment="1">
      <alignment horizontal="center" vertical="center" wrapText="1"/>
    </xf>
    <xf numFmtId="0" fontId="31" fillId="0" borderId="36" xfId="0" applyFont="1" applyBorder="1" applyAlignment="1">
      <alignment horizontal="center" vertical="top" wrapText="1"/>
    </xf>
    <xf numFmtId="0" fontId="31" fillId="0" borderId="13" xfId="0" applyFont="1" applyBorder="1" applyAlignment="1">
      <alignment horizontal="center" vertical="top" wrapText="1"/>
    </xf>
    <xf numFmtId="0" fontId="31" fillId="0" borderId="14" xfId="0" applyFont="1" applyBorder="1" applyAlignment="1">
      <alignment horizontal="center" vertical="top" wrapText="1"/>
    </xf>
    <xf numFmtId="0" fontId="31" fillId="0" borderId="59" xfId="0" applyFont="1" applyBorder="1" applyAlignment="1">
      <alignment horizontal="center" vertical="top" wrapText="1"/>
    </xf>
    <xf numFmtId="0" fontId="31" fillId="0" borderId="57" xfId="0" applyFont="1" applyBorder="1" applyAlignment="1">
      <alignment horizontal="center" vertical="top" wrapText="1"/>
    </xf>
    <xf numFmtId="0" fontId="31" fillId="0" borderId="12" xfId="0" applyFont="1" applyBorder="1" applyAlignment="1">
      <alignment horizontal="center" vertical="top" wrapText="1"/>
    </xf>
    <xf numFmtId="0" fontId="32" fillId="24" borderId="0" xfId="0" applyFont="1" applyFill="1" applyBorder="1" applyAlignment="1">
      <alignment horizontal="center" vertical="center"/>
    </xf>
    <xf numFmtId="0" fontId="31" fillId="24" borderId="0" xfId="0" applyFont="1" applyFill="1" applyBorder="1" applyAlignment="1">
      <alignment vertical="center" wrapText="1"/>
    </xf>
    <xf numFmtId="0" fontId="31" fillId="24" borderId="0" xfId="0" applyFont="1" applyFill="1" applyBorder="1" applyAlignment="1">
      <alignment horizontal="center" vertical="center" wrapText="1"/>
    </xf>
    <xf numFmtId="0" fontId="31" fillId="24" borderId="50" xfId="0" applyFont="1" applyFill="1" applyBorder="1" applyAlignment="1">
      <alignment horizontal="left" vertical="center"/>
    </xf>
    <xf numFmtId="2" fontId="31" fillId="24" borderId="0" xfId="0" applyNumberFormat="1" applyFont="1" applyFill="1" applyBorder="1" applyAlignment="1">
      <alignment horizontal="right" vertical="center"/>
    </xf>
    <xf numFmtId="2" fontId="32" fillId="24" borderId="0" xfId="0" applyNumberFormat="1" applyFont="1" applyFill="1" applyBorder="1" applyAlignment="1">
      <alignment horizontal="right" vertical="center"/>
    </xf>
    <xf numFmtId="0" fontId="31" fillId="24" borderId="0" xfId="0" applyFont="1" applyFill="1" applyBorder="1" applyAlignment="1">
      <alignment horizontal="right" vertical="center"/>
    </xf>
    <xf numFmtId="0" fontId="31" fillId="24" borderId="35" xfId="0" applyFont="1" applyFill="1" applyBorder="1" applyAlignment="1">
      <alignment horizontal="right" vertical="center"/>
    </xf>
    <xf numFmtId="0" fontId="31" fillId="24" borderId="0" xfId="0" applyFont="1" applyFill="1" applyBorder="1" applyAlignment="1">
      <alignment horizontal="left" vertical="center"/>
    </xf>
    <xf numFmtId="2" fontId="32" fillId="24" borderId="35" xfId="0" applyNumberFormat="1" applyFont="1" applyFill="1" applyBorder="1" applyAlignment="1">
      <alignment horizontal="right" vertical="center"/>
    </xf>
    <xf numFmtId="0" fontId="31" fillId="24" borderId="35" xfId="0" applyFont="1" applyFill="1" applyBorder="1" applyAlignment="1">
      <alignment horizontal="left" vertical="center"/>
    </xf>
    <xf numFmtId="0" fontId="32" fillId="24" borderId="35" xfId="0" applyFont="1" applyFill="1" applyBorder="1" applyAlignment="1">
      <alignment horizontal="right" vertical="center"/>
    </xf>
    <xf numFmtId="0" fontId="32" fillId="24" borderId="35" xfId="0" applyFont="1" applyFill="1" applyBorder="1" applyAlignment="1">
      <alignment horizontal="left" vertical="center"/>
    </xf>
    <xf numFmtId="0" fontId="31" fillId="0" borderId="0" xfId="0" applyFont="1" applyFill="1" applyBorder="1" applyAlignment="1">
      <alignment horizontal="right" vertical="center"/>
    </xf>
    <xf numFmtId="0" fontId="31" fillId="24" borderId="29" xfId="0" applyFont="1" applyFill="1" applyBorder="1" applyAlignment="1">
      <alignment horizontal="center" vertical="center"/>
    </xf>
    <xf numFmtId="0" fontId="31" fillId="28" borderId="0" xfId="0" applyFont="1" applyFill="1" applyBorder="1" applyAlignment="1">
      <alignment horizontal="center" vertical="center"/>
    </xf>
    <xf numFmtId="192" fontId="31" fillId="28" borderId="0" xfId="0" applyNumberFormat="1" applyFont="1" applyFill="1" applyBorder="1" applyAlignment="1">
      <alignment horizontal="left" vertical="center"/>
    </xf>
    <xf numFmtId="0" fontId="31" fillId="24" borderId="50" xfId="0" applyFont="1" applyFill="1" applyBorder="1" applyAlignment="1">
      <alignment horizontal="center" vertical="center" wrapText="1"/>
    </xf>
    <xf numFmtId="0" fontId="32" fillId="24" borderId="52" xfId="0" applyFont="1" applyFill="1" applyBorder="1" applyAlignment="1">
      <alignment horizontal="left" vertical="center"/>
    </xf>
    <xf numFmtId="0" fontId="0" fillId="28" borderId="0" xfId="0" applyFill="1" applyBorder="1" applyAlignment="1">
      <alignment horizontal="center" vertical="center"/>
    </xf>
    <xf numFmtId="0" fontId="0" fillId="28" borderId="0" xfId="0" applyFill="1" applyAlignment="1">
      <alignment horizontal="right" vertical="center"/>
    </xf>
    <xf numFmtId="192" fontId="31" fillId="28" borderId="0" xfId="0" applyNumberFormat="1" applyFont="1" applyFill="1" applyAlignment="1">
      <alignment horizontal="left" vertical="center"/>
    </xf>
    <xf numFmtId="0" fontId="32" fillId="24" borderId="0" xfId="0" applyFont="1" applyFill="1" applyBorder="1" applyAlignment="1">
      <alignment horizontal="right" vertical="center"/>
    </xf>
    <xf numFmtId="0" fontId="0" fillId="28" borderId="50" xfId="0" applyFill="1" applyBorder="1" applyAlignment="1">
      <alignment horizontal="center" vertical="center"/>
    </xf>
    <xf numFmtId="0" fontId="32" fillId="24" borderId="50" xfId="0" applyFont="1" applyFill="1" applyBorder="1" applyAlignment="1">
      <alignment horizontal="left" vertical="center"/>
    </xf>
    <xf numFmtId="2" fontId="31" fillId="24" borderId="35" xfId="0" applyNumberFormat="1" applyFont="1" applyFill="1" applyBorder="1" applyAlignment="1">
      <alignment horizontal="right" vertical="center"/>
    </xf>
    <xf numFmtId="0" fontId="31" fillId="24" borderId="73" xfId="0" applyFont="1" applyFill="1" applyBorder="1" applyAlignment="1">
      <alignment horizontal="right" vertical="center"/>
    </xf>
    <xf numFmtId="2" fontId="31" fillId="24" borderId="73" xfId="0" applyNumberFormat="1" applyFont="1" applyFill="1" applyBorder="1" applyAlignment="1">
      <alignment horizontal="right" vertical="center"/>
    </xf>
    <xf numFmtId="0" fontId="31" fillId="24" borderId="73" xfId="0" applyFont="1" applyFill="1" applyBorder="1" applyAlignment="1">
      <alignment horizontal="left" vertical="center"/>
    </xf>
    <xf numFmtId="0" fontId="31" fillId="24" borderId="73" xfId="0" applyFont="1" applyFill="1" applyBorder="1" applyAlignment="1">
      <alignment horizontal="center" vertical="center"/>
    </xf>
    <xf numFmtId="0" fontId="31" fillId="24" borderId="74" xfId="0" applyFont="1" applyFill="1" applyBorder="1" applyAlignment="1">
      <alignment horizontal="center" vertical="center"/>
    </xf>
    <xf numFmtId="0" fontId="31" fillId="24" borderId="64" xfId="0" applyFont="1" applyFill="1" applyBorder="1" applyAlignment="1">
      <alignment horizontal="center" vertical="center"/>
    </xf>
    <xf numFmtId="0" fontId="31" fillId="24" borderId="73" xfId="0" applyFont="1" applyFill="1" applyBorder="1" applyAlignment="1">
      <alignment horizontal="center" vertical="center" wrapText="1"/>
    </xf>
    <xf numFmtId="2" fontId="31" fillId="24" borderId="73" xfId="0" applyNumberFormat="1" applyFont="1" applyFill="1" applyBorder="1" applyAlignment="1">
      <alignment horizontal="center" vertical="center"/>
    </xf>
    <xf numFmtId="0" fontId="32" fillId="24" borderId="0" xfId="0" applyFont="1" applyFill="1" applyBorder="1" applyAlignment="1">
      <alignment horizontal="left" vertical="center"/>
    </xf>
    <xf numFmtId="0" fontId="0" fillId="0" borderId="0" xfId="0" applyBorder="1" applyAlignment="1"/>
    <xf numFmtId="0" fontId="31" fillId="0" borderId="0" xfId="0" applyFont="1" applyFill="1" applyAlignment="1">
      <alignment vertical="top" wrapText="1"/>
    </xf>
    <xf numFmtId="0" fontId="31" fillId="0" borderId="75" xfId="0" applyFont="1" applyFill="1" applyBorder="1" applyAlignment="1">
      <alignment vertical="top" wrapText="1"/>
    </xf>
    <xf numFmtId="0" fontId="31" fillId="0" borderId="36" xfId="0" applyFont="1" applyBorder="1" applyAlignment="1">
      <alignment horizontal="center" vertical="top"/>
    </xf>
    <xf numFmtId="0" fontId="32" fillId="27" borderId="65" xfId="0" applyFont="1" applyFill="1" applyBorder="1" applyAlignment="1">
      <alignment horizontal="center" vertical="center"/>
    </xf>
    <xf numFmtId="0" fontId="31" fillId="29" borderId="35" xfId="0" applyFont="1" applyFill="1" applyBorder="1" applyAlignment="1">
      <alignment horizontal="center" vertical="center" wrapText="1"/>
    </xf>
    <xf numFmtId="0" fontId="31" fillId="28" borderId="28" xfId="0" applyFont="1" applyFill="1" applyBorder="1" applyAlignment="1">
      <alignment horizontal="center" vertical="center"/>
    </xf>
    <xf numFmtId="0" fontId="31" fillId="28" borderId="56" xfId="0" applyFont="1" applyFill="1" applyBorder="1" applyAlignment="1">
      <alignment horizontal="center" vertical="center"/>
    </xf>
    <xf numFmtId="0" fontId="31" fillId="0" borderId="72" xfId="0" applyNumberFormat="1" applyFont="1" applyBorder="1" applyAlignment="1">
      <alignment horizontal="center" vertical="center"/>
    </xf>
    <xf numFmtId="0" fontId="31" fillId="28" borderId="18" xfId="0" applyFont="1" applyFill="1" applyBorder="1" applyAlignment="1">
      <alignment horizontal="center" vertical="center"/>
    </xf>
    <xf numFmtId="0" fontId="0" fillId="0" borderId="45" xfId="0" applyBorder="1" applyAlignment="1">
      <alignment horizontal="center" vertical="center"/>
    </xf>
    <xf numFmtId="9" fontId="31" fillId="30" borderId="24" xfId="0" applyNumberFormat="1" applyFont="1" applyFill="1" applyBorder="1" applyAlignment="1">
      <alignment horizontal="center" vertical="center"/>
    </xf>
    <xf numFmtId="1" fontId="31" fillId="0" borderId="45" xfId="0" applyNumberFormat="1" applyFont="1" applyFill="1" applyBorder="1" applyAlignment="1">
      <alignment horizontal="center" vertical="center"/>
    </xf>
    <xf numFmtId="1" fontId="31" fillId="0" borderId="45" xfId="0" applyNumberFormat="1" applyFont="1" applyBorder="1" applyAlignment="1">
      <alignment horizontal="center" vertical="center"/>
    </xf>
    <xf numFmtId="0" fontId="31" fillId="0" borderId="75" xfId="0" applyFont="1" applyBorder="1" applyAlignment="1">
      <alignment horizontal="center" vertical="center"/>
    </xf>
    <xf numFmtId="0" fontId="31" fillId="0" borderId="75" xfId="0" applyFont="1" applyFill="1" applyBorder="1" applyAlignment="1">
      <alignment vertical="center"/>
    </xf>
    <xf numFmtId="0" fontId="31" fillId="0" borderId="76" xfId="0" applyFont="1" applyFill="1" applyBorder="1" applyAlignment="1">
      <alignment vertical="center"/>
    </xf>
    <xf numFmtId="0" fontId="31" fillId="0" borderId="77" xfId="0" applyFont="1" applyFill="1" applyBorder="1" applyAlignment="1">
      <alignment vertical="center"/>
    </xf>
    <xf numFmtId="191" fontId="31" fillId="30" borderId="24" xfId="0" applyNumberFormat="1" applyFont="1" applyFill="1" applyBorder="1" applyAlignment="1">
      <alignment horizontal="center" vertical="center"/>
    </xf>
    <xf numFmtId="191" fontId="31" fillId="30" borderId="26" xfId="0" applyNumberFormat="1" applyFont="1" applyFill="1" applyBorder="1" applyAlignment="1">
      <alignment horizontal="center" vertical="center" wrapText="1"/>
    </xf>
    <xf numFmtId="191" fontId="31" fillId="30" borderId="36" xfId="0" applyNumberFormat="1" applyFont="1" applyFill="1" applyBorder="1" applyAlignment="1">
      <alignment horizontal="center" vertical="center"/>
    </xf>
    <xf numFmtId="183" fontId="31" fillId="0" borderId="17" xfId="0" applyNumberFormat="1" applyFont="1" applyBorder="1" applyAlignment="1">
      <alignment horizontal="center" vertical="center"/>
    </xf>
    <xf numFmtId="183" fontId="31" fillId="0" borderId="18" xfId="0" applyNumberFormat="1" applyFont="1" applyBorder="1" applyAlignment="1">
      <alignment horizontal="center" vertical="center"/>
    </xf>
    <xf numFmtId="183" fontId="31" fillId="0" borderId="15" xfId="0" applyNumberFormat="1" applyFont="1" applyBorder="1" applyAlignment="1">
      <alignment horizontal="center" vertical="center"/>
    </xf>
    <xf numFmtId="183" fontId="31" fillId="0" borderId="16" xfId="0" applyNumberFormat="1" applyFont="1" applyBorder="1" applyAlignment="1">
      <alignment horizontal="center" vertical="center"/>
    </xf>
    <xf numFmtId="0" fontId="31" fillId="28" borderId="74" xfId="0" applyFont="1" applyFill="1" applyBorder="1" applyAlignment="1">
      <alignment horizontal="center" vertical="center"/>
    </xf>
    <xf numFmtId="0" fontId="31" fillId="0" borderId="0" xfId="0" quotePrefix="1" applyFont="1" applyAlignment="1">
      <alignment horizontal="left" vertical="center" indent="1"/>
    </xf>
    <xf numFmtId="0" fontId="31" fillId="0" borderId="13" xfId="0" quotePrefix="1" applyFont="1" applyBorder="1" applyAlignment="1">
      <alignment horizontal="center" vertical="top"/>
    </xf>
    <xf numFmtId="0" fontId="31" fillId="0" borderId="0" xfId="0" quotePrefix="1" applyFont="1"/>
    <xf numFmtId="0" fontId="31" fillId="28" borderId="54" xfId="0" applyFont="1" applyFill="1" applyBorder="1" applyAlignment="1">
      <alignment horizontal="center" vertical="center"/>
    </xf>
    <xf numFmtId="0" fontId="31" fillId="28" borderId="12" xfId="0" applyFont="1" applyFill="1" applyBorder="1" applyAlignment="1">
      <alignment horizontal="center" vertical="center" wrapText="1"/>
    </xf>
    <xf numFmtId="0" fontId="31" fillId="28" borderId="14" xfId="0" applyFont="1" applyFill="1" applyBorder="1" applyAlignment="1">
      <alignment horizontal="center" vertical="center" wrapText="1"/>
    </xf>
    <xf numFmtId="0" fontId="31" fillId="0" borderId="16" xfId="0" applyFont="1" applyBorder="1" applyAlignment="1">
      <alignment vertical="center"/>
    </xf>
    <xf numFmtId="0" fontId="31" fillId="29" borderId="54" xfId="0" applyFont="1" applyFill="1" applyBorder="1" applyAlignment="1">
      <alignment horizontal="center" vertical="center"/>
    </xf>
    <xf numFmtId="0" fontId="31" fillId="29" borderId="12" xfId="0" applyFont="1" applyFill="1" applyBorder="1" applyAlignment="1">
      <alignment horizontal="center" vertical="center"/>
    </xf>
    <xf numFmtId="183" fontId="31" fillId="28" borderId="56" xfId="0" applyNumberFormat="1" applyFont="1" applyFill="1" applyBorder="1" applyAlignment="1">
      <alignment horizontal="center" vertical="center"/>
    </xf>
    <xf numFmtId="183" fontId="31" fillId="28" borderId="28" xfId="0" applyNumberFormat="1" applyFont="1" applyFill="1" applyBorder="1" applyAlignment="1">
      <alignment horizontal="center" vertical="center"/>
    </xf>
    <xf numFmtId="183" fontId="31" fillId="28" borderId="14" xfId="0" applyNumberFormat="1" applyFont="1" applyFill="1" applyBorder="1" applyAlignment="1">
      <alignment horizontal="center" vertical="center"/>
    </xf>
    <xf numFmtId="1" fontId="31" fillId="0" borderId="18" xfId="0" applyNumberFormat="1" applyFont="1" applyBorder="1" applyAlignment="1">
      <alignment horizontal="center" vertical="center"/>
    </xf>
    <xf numFmtId="183" fontId="31" fillId="0" borderId="10" xfId="0" applyNumberFormat="1" applyFont="1" applyBorder="1" applyAlignment="1">
      <alignment horizontal="center" vertical="center"/>
    </xf>
    <xf numFmtId="183" fontId="31" fillId="0" borderId="53" xfId="0" applyNumberFormat="1" applyFont="1" applyBorder="1" applyAlignment="1">
      <alignment horizontal="center" vertical="center"/>
    </xf>
    <xf numFmtId="1" fontId="31" fillId="0" borderId="53" xfId="0" applyNumberFormat="1" applyFont="1" applyBorder="1" applyAlignment="1">
      <alignment horizontal="center" vertical="center"/>
    </xf>
    <xf numFmtId="164" fontId="31" fillId="0" borderId="11" xfId="0" applyNumberFormat="1" applyFont="1" applyBorder="1" applyAlignment="1">
      <alignment horizontal="center" vertical="center"/>
    </xf>
    <xf numFmtId="164" fontId="32" fillId="0" borderId="34" xfId="0" applyNumberFormat="1" applyFont="1" applyBorder="1" applyAlignment="1">
      <alignment horizontal="center" vertical="center"/>
    </xf>
    <xf numFmtId="0" fontId="31" fillId="28" borderId="54" xfId="0" applyFont="1" applyFill="1" applyBorder="1" applyAlignment="1">
      <alignment horizontal="center" vertical="center" wrapText="1"/>
    </xf>
    <xf numFmtId="189" fontId="31" fillId="29" borderId="18" xfId="0" applyNumberFormat="1" applyFont="1" applyFill="1" applyBorder="1" applyAlignment="1">
      <alignment horizontal="center" vertical="center"/>
    </xf>
    <xf numFmtId="183" fontId="31" fillId="29" borderId="30" xfId="0" applyNumberFormat="1" applyFont="1" applyFill="1" applyBorder="1" applyAlignment="1">
      <alignment horizontal="center" vertical="center"/>
    </xf>
    <xf numFmtId="189" fontId="31" fillId="29" borderId="16" xfId="0" applyNumberFormat="1" applyFont="1" applyFill="1" applyBorder="1" applyAlignment="1">
      <alignment horizontal="center" vertical="center"/>
    </xf>
    <xf numFmtId="183" fontId="31" fillId="29" borderId="28" xfId="0" applyNumberFormat="1" applyFont="1" applyFill="1" applyBorder="1" applyAlignment="1">
      <alignment horizontal="center" vertical="center"/>
    </xf>
    <xf numFmtId="189" fontId="31" fillId="29" borderId="13" xfId="0" applyNumberFormat="1" applyFont="1" applyFill="1" applyBorder="1" applyAlignment="1">
      <alignment horizontal="center" vertical="center"/>
    </xf>
    <xf numFmtId="183" fontId="31" fillId="29" borderId="14" xfId="0" applyNumberFormat="1" applyFont="1" applyFill="1" applyBorder="1" applyAlignment="1">
      <alignment horizontal="center" vertical="center"/>
    </xf>
    <xf numFmtId="0" fontId="31" fillId="28" borderId="78" xfId="0" applyFont="1" applyFill="1" applyBorder="1" applyAlignment="1">
      <alignment horizontal="center" vertical="center"/>
    </xf>
    <xf numFmtId="0" fontId="31" fillId="29" borderId="52" xfId="0" applyFont="1" applyFill="1" applyBorder="1" applyAlignment="1">
      <alignment horizontal="center" vertical="center"/>
    </xf>
    <xf numFmtId="0" fontId="31" fillId="29" borderId="79" xfId="0" applyFont="1" applyFill="1" applyBorder="1" applyAlignment="1">
      <alignment horizontal="center" vertical="center"/>
    </xf>
    <xf numFmtId="0" fontId="31" fillId="29" borderId="68" xfId="0" applyFont="1" applyFill="1" applyBorder="1" applyAlignment="1">
      <alignment horizontal="center" vertical="center"/>
    </xf>
    <xf numFmtId="0" fontId="31" fillId="28" borderId="43" xfId="0" applyFont="1" applyFill="1" applyBorder="1" applyAlignment="1">
      <alignment horizontal="center" vertical="center"/>
    </xf>
    <xf numFmtId="0" fontId="31" fillId="28" borderId="71" xfId="0" applyFont="1" applyFill="1" applyBorder="1" applyAlignment="1">
      <alignment horizontal="center" vertical="center"/>
    </xf>
    <xf numFmtId="0" fontId="31" fillId="28" borderId="70" xfId="0" applyFont="1" applyFill="1" applyBorder="1" applyAlignment="1">
      <alignment horizontal="center" vertical="center"/>
    </xf>
    <xf numFmtId="0" fontId="31" fillId="28" borderId="68" xfId="0" applyFont="1" applyFill="1" applyBorder="1" applyAlignment="1">
      <alignment horizontal="center" vertical="top"/>
    </xf>
    <xf numFmtId="0" fontId="31" fillId="28" borderId="13" xfId="0" applyFont="1" applyFill="1" applyBorder="1" applyAlignment="1">
      <alignment horizontal="center" vertical="top"/>
    </xf>
    <xf numFmtId="0" fontId="0" fillId="0" borderId="0" xfId="0" applyFill="1" applyAlignment="1"/>
    <xf numFmtId="0" fontId="31" fillId="28" borderId="80" xfId="0" applyFont="1" applyFill="1" applyBorder="1" applyAlignment="1">
      <alignment horizontal="center" vertical="center"/>
    </xf>
    <xf numFmtId="0" fontId="31" fillId="28" borderId="57" xfId="0" applyFont="1" applyFill="1" applyBorder="1" applyAlignment="1">
      <alignment horizontal="center" vertical="center" wrapText="1"/>
    </xf>
    <xf numFmtId="0" fontId="31" fillId="29" borderId="80" xfId="0" applyFont="1" applyFill="1" applyBorder="1" applyAlignment="1">
      <alignment horizontal="center" vertical="center"/>
    </xf>
    <xf numFmtId="0" fontId="31" fillId="29" borderId="27" xfId="0" applyFont="1" applyFill="1" applyBorder="1" applyAlignment="1">
      <alignment horizontal="center" vertical="center"/>
    </xf>
    <xf numFmtId="0" fontId="31" fillId="29" borderId="57" xfId="0" applyFont="1" applyFill="1" applyBorder="1" applyAlignment="1">
      <alignment horizontal="center" vertical="center"/>
    </xf>
    <xf numFmtId="183" fontId="31" fillId="28" borderId="54" xfId="0" applyNumberFormat="1" applyFont="1" applyFill="1" applyBorder="1" applyAlignment="1">
      <alignment horizontal="center" vertical="center"/>
    </xf>
    <xf numFmtId="183" fontId="31" fillId="28" borderId="15" xfId="0" applyNumberFormat="1" applyFont="1" applyFill="1" applyBorder="1" applyAlignment="1">
      <alignment horizontal="center" vertical="center"/>
    </xf>
    <xf numFmtId="183" fontId="31" fillId="28" borderId="12" xfId="0" applyNumberFormat="1" applyFont="1" applyFill="1" applyBorder="1" applyAlignment="1">
      <alignment horizontal="center" vertical="center"/>
    </xf>
    <xf numFmtId="0" fontId="31" fillId="29" borderId="43" xfId="0" applyFont="1" applyFill="1" applyBorder="1" applyAlignment="1">
      <alignment horizontal="center" vertical="center" wrapText="1"/>
    </xf>
    <xf numFmtId="0" fontId="31" fillId="29" borderId="71" xfId="0" applyFont="1" applyFill="1" applyBorder="1" applyAlignment="1">
      <alignment horizontal="center" vertical="center" wrapText="1"/>
    </xf>
    <xf numFmtId="0" fontId="31" fillId="29" borderId="71" xfId="0" applyFont="1" applyFill="1" applyBorder="1" applyAlignment="1">
      <alignment horizontal="center"/>
    </xf>
    <xf numFmtId="0" fontId="31" fillId="29" borderId="70" xfId="0" applyFont="1" applyFill="1" applyBorder="1" applyAlignment="1">
      <alignment horizontal="center"/>
    </xf>
    <xf numFmtId="0" fontId="31" fillId="0" borderId="0" xfId="0" applyFont="1" applyFill="1" applyAlignment="1"/>
    <xf numFmtId="189" fontId="31" fillId="0" borderId="0" xfId="0" applyNumberFormat="1" applyFont="1" applyFill="1" applyBorder="1" applyAlignment="1">
      <alignment horizontal="center" vertical="center"/>
    </xf>
    <xf numFmtId="0" fontId="31" fillId="0" borderId="0" xfId="0" applyFont="1" applyFill="1" applyBorder="1"/>
    <xf numFmtId="0" fontId="31" fillId="28" borderId="52" xfId="0" applyFont="1" applyFill="1" applyBorder="1" applyAlignment="1">
      <alignment horizontal="center" vertical="center" wrapText="1"/>
    </xf>
    <xf numFmtId="0" fontId="31" fillId="28" borderId="18" xfId="0" applyFont="1" applyFill="1" applyBorder="1" applyAlignment="1">
      <alignment horizontal="center" vertical="center" wrapText="1"/>
    </xf>
    <xf numFmtId="0" fontId="31" fillId="28" borderId="0" xfId="0" applyFont="1" applyFill="1" applyAlignment="1">
      <alignment horizontal="center" vertical="center" wrapText="1"/>
    </xf>
    <xf numFmtId="0" fontId="38" fillId="0" borderId="0" xfId="38" applyFont="1" applyAlignment="1">
      <alignment vertical="center"/>
    </xf>
    <xf numFmtId="0" fontId="32" fillId="0" borderId="0" xfId="38" applyFont="1" applyBorder="1" applyAlignment="1">
      <alignment horizontal="center" vertical="center"/>
    </xf>
    <xf numFmtId="0" fontId="31" fillId="0" borderId="0" xfId="38" applyFont="1"/>
    <xf numFmtId="0" fontId="33" fillId="0" borderId="0" xfId="38" applyFont="1"/>
    <xf numFmtId="0" fontId="31" fillId="0" borderId="37" xfId="38" applyFont="1" applyBorder="1" applyAlignment="1">
      <alignment horizontal="center" vertical="center" wrapText="1"/>
    </xf>
    <xf numFmtId="0" fontId="31" fillId="0" borderId="47" xfId="38" applyFont="1" applyBorder="1" applyAlignment="1">
      <alignment horizontal="center" vertical="center" wrapText="1"/>
    </xf>
    <xf numFmtId="0" fontId="31" fillId="0" borderId="0" xfId="38" applyFont="1" applyBorder="1" applyAlignment="1">
      <alignment horizontal="center" vertical="center"/>
    </xf>
    <xf numFmtId="0" fontId="31" fillId="0" borderId="0" xfId="38" applyFont="1" applyFill="1"/>
    <xf numFmtId="183" fontId="31" fillId="0" borderId="15" xfId="38" applyNumberFormat="1" applyFont="1" applyFill="1" applyBorder="1" applyAlignment="1">
      <alignment horizontal="center" vertical="center" wrapText="1"/>
    </xf>
    <xf numFmtId="0" fontId="31" fillId="0" borderId="16" xfId="38" applyFont="1" applyFill="1" applyBorder="1" applyAlignment="1">
      <alignment horizontal="center" vertical="center" wrapText="1"/>
    </xf>
    <xf numFmtId="0" fontId="31" fillId="0" borderId="0" xfId="38" applyFont="1" applyFill="1" applyBorder="1" applyAlignment="1">
      <alignment vertical="center" wrapText="1"/>
    </xf>
    <xf numFmtId="183" fontId="31" fillId="0" borderId="15" xfId="38" applyNumberFormat="1" applyFont="1" applyBorder="1" applyAlignment="1">
      <alignment horizontal="center" vertical="center" wrapText="1"/>
    </xf>
    <xf numFmtId="0" fontId="31" fillId="0" borderId="16" xfId="38" applyFont="1" applyBorder="1" applyAlignment="1">
      <alignment horizontal="center" vertical="center" wrapText="1"/>
    </xf>
    <xf numFmtId="0" fontId="31" fillId="0" borderId="0" xfId="38" applyFont="1" applyBorder="1" applyAlignment="1">
      <alignment vertical="center" wrapText="1"/>
    </xf>
    <xf numFmtId="183" fontId="31" fillId="0" borderId="12" xfId="38" applyNumberFormat="1" applyFont="1" applyBorder="1" applyAlignment="1">
      <alignment horizontal="center" vertical="center" wrapText="1"/>
    </xf>
    <xf numFmtId="0" fontId="31" fillId="0" borderId="41" xfId="38" applyFont="1" applyBorder="1" applyAlignment="1">
      <alignment horizontal="center" vertical="center" wrapText="1"/>
    </xf>
    <xf numFmtId="0" fontId="31" fillId="0" borderId="13" xfId="38" applyFont="1" applyBorder="1" applyAlignment="1">
      <alignment horizontal="center" vertical="center" wrapText="1"/>
    </xf>
    <xf numFmtId="0" fontId="31" fillId="0" borderId="0" xfId="38" applyFont="1" applyAlignment="1">
      <alignment vertical="distributed"/>
    </xf>
    <xf numFmtId="0" fontId="32" fillId="0" borderId="0" xfId="38" applyFont="1" applyFill="1" applyBorder="1" applyAlignment="1">
      <alignment horizontal="center" vertical="center"/>
    </xf>
    <xf numFmtId="0" fontId="31" fillId="0" borderId="0" xfId="38" applyFont="1" applyAlignment="1">
      <alignment horizontal="left" vertical="center"/>
    </xf>
    <xf numFmtId="177" fontId="31" fillId="0" borderId="0" xfId="38" applyNumberFormat="1" applyFont="1" applyAlignment="1">
      <alignment horizontal="right" vertical="center"/>
    </xf>
    <xf numFmtId="0" fontId="31" fillId="0" borderId="0" xfId="0" applyFont="1" applyAlignment="1">
      <alignment vertical="distributed"/>
    </xf>
    <xf numFmtId="0" fontId="32" fillId="24" borderId="37" xfId="38" applyFont="1" applyFill="1" applyBorder="1" applyAlignment="1">
      <alignment horizontal="center" vertical="center"/>
    </xf>
    <xf numFmtId="0" fontId="32" fillId="24" borderId="47" xfId="38" applyFont="1" applyFill="1" applyBorder="1" applyAlignment="1">
      <alignment horizontal="center" vertical="center"/>
    </xf>
    <xf numFmtId="0" fontId="32" fillId="24" borderId="38" xfId="38" applyFont="1" applyFill="1" applyBorder="1" applyAlignment="1">
      <alignment horizontal="center" vertical="center"/>
    </xf>
    <xf numFmtId="0" fontId="31" fillId="0" borderId="0" xfId="38" applyFont="1" applyAlignment="1">
      <alignment horizontal="right" vertical="center"/>
    </xf>
    <xf numFmtId="0" fontId="31" fillId="24" borderId="15" xfId="38" applyFont="1" applyFill="1" applyBorder="1" applyAlignment="1">
      <alignment horizontal="center" vertical="center"/>
    </xf>
    <xf numFmtId="0" fontId="31" fillId="24" borderId="16" xfId="38" applyFont="1" applyFill="1" applyBorder="1" applyAlignment="1">
      <alignment horizontal="center" vertical="center"/>
    </xf>
    <xf numFmtId="0" fontId="31" fillId="24" borderId="28" xfId="38" applyFont="1" applyFill="1" applyBorder="1" applyAlignment="1">
      <alignment horizontal="center" vertical="center"/>
    </xf>
    <xf numFmtId="0" fontId="31" fillId="29" borderId="12" xfId="38" applyFont="1" applyFill="1" applyBorder="1" applyAlignment="1">
      <alignment horizontal="center" vertical="center"/>
    </xf>
    <xf numFmtId="0" fontId="31" fillId="29" borderId="14" xfId="38" applyFont="1" applyFill="1" applyBorder="1" applyAlignment="1">
      <alignment horizontal="center" vertical="center"/>
    </xf>
    <xf numFmtId="0" fontId="32" fillId="0" borderId="0" xfId="38" applyFont="1" applyAlignment="1">
      <alignment horizontal="right"/>
    </xf>
    <xf numFmtId="0" fontId="31" fillId="24" borderId="17" xfId="38" applyFont="1" applyFill="1" applyBorder="1" applyAlignment="1">
      <alignment horizontal="center" vertical="center"/>
    </xf>
    <xf numFmtId="0" fontId="31" fillId="24" borderId="18" xfId="38" applyFont="1" applyFill="1" applyBorder="1" applyAlignment="1">
      <alignment horizontal="center" vertical="center"/>
    </xf>
    <xf numFmtId="0" fontId="31" fillId="24" borderId="30" xfId="38" applyFont="1" applyFill="1" applyBorder="1" applyAlignment="1">
      <alignment horizontal="center" vertical="center"/>
    </xf>
    <xf numFmtId="0" fontId="31" fillId="30" borderId="0" xfId="38" applyFont="1" applyFill="1" applyBorder="1" applyAlignment="1">
      <alignment vertical="center" wrapText="1"/>
    </xf>
    <xf numFmtId="0" fontId="31" fillId="30" borderId="0" xfId="38" applyFont="1" applyFill="1" applyAlignment="1">
      <alignment horizontal="left" vertical="center"/>
    </xf>
    <xf numFmtId="0" fontId="31" fillId="0" borderId="28" xfId="38" applyFont="1" applyFill="1" applyBorder="1" applyAlignment="1">
      <alignment horizontal="left" vertical="top" wrapText="1"/>
    </xf>
    <xf numFmtId="0" fontId="31" fillId="0" borderId="28" xfId="38" applyFont="1" applyBorder="1" applyAlignment="1">
      <alignment horizontal="left" vertical="top" wrapText="1"/>
    </xf>
    <xf numFmtId="0" fontId="31" fillId="0" borderId="42" xfId="38" applyFont="1" applyBorder="1" applyAlignment="1">
      <alignment horizontal="left" vertical="top" wrapText="1"/>
    </xf>
    <xf numFmtId="0" fontId="31" fillId="0" borderId="38" xfId="38" applyFont="1" applyBorder="1" applyAlignment="1">
      <alignment horizontal="left" vertical="center" wrapText="1"/>
    </xf>
    <xf numFmtId="0" fontId="31" fillId="0" borderId="47" xfId="38" applyFont="1" applyBorder="1" applyAlignment="1">
      <alignment horizontal="left" vertical="center" wrapText="1"/>
    </xf>
    <xf numFmtId="0" fontId="31" fillId="0" borderId="16" xfId="38" applyFont="1" applyFill="1" applyBorder="1" applyAlignment="1">
      <alignment horizontal="left" vertical="center" wrapText="1"/>
    </xf>
    <xf numFmtId="0" fontId="31" fillId="0" borderId="16" xfId="38" applyFont="1" applyBorder="1" applyAlignment="1">
      <alignment horizontal="left" vertical="center" wrapText="1"/>
    </xf>
    <xf numFmtId="0" fontId="31" fillId="0" borderId="41" xfId="38" applyFont="1" applyBorder="1" applyAlignment="1">
      <alignment horizontal="left" vertical="center" wrapText="1"/>
    </xf>
    <xf numFmtId="0" fontId="32" fillId="0" borderId="0" xfId="38" applyNumberFormat="1" applyFont="1" applyAlignment="1">
      <alignment horizontal="right" vertical="center"/>
    </xf>
    <xf numFmtId="0" fontId="31" fillId="0" borderId="0" xfId="38" applyFont="1" applyAlignment="1"/>
    <xf numFmtId="0" fontId="31" fillId="30" borderId="51" xfId="38" applyFont="1" applyFill="1" applyBorder="1"/>
    <xf numFmtId="0" fontId="31" fillId="28" borderId="35" xfId="38" applyFont="1" applyFill="1" applyBorder="1" applyAlignment="1">
      <alignment vertical="center"/>
    </xf>
    <xf numFmtId="0" fontId="31" fillId="28" borderId="19" xfId="38" applyFont="1" applyFill="1" applyBorder="1"/>
    <xf numFmtId="0" fontId="31" fillId="28" borderId="0" xfId="38" applyFont="1" applyFill="1"/>
    <xf numFmtId="0" fontId="31" fillId="28" borderId="51" xfId="38" applyFont="1" applyFill="1" applyBorder="1"/>
    <xf numFmtId="0" fontId="31" fillId="28" borderId="0" xfId="38" applyFont="1" applyFill="1" applyBorder="1" applyAlignment="1">
      <alignment vertical="center" wrapText="1"/>
    </xf>
    <xf numFmtId="0" fontId="31" fillId="0" borderId="16" xfId="0" applyFont="1" applyBorder="1" applyAlignment="1">
      <alignment horizontal="center" vertical="center" textRotation="90"/>
    </xf>
    <xf numFmtId="0" fontId="31" fillId="0" borderId="16" xfId="0" applyFont="1" applyBorder="1" applyAlignment="1">
      <alignment horizontal="center" vertical="center" wrapText="1"/>
    </xf>
    <xf numFmtId="2" fontId="31" fillId="0" borderId="16" xfId="0" applyNumberFormat="1" applyFont="1" applyBorder="1" applyAlignment="1">
      <alignment horizontal="center" vertical="center"/>
    </xf>
    <xf numFmtId="0" fontId="31" fillId="0" borderId="16" xfId="0" applyFont="1" applyFill="1" applyBorder="1" applyAlignment="1">
      <alignment horizontal="center" vertical="center"/>
    </xf>
    <xf numFmtId="20" fontId="31" fillId="0" borderId="16" xfId="0" quotePrefix="1" applyNumberFormat="1" applyFont="1" applyBorder="1" applyAlignment="1">
      <alignment horizontal="center" vertical="center"/>
    </xf>
    <xf numFmtId="2" fontId="31" fillId="0" borderId="18" xfId="0" applyNumberFormat="1" applyFont="1" applyBorder="1" applyAlignment="1">
      <alignment horizontal="center" vertical="center"/>
    </xf>
    <xf numFmtId="183" fontId="31" fillId="0" borderId="33" xfId="0" applyNumberFormat="1" applyFont="1" applyBorder="1" applyAlignment="1">
      <alignment horizontal="center" vertical="center"/>
    </xf>
    <xf numFmtId="2" fontId="31" fillId="0" borderId="33" xfId="0" applyNumberFormat="1" applyFont="1" applyBorder="1" applyAlignment="1">
      <alignment horizontal="center" vertical="center"/>
    </xf>
    <xf numFmtId="0" fontId="32" fillId="0" borderId="39" xfId="0" applyFont="1" applyBorder="1" applyAlignment="1">
      <alignment horizontal="center" vertical="center"/>
    </xf>
    <xf numFmtId="180" fontId="32" fillId="0" borderId="81" xfId="0" applyNumberFormat="1" applyFont="1" applyBorder="1" applyAlignment="1">
      <alignment horizontal="center" vertical="center"/>
    </xf>
    <xf numFmtId="0" fontId="32" fillId="0" borderId="81" xfId="0" applyFont="1" applyBorder="1" applyAlignment="1">
      <alignment horizontal="center" vertical="center"/>
    </xf>
    <xf numFmtId="164" fontId="32" fillId="0" borderId="81" xfId="0" applyNumberFormat="1" applyFont="1" applyBorder="1" applyAlignment="1">
      <alignment horizontal="center" vertical="center"/>
    </xf>
    <xf numFmtId="2" fontId="32" fillId="0" borderId="81" xfId="0" applyNumberFormat="1" applyFont="1" applyBorder="1" applyAlignment="1">
      <alignment horizontal="center" vertical="center"/>
    </xf>
    <xf numFmtId="0" fontId="32" fillId="0" borderId="82" xfId="0" applyFont="1" applyBorder="1" applyAlignment="1">
      <alignment horizontal="right" vertical="center"/>
    </xf>
    <xf numFmtId="0" fontId="32" fillId="0" borderId="47" xfId="0" applyFont="1" applyBorder="1" applyAlignment="1">
      <alignment horizontal="center" vertical="center"/>
    </xf>
    <xf numFmtId="0" fontId="32" fillId="0" borderId="83" xfId="0" applyFont="1" applyBorder="1" applyAlignment="1">
      <alignment horizontal="center" vertical="center"/>
    </xf>
    <xf numFmtId="0" fontId="32" fillId="0" borderId="84" xfId="0" applyFont="1" applyBorder="1" applyAlignment="1">
      <alignment horizontal="center" vertical="center"/>
    </xf>
    <xf numFmtId="180" fontId="31" fillId="0" borderId="0" xfId="0" applyNumberFormat="1" applyFont="1" applyBorder="1" applyAlignment="1">
      <alignment horizontal="center" vertical="center"/>
    </xf>
    <xf numFmtId="164" fontId="31" fillId="0" borderId="0" xfId="0" applyNumberFormat="1" applyFont="1" applyBorder="1" applyAlignment="1">
      <alignment horizontal="left" vertical="center"/>
    </xf>
    <xf numFmtId="181" fontId="31" fillId="0" borderId="34" xfId="0" applyNumberFormat="1" applyFont="1" applyFill="1" applyBorder="1" applyAlignment="1">
      <alignment vertical="center"/>
    </xf>
    <xf numFmtId="0" fontId="31" fillId="0" borderId="34" xfId="0" applyFont="1" applyFill="1" applyBorder="1" applyAlignment="1">
      <alignment vertical="center"/>
    </xf>
    <xf numFmtId="0" fontId="31" fillId="0" borderId="13" xfId="0" applyFont="1" applyBorder="1" applyAlignment="1">
      <alignment horizontal="center" vertical="top"/>
    </xf>
    <xf numFmtId="0" fontId="0" fillId="31" borderId="0" xfId="0" applyFill="1" applyBorder="1"/>
    <xf numFmtId="0" fontId="38" fillId="0" borderId="0" xfId="38" applyFont="1" applyAlignment="1">
      <alignment horizontal="left" vertical="center"/>
    </xf>
    <xf numFmtId="0" fontId="31" fillId="0" borderId="0" xfId="38" applyFont="1" applyAlignment="1">
      <alignment horizontal="center" vertical="center"/>
    </xf>
    <xf numFmtId="0" fontId="31" fillId="28" borderId="0" xfId="38" applyFont="1" applyFill="1" applyAlignment="1">
      <alignment horizontal="center" vertical="center"/>
    </xf>
    <xf numFmtId="0" fontId="31" fillId="28" borderId="0" xfId="38" applyFont="1" applyFill="1" applyAlignment="1">
      <alignment horizontal="center" vertical="center" wrapText="1"/>
    </xf>
    <xf numFmtId="0" fontId="31" fillId="0" borderId="0" xfId="38" quotePrefix="1" applyFont="1"/>
    <xf numFmtId="0" fontId="31" fillId="0" borderId="0" xfId="38" applyFont="1" applyBorder="1" applyAlignment="1">
      <alignment horizontal="center" vertical="center" wrapText="1"/>
    </xf>
    <xf numFmtId="0" fontId="32" fillId="24" borderId="37" xfId="38" applyNumberFormat="1" applyFont="1" applyFill="1" applyBorder="1" applyAlignment="1">
      <alignment horizontal="center" vertical="center"/>
    </xf>
    <xf numFmtId="0" fontId="32" fillId="24" borderId="47" xfId="38" applyNumberFormat="1" applyFont="1" applyFill="1" applyBorder="1" applyAlignment="1">
      <alignment horizontal="center" vertical="center"/>
    </xf>
    <xf numFmtId="0" fontId="31" fillId="0" borderId="19" xfId="38" applyFont="1" applyBorder="1" applyAlignment="1">
      <alignment horizontal="center" vertical="center"/>
    </xf>
    <xf numFmtId="0" fontId="31" fillId="0" borderId="43" xfId="38" applyFont="1" applyBorder="1" applyAlignment="1">
      <alignment horizontal="left" vertical="center"/>
    </xf>
    <xf numFmtId="0" fontId="31" fillId="0" borderId="0" xfId="38" applyFont="1" applyBorder="1" applyAlignment="1">
      <alignment horizontal="left" vertical="center"/>
    </xf>
    <xf numFmtId="0" fontId="31" fillId="24" borderId="35" xfId="38" applyFont="1" applyFill="1" applyBorder="1" applyAlignment="1">
      <alignment horizontal="center" vertical="center"/>
    </xf>
    <xf numFmtId="0" fontId="31" fillId="24" borderId="61" xfId="38" applyFont="1" applyFill="1" applyBorder="1" applyAlignment="1">
      <alignment horizontal="center" vertical="center"/>
    </xf>
    <xf numFmtId="0" fontId="31" fillId="28" borderId="0" xfId="38" applyFont="1" applyFill="1" applyBorder="1" applyAlignment="1">
      <alignment horizontal="center" vertical="center"/>
    </xf>
    <xf numFmtId="0" fontId="31" fillId="28" borderId="53" xfId="38" applyFont="1" applyFill="1" applyBorder="1"/>
    <xf numFmtId="0" fontId="31" fillId="0" borderId="57" xfId="38" applyFont="1" applyBorder="1" applyAlignment="1">
      <alignment horizontal="center" vertical="center"/>
    </xf>
    <xf numFmtId="0" fontId="31" fillId="0" borderId="70" xfId="38" applyFont="1" applyBorder="1" applyAlignment="1">
      <alignment horizontal="left" vertical="center"/>
    </xf>
    <xf numFmtId="0" fontId="31" fillId="24" borderId="41" xfId="38" applyFont="1" applyFill="1" applyBorder="1" applyAlignment="1">
      <alignment horizontal="center" vertical="center"/>
    </xf>
    <xf numFmtId="0" fontId="32" fillId="24" borderId="18" xfId="38" applyFont="1" applyFill="1" applyBorder="1" applyAlignment="1">
      <alignment horizontal="center" vertical="center"/>
    </xf>
    <xf numFmtId="0" fontId="41" fillId="0" borderId="0" xfId="38" applyFont="1" applyAlignment="1">
      <alignment horizontal="left" vertical="center"/>
    </xf>
    <xf numFmtId="0" fontId="41" fillId="0" borderId="0" xfId="38" applyFont="1" applyAlignment="1">
      <alignment horizontal="center" vertical="center"/>
    </xf>
    <xf numFmtId="0" fontId="31" fillId="0" borderId="0" xfId="38" applyFont="1" applyAlignment="1">
      <alignment vertical="center"/>
    </xf>
    <xf numFmtId="0" fontId="31" fillId="0" borderId="0" xfId="38" applyFont="1" applyFill="1" applyBorder="1"/>
    <xf numFmtId="176" fontId="32" fillId="0" borderId="0" xfId="38" applyNumberFormat="1" applyFont="1" applyAlignment="1">
      <alignment horizontal="right" vertical="center"/>
    </xf>
    <xf numFmtId="0" fontId="31" fillId="0" borderId="0" xfId="38" applyNumberFormat="1" applyFont="1" applyAlignment="1">
      <alignment horizontal="left" vertical="center"/>
    </xf>
    <xf numFmtId="9" fontId="31" fillId="0" borderId="0" xfId="38" applyNumberFormat="1" applyFont="1" applyFill="1" applyBorder="1" applyAlignment="1">
      <alignment horizontal="center" vertical="center"/>
    </xf>
    <xf numFmtId="0" fontId="31" fillId="0" borderId="0" xfId="38" applyFont="1" applyFill="1" applyBorder="1" applyAlignment="1">
      <alignment vertical="center"/>
    </xf>
    <xf numFmtId="0" fontId="31" fillId="0" borderId="66" xfId="38" applyFont="1" applyBorder="1" applyAlignment="1">
      <alignment horizontal="center" vertical="center" wrapText="1"/>
    </xf>
    <xf numFmtId="0" fontId="31" fillId="0" borderId="31" xfId="38" applyFont="1" applyFill="1" applyBorder="1" applyAlignment="1">
      <alignment horizontal="center" vertical="center"/>
    </xf>
    <xf numFmtId="0" fontId="31" fillId="0" borderId="59" xfId="38" applyFont="1" applyFill="1" applyBorder="1" applyAlignment="1">
      <alignment horizontal="center" vertical="center"/>
    </xf>
    <xf numFmtId="0" fontId="31" fillId="0" borderId="54" xfId="38" applyFont="1" applyBorder="1" applyAlignment="1">
      <alignment horizontal="center" vertical="center" wrapText="1"/>
    </xf>
    <xf numFmtId="0" fontId="31" fillId="0" borderId="17" xfId="38" applyFont="1" applyBorder="1" applyAlignment="1">
      <alignment horizontal="center" vertical="center"/>
    </xf>
    <xf numFmtId="0" fontId="31" fillId="0" borderId="12" xfId="38" applyFont="1" applyBorder="1" applyAlignment="1">
      <alignment horizontal="center" vertical="center"/>
    </xf>
    <xf numFmtId="0" fontId="31" fillId="0" borderId="12" xfId="38" applyFont="1" applyBorder="1" applyAlignment="1">
      <alignment horizontal="center" vertical="top" wrapText="1"/>
    </xf>
    <xf numFmtId="0" fontId="31" fillId="0" borderId="59" xfId="38" applyFont="1" applyBorder="1" applyAlignment="1">
      <alignment horizontal="center" vertical="top" wrapText="1"/>
    </xf>
    <xf numFmtId="0" fontId="31" fillId="30" borderId="27" xfId="38" applyFont="1" applyFill="1" applyBorder="1" applyAlignment="1">
      <alignment horizontal="center" vertical="center"/>
    </xf>
    <xf numFmtId="0" fontId="31" fillId="28" borderId="19" xfId="38" applyFont="1" applyFill="1" applyBorder="1" applyAlignment="1">
      <alignment horizontal="center" vertical="center"/>
    </xf>
    <xf numFmtId="0" fontId="31" fillId="28" borderId="27" xfId="38" applyFont="1" applyFill="1" applyBorder="1" applyAlignment="1">
      <alignment horizontal="center" vertical="center"/>
    </xf>
    <xf numFmtId="0" fontId="31" fillId="30" borderId="64" xfId="38" applyFont="1" applyFill="1" applyBorder="1" applyAlignment="1">
      <alignment horizontal="center" vertical="center"/>
    </xf>
    <xf numFmtId="0" fontId="31" fillId="24" borderId="53" xfId="38" applyFont="1" applyFill="1" applyBorder="1" applyAlignment="1">
      <alignment horizontal="center" vertical="center"/>
    </xf>
    <xf numFmtId="0" fontId="32" fillId="28" borderId="41" xfId="38" applyFont="1" applyFill="1" applyBorder="1" applyAlignment="1">
      <alignment horizontal="center" vertical="center" wrapText="1"/>
    </xf>
    <xf numFmtId="0" fontId="32" fillId="28" borderId="42" xfId="38" applyFont="1" applyFill="1" applyBorder="1" applyAlignment="1">
      <alignment horizontal="center" vertical="center" wrapText="1"/>
    </xf>
    <xf numFmtId="0" fontId="31" fillId="0" borderId="34" xfId="0" applyFont="1" applyBorder="1" applyAlignment="1">
      <alignment horizontal="center" textRotation="90" wrapText="1"/>
    </xf>
    <xf numFmtId="0" fontId="31" fillId="0" borderId="69" xfId="0" applyFont="1" applyBorder="1" applyAlignment="1">
      <alignment horizontal="center" textRotation="90" wrapText="1"/>
    </xf>
    <xf numFmtId="0" fontId="31" fillId="0" borderId="61" xfId="0" applyFont="1" applyBorder="1" applyAlignment="1">
      <alignment horizontal="center" textRotation="90" wrapText="1"/>
    </xf>
    <xf numFmtId="0" fontId="31" fillId="0" borderId="73" xfId="0" applyFont="1" applyBorder="1" applyAlignment="1">
      <alignment horizontal="center" vertical="center"/>
    </xf>
    <xf numFmtId="0" fontId="31" fillId="0" borderId="64" xfId="0" applyFont="1" applyBorder="1" applyAlignment="1">
      <alignment horizontal="center" vertical="center"/>
    </xf>
    <xf numFmtId="166" fontId="31" fillId="0" borderId="35" xfId="0" applyNumberFormat="1" applyFont="1" applyBorder="1" applyAlignment="1">
      <alignment horizontal="center" vertical="center"/>
    </xf>
    <xf numFmtId="0" fontId="31" fillId="0" borderId="63" xfId="0" applyFont="1" applyBorder="1" applyAlignment="1">
      <alignment vertical="center" wrapText="1"/>
    </xf>
    <xf numFmtId="0" fontId="31" fillId="0" borderId="0" xfId="0" applyFont="1" applyBorder="1" applyAlignment="1">
      <alignment vertical="center" wrapText="1"/>
    </xf>
    <xf numFmtId="166" fontId="31" fillId="0" borderId="0" xfId="0" applyNumberFormat="1" applyFont="1" applyBorder="1" applyAlignment="1">
      <alignment horizontal="center" vertical="center"/>
    </xf>
    <xf numFmtId="166" fontId="31" fillId="0" borderId="29" xfId="0" applyNumberFormat="1" applyFont="1" applyBorder="1" applyAlignment="1">
      <alignment horizontal="center" vertical="center"/>
    </xf>
    <xf numFmtId="2" fontId="31" fillId="0" borderId="15" xfId="0" applyNumberFormat="1" applyFont="1" applyBorder="1" applyAlignment="1">
      <alignment horizontal="center" vertical="center"/>
    </xf>
    <xf numFmtId="0" fontId="31" fillId="0" borderId="31" xfId="0" applyFont="1" applyBorder="1" applyAlignment="1">
      <alignment vertical="center" wrapText="1"/>
    </xf>
    <xf numFmtId="166" fontId="31" fillId="0" borderId="27" xfId="0" applyNumberFormat="1" applyFont="1" applyBorder="1" applyAlignment="1">
      <alignment horizontal="center" vertical="center"/>
    </xf>
    <xf numFmtId="0" fontId="31" fillId="0" borderId="45" xfId="0" applyFont="1" applyBorder="1" applyAlignment="1">
      <alignment vertical="center" wrapText="1"/>
    </xf>
    <xf numFmtId="0" fontId="31" fillId="0" borderId="85" xfId="0" applyFont="1" applyBorder="1" applyAlignment="1">
      <alignment vertical="center" wrapText="1"/>
    </xf>
    <xf numFmtId="166" fontId="32" fillId="0" borderId="0" xfId="0" applyNumberFormat="1" applyFont="1" applyBorder="1" applyAlignment="1">
      <alignment horizontal="center" vertical="center"/>
    </xf>
    <xf numFmtId="0" fontId="31" fillId="0" borderId="84" xfId="0" applyFont="1" applyBorder="1" applyAlignment="1">
      <alignment vertical="center" wrapText="1"/>
    </xf>
    <xf numFmtId="166" fontId="32" fillId="0" borderId="0" xfId="0" applyNumberFormat="1" applyFont="1" applyBorder="1" applyAlignment="1">
      <alignment horizontal="right" vertical="center"/>
    </xf>
    <xf numFmtId="0" fontId="33" fillId="0" borderId="0" xfId="0" applyFont="1" applyAlignment="1"/>
    <xf numFmtId="0" fontId="31" fillId="0" borderId="0" xfId="0" applyFont="1" applyAlignment="1">
      <alignment vertical="center" textRotation="180"/>
    </xf>
    <xf numFmtId="0" fontId="33" fillId="0" borderId="0" xfId="0" applyFont="1" applyAlignment="1">
      <alignment horizontal="left" vertical="center"/>
    </xf>
    <xf numFmtId="180" fontId="31" fillId="0" borderId="29" xfId="0" applyNumberFormat="1" applyFont="1" applyBorder="1" applyAlignment="1">
      <alignment horizontal="center" vertical="center"/>
    </xf>
    <xf numFmtId="166" fontId="31" fillId="0" borderId="18" xfId="0" applyNumberFormat="1" applyFont="1" applyBorder="1" applyAlignment="1">
      <alignment horizontal="center" vertical="center"/>
    </xf>
    <xf numFmtId="166" fontId="31" fillId="0" borderId="16" xfId="0" applyNumberFormat="1" applyFont="1" applyBorder="1" applyAlignment="1">
      <alignment horizontal="center" vertical="center"/>
    </xf>
    <xf numFmtId="0" fontId="31" fillId="0" borderId="28" xfId="0" applyFont="1" applyBorder="1" applyAlignment="1">
      <alignment vertical="center" wrapText="1"/>
    </xf>
    <xf numFmtId="166" fontId="31" fillId="0" borderId="13" xfId="0" applyNumberFormat="1" applyFont="1" applyBorder="1" applyAlignment="1">
      <alignment horizontal="center" vertical="center"/>
    </xf>
    <xf numFmtId="0" fontId="33" fillId="0" borderId="0" xfId="0" applyFont="1" applyFill="1" applyBorder="1" applyAlignment="1">
      <alignment vertical="center"/>
    </xf>
    <xf numFmtId="184" fontId="31" fillId="0" borderId="0" xfId="0" applyNumberFormat="1" applyFont="1" applyFill="1" applyBorder="1" applyAlignment="1">
      <alignment horizontal="center" vertical="center"/>
    </xf>
    <xf numFmtId="3" fontId="31" fillId="0" borderId="0" xfId="0" applyNumberFormat="1" applyFont="1" applyFill="1" applyBorder="1" applyAlignment="1">
      <alignment horizontal="center" vertical="center"/>
    </xf>
    <xf numFmtId="3" fontId="31" fillId="0" borderId="12" xfId="0" applyNumberFormat="1" applyFont="1" applyBorder="1" applyAlignment="1">
      <alignment horizontal="center" vertical="center"/>
    </xf>
    <xf numFmtId="3" fontId="31" fillId="0" borderId="13" xfId="0" applyNumberFormat="1" applyFont="1" applyBorder="1" applyAlignment="1">
      <alignment horizontal="center" vertical="center"/>
    </xf>
    <xf numFmtId="3" fontId="31" fillId="0" borderId="57" xfId="0" applyNumberFormat="1" applyFont="1" applyBorder="1" applyAlignment="1">
      <alignment horizontal="center" vertical="center"/>
    </xf>
    <xf numFmtId="3" fontId="31" fillId="0" borderId="14" xfId="0" applyNumberFormat="1" applyFont="1" applyBorder="1" applyAlignment="1">
      <alignment horizontal="center" vertical="center"/>
    </xf>
    <xf numFmtId="0" fontId="31" fillId="0" borderId="0" xfId="0" applyFont="1" applyFill="1" applyBorder="1" applyAlignment="1">
      <alignment horizontal="left" vertical="center"/>
    </xf>
    <xf numFmtId="0" fontId="31" fillId="0" borderId="24" xfId="0" applyNumberFormat="1" applyFont="1" applyFill="1" applyBorder="1" applyAlignment="1">
      <alignment horizontal="left" vertical="center" wrapText="1"/>
    </xf>
    <xf numFmtId="3" fontId="31" fillId="0" borderId="17" xfId="0" applyNumberFormat="1" applyFont="1" applyBorder="1" applyAlignment="1">
      <alignment horizontal="center" vertical="center"/>
    </xf>
    <xf numFmtId="3" fontId="31" fillId="0" borderId="35" xfId="0" applyNumberFormat="1" applyFont="1" applyBorder="1" applyAlignment="1">
      <alignment horizontal="center" vertical="center"/>
    </xf>
    <xf numFmtId="3" fontId="31" fillId="0" borderId="18" xfId="0" applyNumberFormat="1" applyFont="1" applyBorder="1" applyAlignment="1">
      <alignment horizontal="center" vertical="center"/>
    </xf>
    <xf numFmtId="3" fontId="31" fillId="0" borderId="19" xfId="0" applyNumberFormat="1" applyFont="1" applyBorder="1" applyAlignment="1">
      <alignment horizontal="center" vertical="center"/>
    </xf>
    <xf numFmtId="3" fontId="31" fillId="0" borderId="30" xfId="0" applyNumberFormat="1" applyFont="1" applyBorder="1" applyAlignment="1">
      <alignment horizontal="center" vertical="center"/>
    </xf>
    <xf numFmtId="3" fontId="31" fillId="0" borderId="63" xfId="0" applyNumberFormat="1" applyFont="1" applyBorder="1" applyAlignment="1">
      <alignment horizontal="left" vertical="center" wrapText="1"/>
    </xf>
    <xf numFmtId="3" fontId="31" fillId="0" borderId="16" xfId="0" applyNumberFormat="1" applyFont="1" applyBorder="1" applyAlignment="1">
      <alignment horizontal="center" vertical="center"/>
    </xf>
    <xf numFmtId="3" fontId="31" fillId="0" borderId="27" xfId="0" applyNumberFormat="1" applyFont="1" applyBorder="1" applyAlignment="1">
      <alignment horizontal="center" vertical="center"/>
    </xf>
    <xf numFmtId="3" fontId="31" fillId="0" borderId="28" xfId="0" applyNumberFormat="1" applyFont="1" applyBorder="1" applyAlignment="1">
      <alignment horizontal="center" vertical="center"/>
    </xf>
    <xf numFmtId="0" fontId="31" fillId="0" borderId="71" xfId="0" applyNumberFormat="1" applyFont="1" applyFill="1" applyBorder="1" applyAlignment="1">
      <alignment horizontal="left" vertical="center" wrapText="1"/>
    </xf>
    <xf numFmtId="3" fontId="32" fillId="0" borderId="37" xfId="0" applyNumberFormat="1" applyFont="1" applyBorder="1" applyAlignment="1">
      <alignment horizontal="center" vertical="center"/>
    </xf>
    <xf numFmtId="3" fontId="32" fillId="0" borderId="47" xfId="0" applyNumberFormat="1" applyFont="1" applyBorder="1" applyAlignment="1">
      <alignment horizontal="center" vertical="center"/>
    </xf>
    <xf numFmtId="3" fontId="32" fillId="0" borderId="83" xfId="0" applyNumberFormat="1" applyFont="1" applyBorder="1" applyAlignment="1">
      <alignment horizontal="center" vertical="center"/>
    </xf>
    <xf numFmtId="3" fontId="32" fillId="0" borderId="38" xfId="0" applyNumberFormat="1" applyFont="1" applyBorder="1" applyAlignment="1">
      <alignment horizontal="center" vertical="center"/>
    </xf>
    <xf numFmtId="3" fontId="31" fillId="0" borderId="60" xfId="0" applyNumberFormat="1" applyFont="1" applyBorder="1" applyAlignment="1">
      <alignment horizontal="left" vertical="center" wrapText="1"/>
    </xf>
    <xf numFmtId="0" fontId="32" fillId="0" borderId="0" xfId="0" applyFont="1" applyFill="1" applyBorder="1" applyAlignment="1">
      <alignment horizontal="right" vertical="center" wrapText="1"/>
    </xf>
    <xf numFmtId="3" fontId="31" fillId="0" borderId="0" xfId="0" applyNumberFormat="1" applyFont="1" applyBorder="1" applyAlignment="1">
      <alignment horizontal="center" vertical="center"/>
    </xf>
    <xf numFmtId="3" fontId="31" fillId="0" borderId="0" xfId="0" applyNumberFormat="1" applyFont="1" applyBorder="1" applyAlignment="1">
      <alignment horizontal="left" vertical="center" wrapText="1"/>
    </xf>
    <xf numFmtId="0" fontId="31" fillId="28" borderId="0" xfId="0" applyFont="1" applyFill="1" applyBorder="1" applyAlignment="1">
      <alignment horizontal="left"/>
    </xf>
    <xf numFmtId="184" fontId="31" fillId="28" borderId="0" xfId="0" applyNumberFormat="1" applyFont="1" applyFill="1" applyBorder="1" applyAlignment="1">
      <alignment horizontal="center" vertical="center"/>
    </xf>
    <xf numFmtId="3" fontId="31" fillId="28" borderId="0" xfId="0" applyNumberFormat="1" applyFont="1" applyFill="1" applyBorder="1" applyAlignment="1">
      <alignment horizontal="center" vertical="center"/>
    </xf>
    <xf numFmtId="1" fontId="31" fillId="28" borderId="0" xfId="0" applyNumberFormat="1" applyFont="1" applyFill="1" applyBorder="1" applyAlignment="1">
      <alignment horizontal="center" vertical="center"/>
    </xf>
    <xf numFmtId="0" fontId="31" fillId="28" borderId="0" xfId="0" applyFont="1" applyFill="1" applyBorder="1" applyAlignment="1">
      <alignment horizontal="right" vertical="center"/>
    </xf>
    <xf numFmtId="0" fontId="31" fillId="28" borderId="0" xfId="0" applyNumberFormat="1" applyFont="1" applyFill="1" applyBorder="1" applyAlignment="1">
      <alignment horizontal="center" vertical="center"/>
    </xf>
    <xf numFmtId="0" fontId="40" fillId="28" borderId="0" xfId="0" applyFont="1" applyFill="1" applyBorder="1" applyAlignment="1">
      <alignment horizontal="left" vertical="center"/>
    </xf>
    <xf numFmtId="0" fontId="31" fillId="0" borderId="0" xfId="0" quotePrefix="1" applyFont="1" applyFill="1" applyBorder="1" applyAlignment="1"/>
    <xf numFmtId="0" fontId="31" fillId="0" borderId="17" xfId="0" applyFont="1" applyFill="1" applyBorder="1" applyAlignment="1">
      <alignment horizontal="center" vertical="center" wrapText="1"/>
    </xf>
    <xf numFmtId="0" fontId="31" fillId="0" borderId="30" xfId="0" applyFont="1" applyFill="1" applyBorder="1" applyAlignment="1">
      <alignment horizontal="center" vertical="center" wrapText="1"/>
    </xf>
    <xf numFmtId="0" fontId="31" fillId="0" borderId="12" xfId="0" applyNumberFormat="1" applyFont="1" applyFill="1" applyBorder="1" applyAlignment="1">
      <alignment horizontal="center" vertical="center" wrapText="1"/>
    </xf>
    <xf numFmtId="0" fontId="31" fillId="0" borderId="14" xfId="0" applyNumberFormat="1" applyFont="1" applyFill="1" applyBorder="1" applyAlignment="1">
      <alignment horizontal="center" vertical="center" wrapText="1"/>
    </xf>
    <xf numFmtId="0" fontId="31" fillId="0" borderId="0" xfId="0" quotePrefix="1" applyFont="1" applyFill="1" applyBorder="1" applyAlignment="1">
      <alignment horizontal="left" vertical="center"/>
    </xf>
    <xf numFmtId="0" fontId="31" fillId="28" borderId="56" xfId="0" applyFont="1" applyFill="1" applyBorder="1" applyAlignment="1">
      <alignment horizontal="center" vertical="center" wrapText="1"/>
    </xf>
    <xf numFmtId="0" fontId="31" fillId="28" borderId="16" xfId="0" applyFont="1" applyFill="1" applyBorder="1" applyAlignment="1">
      <alignment horizontal="center" vertical="center"/>
    </xf>
    <xf numFmtId="0" fontId="31" fillId="28" borderId="28" xfId="0" applyFont="1" applyFill="1" applyBorder="1" applyAlignment="1">
      <alignment horizontal="center" vertical="center"/>
    </xf>
    <xf numFmtId="0" fontId="31" fillId="0" borderId="37" xfId="0" applyFont="1" applyBorder="1" applyAlignment="1">
      <alignment horizontal="center" vertical="center" wrapText="1"/>
    </xf>
    <xf numFmtId="0" fontId="31" fillId="0" borderId="47" xfId="0" applyFont="1" applyBorder="1" applyAlignment="1">
      <alignment vertical="center"/>
    </xf>
    <xf numFmtId="0" fontId="31" fillId="0" borderId="38" xfId="0" applyFont="1" applyBorder="1" applyAlignment="1">
      <alignment vertical="center"/>
    </xf>
    <xf numFmtId="0" fontId="31" fillId="0" borderId="61" xfId="0" applyFont="1" applyBorder="1" applyAlignment="1">
      <alignment vertical="center" wrapText="1"/>
    </xf>
    <xf numFmtId="0" fontId="31" fillId="0" borderId="48" xfId="0" applyFont="1" applyBorder="1" applyAlignment="1">
      <alignment vertical="center" wrapText="1"/>
    </xf>
    <xf numFmtId="0" fontId="31" fillId="0" borderId="16" xfId="0" applyFont="1" applyBorder="1" applyAlignment="1">
      <alignment vertical="center" wrapText="1"/>
    </xf>
    <xf numFmtId="0" fontId="31" fillId="0" borderId="41" xfId="0" applyFont="1" applyBorder="1" applyAlignment="1">
      <alignment vertical="center" wrapText="1"/>
    </xf>
    <xf numFmtId="0" fontId="31" fillId="0" borderId="42" xfId="0" applyFont="1" applyBorder="1" applyAlignment="1">
      <alignment vertical="center" wrapText="1"/>
    </xf>
    <xf numFmtId="0" fontId="32" fillId="0" borderId="0" xfId="0" applyFont="1" applyFill="1" applyBorder="1" applyAlignment="1">
      <alignment horizontal="center" vertical="center"/>
    </xf>
    <xf numFmtId="177" fontId="32" fillId="0" borderId="0" xfId="0" applyNumberFormat="1" applyFont="1" applyAlignment="1">
      <alignment vertical="center"/>
    </xf>
    <xf numFmtId="0" fontId="32" fillId="0" borderId="0" xfId="0" applyFont="1" applyAlignment="1">
      <alignment vertical="distributed"/>
    </xf>
    <xf numFmtId="183" fontId="31" fillId="0" borderId="62" xfId="0" applyNumberFormat="1" applyFont="1" applyBorder="1" applyAlignment="1">
      <alignment horizontal="center" vertical="center" wrapText="1"/>
    </xf>
    <xf numFmtId="183" fontId="31" fillId="0" borderId="15" xfId="0" applyNumberFormat="1" applyFont="1" applyBorder="1" applyAlignment="1">
      <alignment horizontal="center" vertical="center" wrapText="1"/>
    </xf>
    <xf numFmtId="183" fontId="31" fillId="0" borderId="40" xfId="0" applyNumberFormat="1" applyFont="1" applyBorder="1" applyAlignment="1">
      <alignment horizontal="center" vertical="center" wrapText="1"/>
    </xf>
    <xf numFmtId="0" fontId="32" fillId="24" borderId="74" xfId="0" applyFont="1" applyFill="1" applyBorder="1" applyAlignment="1">
      <alignment horizontal="center" vertical="center"/>
    </xf>
    <xf numFmtId="0" fontId="32" fillId="24" borderId="33" xfId="0" applyFont="1" applyFill="1" applyBorder="1" applyAlignment="1">
      <alignment horizontal="center" vertical="center"/>
    </xf>
    <xf numFmtId="0" fontId="32" fillId="24" borderId="64" xfId="0" applyFont="1" applyFill="1" applyBorder="1" applyAlignment="1">
      <alignment horizontal="center" vertical="center"/>
    </xf>
    <xf numFmtId="0" fontId="31" fillId="24" borderId="0" xfId="0" applyFont="1" applyFill="1" applyAlignment="1">
      <alignment horizontal="left"/>
    </xf>
    <xf numFmtId="0" fontId="31" fillId="24" borderId="0" xfId="0" applyFont="1" applyFill="1" applyBorder="1" applyAlignment="1">
      <alignment horizontal="left" vertical="center" wrapText="1"/>
    </xf>
    <xf numFmtId="0" fontId="31" fillId="30" borderId="0" xfId="0" applyFont="1" applyFill="1" applyBorder="1" applyAlignment="1">
      <alignment horizontal="left" vertical="center" wrapText="1"/>
    </xf>
    <xf numFmtId="177" fontId="32" fillId="0" borderId="0" xfId="0" applyNumberFormat="1" applyFont="1" applyAlignment="1">
      <alignment horizontal="right" vertical="center"/>
    </xf>
    <xf numFmtId="0" fontId="31" fillId="0" borderId="0" xfId="38" applyFont="1" applyAlignment="1">
      <alignment vertical="center" wrapText="1"/>
    </xf>
    <xf numFmtId="0" fontId="33" fillId="0" borderId="0" xfId="38" applyFont="1" applyAlignment="1">
      <alignment horizontal="left" vertical="center"/>
    </xf>
    <xf numFmtId="0" fontId="31" fillId="25" borderId="35" xfId="38" applyFont="1" applyFill="1" applyBorder="1" applyAlignment="1">
      <alignment horizontal="center" vertical="center"/>
    </xf>
    <xf numFmtId="0" fontId="31" fillId="0" borderId="0" xfId="38" applyFont="1" applyFill="1" applyBorder="1" applyAlignment="1">
      <alignment horizontal="center" vertical="center" wrapText="1"/>
    </xf>
    <xf numFmtId="0" fontId="31" fillId="25" borderId="0" xfId="38" applyFont="1" applyFill="1" applyBorder="1" applyAlignment="1">
      <alignment horizontal="center" vertical="center"/>
    </xf>
    <xf numFmtId="0" fontId="31" fillId="24" borderId="54" xfId="38" applyFont="1" applyFill="1" applyBorder="1" applyAlignment="1">
      <alignment horizontal="center" vertical="center"/>
    </xf>
    <xf numFmtId="0" fontId="31" fillId="24" borderId="80" xfId="38" applyFont="1" applyFill="1" applyBorder="1" applyAlignment="1">
      <alignment horizontal="center" vertical="center"/>
    </xf>
    <xf numFmtId="0" fontId="31" fillId="28" borderId="56" xfId="38" applyFont="1" applyFill="1" applyBorder="1" applyAlignment="1">
      <alignment horizontal="center" vertical="center"/>
    </xf>
    <xf numFmtId="0" fontId="31" fillId="24" borderId="78" xfId="38" applyFont="1" applyFill="1" applyBorder="1" applyAlignment="1">
      <alignment horizontal="center" vertical="center"/>
    </xf>
    <xf numFmtId="0" fontId="31" fillId="28" borderId="53" xfId="38" applyFont="1" applyFill="1" applyBorder="1" applyAlignment="1">
      <alignment horizontal="center" vertical="center"/>
    </xf>
    <xf numFmtId="0" fontId="31" fillId="24" borderId="51" xfId="38" applyFont="1" applyFill="1" applyBorder="1" applyAlignment="1">
      <alignment horizontal="center" vertical="center"/>
    </xf>
    <xf numFmtId="183" fontId="31" fillId="0" borderId="17" xfId="38" applyNumberFormat="1" applyFont="1" applyFill="1" applyBorder="1" applyAlignment="1">
      <alignment horizontal="center" vertical="center"/>
    </xf>
    <xf numFmtId="183" fontId="31" fillId="0" borderId="19" xfId="38" applyNumberFormat="1" applyFont="1" applyBorder="1" applyAlignment="1">
      <alignment horizontal="center" vertical="center"/>
    </xf>
    <xf numFmtId="166" fontId="31" fillId="0" borderId="17" xfId="38" applyNumberFormat="1" applyFont="1" applyBorder="1" applyAlignment="1">
      <alignment horizontal="center" vertical="center"/>
    </xf>
    <xf numFmtId="0" fontId="31" fillId="0" borderId="35" xfId="38" applyFont="1" applyBorder="1" applyAlignment="1">
      <alignment horizontal="center" vertical="center"/>
    </xf>
    <xf numFmtId="0" fontId="31" fillId="0" borderId="30" xfId="38" applyFont="1" applyBorder="1" applyAlignment="1">
      <alignment horizontal="center" vertical="center"/>
    </xf>
    <xf numFmtId="1" fontId="31" fillId="0" borderId="52" xfId="38" applyNumberFormat="1" applyFont="1" applyBorder="1" applyAlignment="1">
      <alignment horizontal="center" vertical="center"/>
    </xf>
    <xf numFmtId="1" fontId="31" fillId="0" borderId="18" xfId="38" applyNumberFormat="1" applyFont="1" applyFill="1" applyBorder="1" applyAlignment="1">
      <alignment horizontal="center" vertical="center"/>
    </xf>
    <xf numFmtId="1" fontId="31" fillId="0" borderId="18" xfId="38" applyNumberFormat="1" applyFont="1" applyBorder="1" applyAlignment="1">
      <alignment horizontal="center" vertical="center"/>
    </xf>
    <xf numFmtId="1" fontId="31" fillId="0" borderId="19" xfId="38" applyNumberFormat="1" applyFont="1" applyBorder="1" applyAlignment="1">
      <alignment horizontal="center" vertical="center"/>
    </xf>
    <xf numFmtId="0" fontId="31" fillId="0" borderId="56" xfId="38" applyFont="1" applyBorder="1" applyAlignment="1">
      <alignment horizontal="center" vertical="center"/>
    </xf>
    <xf numFmtId="0" fontId="31" fillId="24" borderId="65" xfId="38" applyFont="1" applyFill="1" applyBorder="1" applyAlignment="1">
      <alignment horizontal="center" vertical="center"/>
    </xf>
    <xf numFmtId="0" fontId="31" fillId="28" borderId="18" xfId="38" quotePrefix="1" applyFont="1" applyFill="1" applyBorder="1" applyAlignment="1">
      <alignment horizontal="center" vertical="center" wrapText="1"/>
    </xf>
    <xf numFmtId="0" fontId="31" fillId="0" borderId="0" xfId="38" applyNumberFormat="1" applyFont="1" applyFill="1" applyBorder="1" applyAlignment="1">
      <alignment horizontal="center" vertical="center"/>
    </xf>
    <xf numFmtId="0" fontId="31" fillId="0" borderId="0" xfId="38" applyFont="1" applyFill="1" applyBorder="1" applyAlignment="1">
      <alignment horizontal="center" vertical="center"/>
    </xf>
    <xf numFmtId="183" fontId="31" fillId="0" borderId="15" xfId="38" applyNumberFormat="1" applyFont="1" applyFill="1" applyBorder="1" applyAlignment="1">
      <alignment horizontal="center" vertical="center"/>
    </xf>
    <xf numFmtId="183" fontId="31" fillId="0" borderId="27" xfId="38" applyNumberFormat="1" applyFont="1" applyBorder="1" applyAlignment="1">
      <alignment horizontal="center" vertical="center"/>
    </xf>
    <xf numFmtId="1" fontId="31" fillId="0" borderId="16" xfId="38" applyNumberFormat="1" applyFont="1" applyBorder="1" applyAlignment="1">
      <alignment horizontal="center" vertical="center"/>
    </xf>
    <xf numFmtId="0" fontId="31" fillId="0" borderId="28" xfId="38" applyFont="1" applyBorder="1" applyAlignment="1">
      <alignment horizontal="center" vertical="center"/>
    </xf>
    <xf numFmtId="0" fontId="31" fillId="24" borderId="29" xfId="38" applyFont="1" applyFill="1" applyBorder="1" applyAlignment="1">
      <alignment horizontal="center" vertical="center"/>
    </xf>
    <xf numFmtId="0" fontId="31" fillId="28" borderId="16" xfId="38" quotePrefix="1" applyFont="1" applyFill="1" applyBorder="1" applyAlignment="1">
      <alignment horizontal="center" vertical="center" wrapText="1"/>
    </xf>
    <xf numFmtId="0" fontId="31" fillId="24" borderId="53" xfId="38" applyFont="1" applyFill="1" applyBorder="1" applyAlignment="1">
      <alignment horizontal="center"/>
    </xf>
    <xf numFmtId="0" fontId="31" fillId="0" borderId="29" xfId="38" applyFont="1" applyBorder="1" applyAlignment="1">
      <alignment horizontal="center" vertical="center"/>
    </xf>
    <xf numFmtId="0" fontId="31" fillId="0" borderId="39" xfId="38" applyFont="1" applyBorder="1"/>
    <xf numFmtId="0" fontId="31" fillId="0" borderId="81" xfId="38" applyFont="1" applyBorder="1"/>
    <xf numFmtId="0" fontId="32" fillId="0" borderId="81" xfId="38" applyFont="1" applyBorder="1" applyAlignment="1">
      <alignment horizontal="center"/>
    </xf>
    <xf numFmtId="0" fontId="32" fillId="0" borderId="84" xfId="38" applyFont="1" applyBorder="1" applyAlignment="1">
      <alignment horizontal="right"/>
    </xf>
    <xf numFmtId="1" fontId="32" fillId="0" borderId="82" xfId="38" applyNumberFormat="1" applyFont="1" applyBorder="1" applyAlignment="1">
      <alignment horizontal="center" vertical="center"/>
    </xf>
    <xf numFmtId="1" fontId="32" fillId="0" borderId="47" xfId="38" applyNumberFormat="1" applyFont="1" applyBorder="1" applyAlignment="1">
      <alignment horizontal="center" vertical="center"/>
    </xf>
    <xf numFmtId="1" fontId="32" fillId="0" borderId="38" xfId="38" applyNumberFormat="1" applyFont="1" applyBorder="1" applyAlignment="1">
      <alignment horizontal="center" vertical="center"/>
    </xf>
    <xf numFmtId="0" fontId="31" fillId="0" borderId="0" xfId="38" applyFont="1" applyBorder="1"/>
    <xf numFmtId="0" fontId="31" fillId="0" borderId="0" xfId="38" applyFont="1" applyFill="1" applyBorder="1" applyAlignment="1">
      <alignment horizontal="right"/>
    </xf>
    <xf numFmtId="0" fontId="31" fillId="0" borderId="0" xfId="38" applyFont="1" applyFill="1" applyBorder="1" applyAlignment="1">
      <alignment horizontal="right" vertical="top"/>
    </xf>
    <xf numFmtId="0" fontId="31" fillId="0" borderId="0" xfId="38" applyFont="1" applyAlignment="1">
      <alignment horizontal="left" wrapText="1"/>
    </xf>
    <xf numFmtId="0" fontId="31" fillId="0" borderId="68" xfId="38" applyFont="1" applyFill="1" applyBorder="1" applyAlignment="1">
      <alignment horizontal="center" vertical="top" wrapText="1"/>
    </xf>
    <xf numFmtId="0" fontId="31" fillId="0" borderId="13" xfId="38" applyFont="1" applyFill="1" applyBorder="1" applyAlignment="1">
      <alignment horizontal="center" vertical="top" wrapText="1"/>
    </xf>
    <xf numFmtId="0" fontId="31" fillId="0" borderId="14" xfId="38" applyFont="1" applyFill="1" applyBorder="1" applyAlignment="1">
      <alignment horizontal="center" vertical="top" wrapText="1"/>
    </xf>
    <xf numFmtId="0" fontId="31" fillId="0" borderId="52" xfId="38" applyFont="1" applyBorder="1" applyAlignment="1">
      <alignment horizontal="center" vertical="center" wrapText="1"/>
    </xf>
    <xf numFmtId="0" fontId="31" fillId="0" borderId="19" xfId="38" applyFont="1" applyBorder="1" applyAlignment="1">
      <alignment horizontal="center" vertical="center" wrapText="1"/>
    </xf>
    <xf numFmtId="0" fontId="31" fillId="28" borderId="32" xfId="38" applyFont="1" applyFill="1" applyBorder="1" applyAlignment="1">
      <alignment horizontal="center" vertical="center"/>
    </xf>
    <xf numFmtId="0" fontId="31" fillId="28" borderId="44" xfId="38" applyFont="1" applyFill="1" applyBorder="1" applyAlignment="1">
      <alignment horizontal="center" vertical="center"/>
    </xf>
    <xf numFmtId="0" fontId="31" fillId="24" borderId="79" xfId="38" applyFont="1" applyFill="1" applyBorder="1" applyAlignment="1">
      <alignment horizontal="center" vertical="center"/>
    </xf>
    <xf numFmtId="0" fontId="31" fillId="24" borderId="86" xfId="38" applyFont="1" applyFill="1" applyBorder="1" applyAlignment="1">
      <alignment horizontal="center" vertical="center"/>
    </xf>
    <xf numFmtId="0" fontId="31" fillId="24" borderId="71" xfId="38" applyFont="1" applyFill="1" applyBorder="1" applyAlignment="1">
      <alignment horizontal="center" vertical="center"/>
    </xf>
    <xf numFmtId="0" fontId="31" fillId="24" borderId="87" xfId="38" applyFont="1" applyFill="1" applyBorder="1" applyAlignment="1">
      <alignment horizontal="center" vertical="center" wrapText="1"/>
    </xf>
    <xf numFmtId="0" fontId="31" fillId="28" borderId="74" xfId="38" applyFont="1" applyFill="1" applyBorder="1" applyAlignment="1">
      <alignment horizontal="center" vertical="center"/>
    </xf>
    <xf numFmtId="0" fontId="31" fillId="24" borderId="33" xfId="38" applyFont="1" applyFill="1" applyBorder="1" applyAlignment="1">
      <alignment horizontal="center" vertical="center" wrapText="1"/>
    </xf>
    <xf numFmtId="0" fontId="31" fillId="24" borderId="64" xfId="38" applyFont="1" applyFill="1" applyBorder="1" applyAlignment="1">
      <alignment horizontal="center" vertical="center"/>
    </xf>
    <xf numFmtId="0" fontId="31" fillId="28" borderId="70" xfId="38" applyFont="1" applyFill="1" applyBorder="1" applyAlignment="1">
      <alignment horizontal="center" vertical="top"/>
    </xf>
    <xf numFmtId="0" fontId="31" fillId="28" borderId="68" xfId="38" applyFont="1" applyFill="1" applyBorder="1" applyAlignment="1">
      <alignment horizontal="center" vertical="top"/>
    </xf>
    <xf numFmtId="0" fontId="31" fillId="28" borderId="14" xfId="38" applyFont="1" applyFill="1" applyBorder="1" applyAlignment="1">
      <alignment horizontal="center" vertical="top"/>
    </xf>
    <xf numFmtId="0" fontId="31" fillId="28" borderId="12" xfId="38" applyFont="1" applyFill="1" applyBorder="1" applyAlignment="1">
      <alignment horizontal="center" vertical="top"/>
    </xf>
    <xf numFmtId="0" fontId="31" fillId="28" borderId="13" xfId="38" applyFont="1" applyFill="1" applyBorder="1" applyAlignment="1">
      <alignment horizontal="center" vertical="top"/>
    </xf>
    <xf numFmtId="0" fontId="31" fillId="28" borderId="57" xfId="38" applyFont="1" applyFill="1" applyBorder="1" applyAlignment="1">
      <alignment horizontal="center" vertical="top"/>
    </xf>
    <xf numFmtId="0" fontId="31" fillId="28" borderId="70" xfId="38" applyFont="1" applyFill="1" applyBorder="1" applyAlignment="1">
      <alignment horizontal="center" vertical="top" wrapText="1"/>
    </xf>
    <xf numFmtId="0" fontId="31" fillId="0" borderId="57" xfId="38" applyFont="1" applyFill="1" applyBorder="1" applyAlignment="1">
      <alignment horizontal="center" vertical="top" wrapText="1"/>
    </xf>
    <xf numFmtId="0" fontId="31" fillId="29" borderId="35" xfId="38" applyFont="1" applyFill="1" applyBorder="1" applyAlignment="1">
      <alignment horizontal="center" vertical="center" wrapText="1"/>
    </xf>
    <xf numFmtId="0" fontId="31" fillId="28" borderId="29" xfId="38" applyFont="1" applyFill="1" applyBorder="1" applyAlignment="1">
      <alignment horizontal="center" vertical="center"/>
    </xf>
    <xf numFmtId="0" fontId="31" fillId="0" borderId="0" xfId="38" applyFont="1" applyAlignment="1">
      <alignment vertical="top"/>
    </xf>
    <xf numFmtId="0" fontId="31" fillId="28" borderId="53" xfId="38" applyFont="1" applyFill="1" applyBorder="1" applyAlignment="1">
      <alignment horizontal="center" vertical="center" wrapText="1"/>
    </xf>
    <xf numFmtId="0" fontId="31" fillId="28" borderId="11" xfId="38" applyFont="1" applyFill="1" applyBorder="1" applyAlignment="1">
      <alignment horizontal="center" vertical="center" wrapText="1"/>
    </xf>
    <xf numFmtId="0" fontId="31" fillId="25" borderId="0" xfId="0" applyFont="1" applyFill="1" applyBorder="1" applyAlignment="1">
      <alignment horizontal="center" vertical="center"/>
    </xf>
    <xf numFmtId="0" fontId="31" fillId="0" borderId="88" xfId="0" applyFont="1" applyFill="1" applyBorder="1" applyAlignment="1">
      <alignment horizontal="center" vertical="center" wrapText="1"/>
    </xf>
    <xf numFmtId="0" fontId="31" fillId="0" borderId="33" xfId="0" applyFont="1" applyFill="1" applyBorder="1" applyAlignment="1">
      <alignment horizontal="center" vertical="center" wrapText="1"/>
    </xf>
    <xf numFmtId="0" fontId="31" fillId="0" borderId="64" xfId="0" applyFont="1" applyFill="1" applyBorder="1" applyAlignment="1">
      <alignment horizontal="center" vertical="center" wrapText="1"/>
    </xf>
    <xf numFmtId="0" fontId="31" fillId="0" borderId="28" xfId="0" applyFont="1" applyFill="1" applyBorder="1" applyAlignment="1">
      <alignment horizontal="center" vertical="center" wrapText="1"/>
    </xf>
    <xf numFmtId="0" fontId="31" fillId="0" borderId="32" xfId="0" applyFont="1" applyFill="1" applyBorder="1" applyAlignment="1">
      <alignment horizontal="center" vertical="center" wrapText="1"/>
    </xf>
    <xf numFmtId="0" fontId="31" fillId="0" borderId="74" xfId="0" applyFont="1" applyFill="1" applyBorder="1" applyAlignment="1">
      <alignment horizontal="center" vertical="center" wrapText="1"/>
    </xf>
    <xf numFmtId="0" fontId="31" fillId="0" borderId="85" xfId="0" applyFont="1" applyFill="1" applyBorder="1" applyAlignment="1">
      <alignment horizontal="center" vertical="center" wrapText="1"/>
    </xf>
    <xf numFmtId="183" fontId="31" fillId="0" borderId="30" xfId="0" applyNumberFormat="1" applyFont="1" applyBorder="1" applyAlignment="1">
      <alignment horizontal="center" vertical="center"/>
    </xf>
    <xf numFmtId="0" fontId="31" fillId="0" borderId="43" xfId="0" applyFont="1" applyBorder="1" applyAlignment="1">
      <alignment horizontal="left" vertical="center"/>
    </xf>
    <xf numFmtId="183" fontId="31" fillId="0" borderId="28" xfId="0" applyNumberFormat="1" applyFont="1" applyBorder="1" applyAlignment="1">
      <alignment horizontal="center" vertical="center"/>
    </xf>
    <xf numFmtId="0" fontId="31" fillId="0" borderId="26" xfId="0" applyNumberFormat="1" applyFont="1" applyBorder="1" applyAlignment="1">
      <alignment horizontal="center" vertical="center"/>
    </xf>
    <xf numFmtId="0" fontId="31" fillId="0" borderId="71" xfId="0" applyFont="1" applyBorder="1" applyAlignment="1">
      <alignment horizontal="left" vertical="center"/>
    </xf>
    <xf numFmtId="0" fontId="31" fillId="0" borderId="0" xfId="0" applyFont="1" applyFill="1" applyAlignment="1">
      <alignment horizontal="center"/>
    </xf>
    <xf numFmtId="0" fontId="31" fillId="0" borderId="29" xfId="0" applyNumberFormat="1" applyFont="1" applyBorder="1" applyAlignment="1">
      <alignment horizontal="center" vertical="center"/>
    </xf>
    <xf numFmtId="0" fontId="31" fillId="0" borderId="70" xfId="0" applyFont="1" applyBorder="1" applyAlignment="1">
      <alignment horizontal="left" vertical="center"/>
    </xf>
    <xf numFmtId="0" fontId="32" fillId="0" borderId="39" xfId="0" applyFont="1" applyBorder="1" applyAlignment="1">
      <alignment horizontal="right" vertical="center"/>
    </xf>
    <xf numFmtId="0" fontId="32" fillId="0" borderId="84" xfId="0" applyFont="1" applyBorder="1" applyAlignment="1">
      <alignment horizontal="right" vertical="center"/>
    </xf>
    <xf numFmtId="0" fontId="32" fillId="0" borderId="39" xfId="0" applyNumberFormat="1" applyFont="1" applyBorder="1" applyAlignment="1">
      <alignment horizontal="center" vertical="center"/>
    </xf>
    <xf numFmtId="0" fontId="32" fillId="0" borderId="47" xfId="0" applyNumberFormat="1" applyFont="1" applyBorder="1" applyAlignment="1">
      <alignment horizontal="center" vertical="center"/>
    </xf>
    <xf numFmtId="0" fontId="32" fillId="0" borderId="38" xfId="0" applyNumberFormat="1" applyFont="1" applyBorder="1" applyAlignment="1">
      <alignment horizontal="center" vertical="center"/>
    </xf>
    <xf numFmtId="0" fontId="32" fillId="0" borderId="37" xfId="0" applyNumberFormat="1" applyFont="1" applyBorder="1" applyAlignment="1">
      <alignment horizontal="center" vertical="center"/>
    </xf>
    <xf numFmtId="0" fontId="32" fillId="0" borderId="46" xfId="0" applyFont="1" applyBorder="1" applyAlignment="1">
      <alignment horizontal="left" vertical="center"/>
    </xf>
    <xf numFmtId="0" fontId="31" fillId="0" borderId="0" xfId="0" applyFont="1" applyFill="1" applyBorder="1" applyAlignment="1">
      <alignment horizontal="right" vertical="top" wrapText="1"/>
    </xf>
    <xf numFmtId="0" fontId="32" fillId="0" borderId="0" xfId="0" applyFont="1" applyFill="1" applyBorder="1"/>
    <xf numFmtId="0" fontId="31" fillId="0" borderId="14" xfId="0" applyFont="1" applyBorder="1" applyAlignment="1">
      <alignment horizontal="center" vertical="top"/>
    </xf>
    <xf numFmtId="0" fontId="31" fillId="0" borderId="12" xfId="0" applyFont="1" applyBorder="1" applyAlignment="1">
      <alignment horizontal="center" vertical="top"/>
    </xf>
    <xf numFmtId="0" fontId="31" fillId="28" borderId="50" xfId="0" applyFont="1" applyFill="1" applyBorder="1" applyAlignment="1">
      <alignment horizontal="center" vertical="center"/>
    </xf>
    <xf numFmtId="0" fontId="31" fillId="28" borderId="12" xfId="0" applyFont="1" applyFill="1" applyBorder="1" applyAlignment="1">
      <alignment horizontal="center" vertical="top" wrapText="1"/>
    </xf>
    <xf numFmtId="0" fontId="31" fillId="28" borderId="14" xfId="0" applyFont="1" applyFill="1" applyBorder="1" applyAlignment="1">
      <alignment horizontal="center" vertical="top" wrapText="1"/>
    </xf>
    <xf numFmtId="0" fontId="31" fillId="30" borderId="54" xfId="0" applyNumberFormat="1" applyFont="1" applyFill="1" applyBorder="1" applyAlignment="1">
      <alignment horizontal="center" vertical="center"/>
    </xf>
    <xf numFmtId="0" fontId="31" fillId="30" borderId="15" xfId="0" applyFont="1" applyFill="1" applyBorder="1" applyAlignment="1">
      <alignment horizontal="center" vertical="center"/>
    </xf>
    <xf numFmtId="0" fontId="31" fillId="30" borderId="15" xfId="0" applyNumberFormat="1" applyFont="1" applyFill="1" applyBorder="1" applyAlignment="1">
      <alignment horizontal="center" vertical="center"/>
    </xf>
    <xf numFmtId="0" fontId="31" fillId="30" borderId="12" xfId="0" applyFont="1" applyFill="1" applyBorder="1" applyAlignment="1">
      <alignment horizontal="center" vertical="center"/>
    </xf>
    <xf numFmtId="0" fontId="31" fillId="28" borderId="78" xfId="0" applyFont="1" applyFill="1" applyBorder="1" applyAlignment="1">
      <alignment horizontal="center" vertical="center" wrapText="1"/>
    </xf>
    <xf numFmtId="0" fontId="31" fillId="28" borderId="68" xfId="0" applyFont="1" applyFill="1" applyBorder="1" applyAlignment="1">
      <alignment horizontal="center" vertical="top" wrapText="1"/>
    </xf>
    <xf numFmtId="0" fontId="31" fillId="28" borderId="78" xfId="0" applyNumberFormat="1" applyFont="1" applyFill="1" applyBorder="1" applyAlignment="1">
      <alignment horizontal="center" vertical="center"/>
    </xf>
    <xf numFmtId="0" fontId="31" fillId="28" borderId="79" xfId="0" applyNumberFormat="1" applyFont="1" applyFill="1" applyBorder="1" applyAlignment="1">
      <alignment horizontal="center" vertical="center"/>
    </xf>
    <xf numFmtId="0" fontId="31" fillId="28" borderId="68" xfId="0" applyNumberFormat="1" applyFont="1" applyFill="1" applyBorder="1" applyAlignment="1">
      <alignment horizontal="center" vertical="center"/>
    </xf>
    <xf numFmtId="0" fontId="31" fillId="28" borderId="80" xfId="0" applyFont="1" applyFill="1" applyBorder="1" applyAlignment="1">
      <alignment horizontal="center" vertical="center" wrapText="1"/>
    </xf>
    <xf numFmtId="0" fontId="31" fillId="28" borderId="57" xfId="0" applyFont="1" applyFill="1" applyBorder="1" applyAlignment="1">
      <alignment horizontal="center" vertical="top" wrapText="1"/>
    </xf>
    <xf numFmtId="0" fontId="31" fillId="28" borderId="27" xfId="0" applyFont="1" applyFill="1" applyBorder="1" applyAlignment="1">
      <alignment horizontal="center" vertical="center"/>
    </xf>
    <xf numFmtId="0" fontId="31" fillId="28" borderId="57" xfId="0" applyFont="1" applyFill="1" applyBorder="1" applyAlignment="1">
      <alignment horizontal="center" vertical="center"/>
    </xf>
    <xf numFmtId="0" fontId="32" fillId="28" borderId="86" xfId="0" applyFont="1" applyFill="1" applyBorder="1" applyAlignment="1">
      <alignment horizontal="center" vertical="center" wrapText="1"/>
    </xf>
    <xf numFmtId="0" fontId="32" fillId="28" borderId="70" xfId="0" applyFont="1" applyFill="1" applyBorder="1" applyAlignment="1">
      <alignment horizontal="center" vertical="top" wrapText="1"/>
    </xf>
    <xf numFmtId="0" fontId="32" fillId="28" borderId="86" xfId="0" applyFont="1" applyFill="1" applyBorder="1" applyAlignment="1">
      <alignment horizontal="center" vertical="center"/>
    </xf>
    <xf numFmtId="0" fontId="32" fillId="28" borderId="71" xfId="0" applyFont="1" applyFill="1" applyBorder="1" applyAlignment="1">
      <alignment horizontal="center" vertical="center"/>
    </xf>
    <xf numFmtId="0" fontId="32" fillId="28" borderId="70" xfId="0" applyFont="1" applyFill="1" applyBorder="1" applyAlignment="1">
      <alignment horizontal="center" vertical="center"/>
    </xf>
    <xf numFmtId="1" fontId="31" fillId="24" borderId="37" xfId="0" applyNumberFormat="1" applyFont="1" applyFill="1" applyBorder="1" applyAlignment="1">
      <alignment horizontal="center" vertical="center"/>
    </xf>
    <xf numFmtId="1" fontId="31" fillId="24" borderId="84" xfId="0" applyNumberFormat="1" applyFont="1" applyFill="1" applyBorder="1" applyAlignment="1">
      <alignment horizontal="center" vertical="center"/>
    </xf>
    <xf numFmtId="0" fontId="31" fillId="25" borderId="33" xfId="0" applyFont="1" applyFill="1" applyBorder="1" applyAlignment="1">
      <alignment horizontal="center" vertical="center"/>
    </xf>
    <xf numFmtId="1" fontId="31" fillId="30" borderId="33" xfId="0" applyNumberFormat="1" applyFont="1" applyFill="1" applyBorder="1" applyAlignment="1">
      <alignment horizontal="center" vertical="center"/>
    </xf>
    <xf numFmtId="0" fontId="31" fillId="25" borderId="44" xfId="0" applyFont="1" applyFill="1" applyBorder="1" applyAlignment="1">
      <alignment horizontal="center" vertical="center"/>
    </xf>
    <xf numFmtId="0" fontId="31" fillId="28" borderId="19" xfId="0" applyFont="1" applyFill="1" applyBorder="1" applyAlignment="1">
      <alignment horizontal="center" vertical="center"/>
    </xf>
    <xf numFmtId="0" fontId="31" fillId="28" borderId="51" xfId="0" applyFont="1" applyFill="1" applyBorder="1" applyAlignment="1">
      <alignment horizontal="center" vertical="center"/>
    </xf>
    <xf numFmtId="0" fontId="31" fillId="30" borderId="80" xfId="0" applyFont="1" applyFill="1" applyBorder="1" applyAlignment="1">
      <alignment horizontal="center" vertical="center"/>
    </xf>
    <xf numFmtId="0" fontId="31" fillId="30" borderId="27" xfId="0" applyFont="1" applyFill="1" applyBorder="1" applyAlignment="1">
      <alignment horizontal="center" vertical="center"/>
    </xf>
    <xf numFmtId="166" fontId="31" fillId="30" borderId="27" xfId="0" applyNumberFormat="1" applyFont="1" applyFill="1" applyBorder="1" applyAlignment="1">
      <alignment horizontal="center" vertical="center"/>
    </xf>
    <xf numFmtId="0" fontId="31" fillId="30" borderId="57" xfId="0" applyFont="1" applyFill="1" applyBorder="1" applyAlignment="1">
      <alignment horizontal="center" vertical="center"/>
    </xf>
    <xf numFmtId="183" fontId="31" fillId="30" borderId="79" xfId="0" applyNumberFormat="1" applyFont="1" applyFill="1" applyBorder="1" applyAlignment="1">
      <alignment horizontal="center" vertical="center"/>
    </xf>
    <xf numFmtId="183" fontId="31" fillId="30" borderId="68" xfId="0" applyNumberFormat="1" applyFont="1" applyFill="1" applyBorder="1" applyAlignment="1">
      <alignment horizontal="center" vertical="center"/>
    </xf>
    <xf numFmtId="0" fontId="31" fillId="28" borderId="59" xfId="0" applyFont="1" applyFill="1" applyBorder="1" applyAlignment="1">
      <alignment horizontal="center" vertical="top" wrapText="1"/>
    </xf>
    <xf numFmtId="183" fontId="31" fillId="30" borderId="54" xfId="0" applyNumberFormat="1" applyFont="1" applyFill="1" applyBorder="1" applyAlignment="1">
      <alignment horizontal="center" vertical="center"/>
    </xf>
    <xf numFmtId="183" fontId="31" fillId="30" borderId="15" xfId="0" applyNumberFormat="1" applyFont="1" applyFill="1" applyBorder="1" applyAlignment="1">
      <alignment horizontal="center" vertical="center"/>
    </xf>
    <xf numFmtId="183" fontId="31" fillId="30" borderId="12" xfId="0" applyNumberFormat="1" applyFont="1" applyFill="1" applyBorder="1" applyAlignment="1">
      <alignment horizontal="center" vertical="center"/>
    </xf>
    <xf numFmtId="0" fontId="31" fillId="28" borderId="58" xfId="0" applyFont="1" applyFill="1" applyBorder="1" applyAlignment="1">
      <alignment horizontal="center" vertical="top" wrapText="1"/>
    </xf>
    <xf numFmtId="183" fontId="31" fillId="30" borderId="78" xfId="0" applyNumberFormat="1" applyFont="1" applyFill="1" applyBorder="1" applyAlignment="1">
      <alignment horizontal="center" vertical="center"/>
    </xf>
    <xf numFmtId="183" fontId="31" fillId="30" borderId="17" xfId="0" applyNumberFormat="1" applyFont="1" applyFill="1" applyBorder="1" applyAlignment="1">
      <alignment horizontal="center" vertical="center"/>
    </xf>
    <xf numFmtId="0" fontId="31" fillId="28" borderId="78" xfId="0" quotePrefix="1" applyFont="1" applyFill="1" applyBorder="1" applyAlignment="1">
      <alignment horizontal="center" vertical="center" wrapText="1"/>
    </xf>
    <xf numFmtId="0" fontId="31" fillId="28" borderId="79" xfId="0" applyFont="1" applyFill="1" applyBorder="1" applyAlignment="1">
      <alignment horizontal="center" vertical="center"/>
    </xf>
    <xf numFmtId="0" fontId="31" fillId="28" borderId="68" xfId="0" applyFont="1" applyFill="1" applyBorder="1" applyAlignment="1">
      <alignment horizontal="center" vertical="center"/>
    </xf>
    <xf numFmtId="0" fontId="31" fillId="28" borderId="65" xfId="0" applyFont="1" applyFill="1" applyBorder="1" applyAlignment="1">
      <alignment horizontal="center" vertical="center"/>
    </xf>
    <xf numFmtId="0" fontId="31" fillId="28" borderId="29" xfId="0" applyFont="1" applyFill="1" applyBorder="1" applyAlignment="1">
      <alignment horizontal="center" vertical="center"/>
    </xf>
    <xf numFmtId="0" fontId="31" fillId="28" borderId="58" xfId="0" applyFont="1" applyFill="1" applyBorder="1" applyAlignment="1">
      <alignment horizontal="center" vertical="center"/>
    </xf>
    <xf numFmtId="0" fontId="31" fillId="28" borderId="54" xfId="0" quotePrefix="1" applyFont="1" applyFill="1" applyBorder="1" applyAlignment="1">
      <alignment horizontal="center" vertical="center" wrapText="1"/>
    </xf>
    <xf numFmtId="164" fontId="31" fillId="30" borderId="30" xfId="0" applyNumberFormat="1" applyFont="1" applyFill="1" applyBorder="1" applyAlignment="1">
      <alignment horizontal="center" vertical="center"/>
    </xf>
    <xf numFmtId="164" fontId="31" fillId="30" borderId="28" xfId="0" applyNumberFormat="1" applyFont="1" applyFill="1" applyBorder="1" applyAlignment="1">
      <alignment horizontal="center" vertical="center"/>
    </xf>
    <xf numFmtId="164" fontId="31" fillId="30" borderId="14" xfId="0" applyNumberFormat="1" applyFont="1" applyFill="1" applyBorder="1" applyAlignment="1">
      <alignment horizontal="center" vertical="center"/>
    </xf>
    <xf numFmtId="164" fontId="31" fillId="30" borderId="19" xfId="0" applyNumberFormat="1" applyFont="1" applyFill="1" applyBorder="1" applyAlignment="1">
      <alignment horizontal="center" vertical="center"/>
    </xf>
    <xf numFmtId="164" fontId="31" fillId="30" borderId="27" xfId="0" applyNumberFormat="1" applyFont="1" applyFill="1" applyBorder="1" applyAlignment="1">
      <alignment horizontal="center" vertical="center"/>
    </xf>
    <xf numFmtId="164" fontId="31" fillId="30" borderId="57" xfId="0" applyNumberFormat="1" applyFont="1" applyFill="1" applyBorder="1" applyAlignment="1">
      <alignment horizontal="center" vertical="center"/>
    </xf>
    <xf numFmtId="164" fontId="31" fillId="30" borderId="56" xfId="0" applyNumberFormat="1" applyFont="1" applyFill="1" applyBorder="1" applyAlignment="1">
      <alignment horizontal="center" vertical="center"/>
    </xf>
    <xf numFmtId="0" fontId="0" fillId="0" borderId="0" xfId="0" applyBorder="1" applyAlignment="1">
      <alignment vertical="center"/>
    </xf>
    <xf numFmtId="0" fontId="35" fillId="0" borderId="0" xfId="0" applyFont="1" applyAlignment="1"/>
    <xf numFmtId="0" fontId="28" fillId="0" borderId="0" xfId="0" applyFont="1" applyFill="1" applyBorder="1" applyAlignment="1">
      <alignment horizontal="center" vertical="center"/>
    </xf>
    <xf numFmtId="0" fontId="31" fillId="0" borderId="17" xfId="0" applyFont="1" applyBorder="1" applyAlignment="1">
      <alignment horizontal="center" vertical="center"/>
    </xf>
    <xf numFmtId="167" fontId="31" fillId="0" borderId="18" xfId="0" applyNumberFormat="1" applyFont="1" applyBorder="1" applyAlignment="1">
      <alignment horizontal="center" vertical="center"/>
    </xf>
    <xf numFmtId="179" fontId="31" fillId="0" borderId="18" xfId="0" applyNumberFormat="1" applyFont="1" applyFill="1" applyBorder="1" applyAlignment="1">
      <alignment horizontal="center" vertical="center"/>
    </xf>
    <xf numFmtId="0" fontId="31" fillId="0" borderId="30" xfId="0" applyFont="1" applyBorder="1" applyAlignment="1">
      <alignment vertical="center"/>
    </xf>
    <xf numFmtId="167" fontId="31" fillId="0" borderId="16" xfId="0" applyNumberFormat="1" applyFont="1" applyBorder="1" applyAlignment="1">
      <alignment horizontal="center" vertical="center"/>
    </xf>
    <xf numFmtId="179" fontId="31" fillId="0" borderId="16" xfId="0" applyNumberFormat="1" applyFont="1" applyFill="1" applyBorder="1" applyAlignment="1">
      <alignment horizontal="center" vertical="center"/>
    </xf>
    <xf numFmtId="0" fontId="31" fillId="0" borderId="28" xfId="0" applyFont="1" applyBorder="1" applyAlignment="1">
      <alignment vertical="center"/>
    </xf>
    <xf numFmtId="179" fontId="31" fillId="0" borderId="16" xfId="0" applyNumberFormat="1" applyFont="1" applyBorder="1" applyAlignment="1">
      <alignment horizontal="center" vertical="center"/>
    </xf>
    <xf numFmtId="167" fontId="31" fillId="0" borderId="13" xfId="0" applyNumberFormat="1" applyFont="1" applyBorder="1" applyAlignment="1">
      <alignment horizontal="center" vertical="center"/>
    </xf>
    <xf numFmtId="179" fontId="31" fillId="0" borderId="13" xfId="0" applyNumberFormat="1" applyFont="1" applyBorder="1" applyAlignment="1">
      <alignment horizontal="center" vertical="center"/>
    </xf>
    <xf numFmtId="0" fontId="31" fillId="0" borderId="14" xfId="0" applyFont="1" applyBorder="1" applyAlignment="1">
      <alignment vertical="center"/>
    </xf>
    <xf numFmtId="178" fontId="31" fillId="28" borderId="0" xfId="0" applyNumberFormat="1" applyFont="1" applyFill="1" applyAlignment="1">
      <alignment horizontal="center" vertical="center"/>
    </xf>
    <xf numFmtId="178" fontId="32" fillId="28" borderId="46" xfId="0" applyNumberFormat="1" applyFont="1" applyFill="1" applyBorder="1" applyAlignment="1">
      <alignment horizontal="center" vertical="center"/>
    </xf>
    <xf numFmtId="0" fontId="31" fillId="0" borderId="47" xfId="0" applyFont="1" applyFill="1" applyBorder="1" applyAlignment="1">
      <alignment horizontal="left" vertical="center"/>
    </xf>
    <xf numFmtId="184" fontId="31" fillId="0" borderId="83" xfId="42" applyNumberFormat="1" applyFont="1" applyFill="1" applyBorder="1" applyAlignment="1">
      <alignment horizontal="center" vertical="center"/>
    </xf>
    <xf numFmtId="0" fontId="31" fillId="0" borderId="47" xfId="0" applyFont="1" applyFill="1" applyBorder="1" applyAlignment="1">
      <alignment horizontal="center" vertical="center"/>
    </xf>
    <xf numFmtId="0" fontId="31" fillId="0" borderId="38" xfId="0" applyFont="1" applyFill="1" applyBorder="1" applyAlignment="1">
      <alignment horizontal="left" vertical="center"/>
    </xf>
    <xf numFmtId="1" fontId="31" fillId="0" borderId="18" xfId="0" applyNumberFormat="1" applyFont="1" applyFill="1" applyBorder="1" applyAlignment="1">
      <alignment horizontal="center" vertical="center"/>
    </xf>
    <xf numFmtId="0" fontId="31" fillId="0" borderId="55" xfId="0" applyNumberFormat="1" applyFont="1" applyFill="1" applyBorder="1" applyAlignment="1">
      <alignment horizontal="center" vertical="center"/>
    </xf>
    <xf numFmtId="0" fontId="31" fillId="0" borderId="18" xfId="0" applyNumberFormat="1" applyFont="1" applyFill="1" applyBorder="1" applyAlignment="1">
      <alignment horizontal="center" vertical="center"/>
    </xf>
    <xf numFmtId="0" fontId="31" fillId="0" borderId="76" xfId="0" applyFont="1" applyBorder="1" applyAlignment="1">
      <alignment horizontal="center" vertical="center"/>
    </xf>
    <xf numFmtId="0" fontId="31" fillId="31" borderId="0" xfId="0" applyFont="1" applyFill="1" applyAlignment="1">
      <alignment horizontal="right" vertical="center"/>
    </xf>
    <xf numFmtId="0" fontId="31" fillId="29" borderId="0" xfId="0" applyFont="1" applyFill="1" applyAlignment="1">
      <alignment horizontal="right" vertical="center"/>
    </xf>
    <xf numFmtId="0" fontId="31" fillId="30" borderId="0" xfId="0" applyFont="1" applyFill="1" applyAlignment="1">
      <alignment horizontal="right" vertical="center"/>
    </xf>
    <xf numFmtId="0" fontId="31" fillId="28" borderId="0" xfId="0" applyFont="1" applyFill="1" applyAlignment="1">
      <alignment horizontal="right" vertical="center"/>
    </xf>
    <xf numFmtId="0" fontId="31" fillId="0" borderId="45" xfId="0" applyFont="1" applyFill="1" applyBorder="1" applyAlignment="1">
      <alignment horizontal="center"/>
    </xf>
    <xf numFmtId="0" fontId="31" fillId="0" borderId="0" xfId="0" applyFont="1" applyFill="1" applyBorder="1" applyAlignment="1">
      <alignment horizontal="center"/>
    </xf>
    <xf numFmtId="0" fontId="31" fillId="0" borderId="75" xfId="0" applyFont="1" applyFill="1" applyBorder="1"/>
    <xf numFmtId="164" fontId="31" fillId="0" borderId="45" xfId="0" applyNumberFormat="1" applyFont="1" applyFill="1" applyBorder="1" applyAlignment="1">
      <alignment horizontal="center" vertical="center"/>
    </xf>
    <xf numFmtId="164" fontId="31" fillId="0" borderId="0" xfId="0" applyNumberFormat="1" applyFont="1" applyFill="1" applyBorder="1" applyAlignment="1">
      <alignment horizontal="center" vertical="center"/>
    </xf>
    <xf numFmtId="0" fontId="32" fillId="0" borderId="0" xfId="0" applyFont="1" applyFill="1" applyBorder="1" applyAlignment="1">
      <alignment horizontal="right" vertical="center"/>
    </xf>
    <xf numFmtId="0" fontId="31" fillId="0" borderId="0" xfId="0" applyFont="1" applyFill="1" applyBorder="1" applyAlignment="1">
      <alignment horizontal="left" vertical="center" wrapText="1"/>
    </xf>
    <xf numFmtId="0" fontId="39" fillId="0" borderId="0" xfId="0" applyFont="1" applyFill="1" applyBorder="1" applyAlignment="1">
      <alignment horizontal="right" vertical="center"/>
    </xf>
    <xf numFmtId="0" fontId="0" fillId="0" borderId="0" xfId="0" applyFill="1" applyBorder="1"/>
    <xf numFmtId="0" fontId="40" fillId="0" borderId="0" xfId="0" applyFont="1" applyFill="1" applyBorder="1"/>
    <xf numFmtId="0" fontId="28" fillId="0" borderId="0" xfId="0" applyFont="1" applyFill="1" applyBorder="1"/>
    <xf numFmtId="0" fontId="7" fillId="0" borderId="0" xfId="0" applyFont="1" applyFill="1" applyBorder="1" applyAlignment="1">
      <alignment horizontal="left" vertical="center"/>
    </xf>
    <xf numFmtId="0" fontId="7" fillId="0" borderId="0" xfId="0" applyFont="1" applyFill="1" applyBorder="1" applyAlignment="1">
      <alignment horizontal="center" vertical="center"/>
    </xf>
    <xf numFmtId="0" fontId="31" fillId="28" borderId="18" xfId="0" applyFont="1" applyFill="1" applyBorder="1" applyAlignment="1">
      <alignment horizontal="center" vertical="center"/>
    </xf>
    <xf numFmtId="0" fontId="31" fillId="28" borderId="18" xfId="0" applyFont="1" applyFill="1" applyBorder="1" applyAlignment="1">
      <alignment horizontal="center" vertical="center"/>
    </xf>
    <xf numFmtId="0" fontId="31" fillId="0" borderId="51" xfId="0" applyFont="1" applyFill="1" applyBorder="1" applyAlignment="1">
      <alignment horizontal="center" vertical="center"/>
    </xf>
    <xf numFmtId="0" fontId="31" fillId="0" borderId="0" xfId="0" applyFont="1" applyBorder="1"/>
    <xf numFmtId="0" fontId="31" fillId="28" borderId="30" xfId="0" applyFont="1" applyFill="1" applyBorder="1" applyAlignment="1">
      <alignment horizontal="center" vertical="center"/>
    </xf>
    <xf numFmtId="0" fontId="32" fillId="28" borderId="37" xfId="0" applyFont="1" applyFill="1" applyBorder="1" applyAlignment="1">
      <alignment horizontal="center" vertical="center"/>
    </xf>
    <xf numFmtId="0" fontId="32" fillId="28" borderId="38" xfId="0" applyFont="1" applyFill="1" applyBorder="1" applyAlignment="1">
      <alignment horizontal="center" vertical="center"/>
    </xf>
    <xf numFmtId="1" fontId="32" fillId="0" borderId="89" xfId="0" applyNumberFormat="1" applyFont="1" applyFill="1" applyBorder="1" applyAlignment="1">
      <alignment horizontal="center" vertical="center"/>
    </xf>
    <xf numFmtId="0" fontId="31" fillId="0" borderId="70" xfId="0" applyFont="1" applyBorder="1" applyAlignment="1">
      <alignment horizontal="center" vertical="top"/>
    </xf>
    <xf numFmtId="168" fontId="31" fillId="0" borderId="12" xfId="0" applyNumberFormat="1" applyFont="1" applyBorder="1" applyAlignment="1">
      <alignment horizontal="center" vertical="top"/>
    </xf>
    <xf numFmtId="168" fontId="31" fillId="0" borderId="13" xfId="0" applyNumberFormat="1" applyFont="1" applyBorder="1" applyAlignment="1">
      <alignment horizontal="center" vertical="top"/>
    </xf>
    <xf numFmtId="168" fontId="31" fillId="0" borderId="14" xfId="0" applyNumberFormat="1" applyFont="1" applyBorder="1" applyAlignment="1">
      <alignment horizontal="center" vertical="top"/>
    </xf>
    <xf numFmtId="168" fontId="31" fillId="0" borderId="70" xfId="0" applyNumberFormat="1" applyFont="1" applyBorder="1" applyAlignment="1">
      <alignment horizontal="center" vertical="top"/>
    </xf>
    <xf numFmtId="0" fontId="31" fillId="28" borderId="15" xfId="38" applyFont="1" applyFill="1" applyBorder="1" applyAlignment="1">
      <alignment horizontal="center" vertical="center" wrapText="1"/>
    </xf>
    <xf numFmtId="0" fontId="31" fillId="28" borderId="28" xfId="38" applyFont="1" applyFill="1" applyBorder="1" applyAlignment="1">
      <alignment horizontal="center" vertical="center"/>
    </xf>
    <xf numFmtId="0" fontId="31" fillId="28" borderId="15" xfId="38" applyFont="1" applyFill="1" applyBorder="1" applyAlignment="1">
      <alignment horizontal="center" vertical="center"/>
    </xf>
    <xf numFmtId="0" fontId="31" fillId="28" borderId="12" xfId="38" applyFont="1" applyFill="1" applyBorder="1" applyAlignment="1">
      <alignment horizontal="center" vertical="center"/>
    </xf>
    <xf numFmtId="0" fontId="31" fillId="28" borderId="14" xfId="38" applyFont="1" applyFill="1" applyBorder="1" applyAlignment="1">
      <alignment horizontal="center" vertical="center"/>
    </xf>
    <xf numFmtId="0" fontId="31" fillId="28" borderId="17" xfId="38" applyFont="1" applyFill="1" applyBorder="1" applyAlignment="1">
      <alignment horizontal="center" vertical="center"/>
    </xf>
    <xf numFmtId="0" fontId="31" fillId="28" borderId="30" xfId="38" applyFont="1" applyFill="1" applyBorder="1" applyAlignment="1">
      <alignment horizontal="center" vertical="center"/>
    </xf>
    <xf numFmtId="0" fontId="31" fillId="28" borderId="12" xfId="38" applyFont="1" applyFill="1" applyBorder="1" applyAlignment="1">
      <alignment horizontal="center" vertical="center" wrapText="1"/>
    </xf>
    <xf numFmtId="1" fontId="32" fillId="28" borderId="37" xfId="38" applyNumberFormat="1" applyFont="1" applyFill="1" applyBorder="1" applyAlignment="1">
      <alignment horizontal="center" vertical="center"/>
    </xf>
    <xf numFmtId="1" fontId="32" fillId="28" borderId="38" xfId="38" applyNumberFormat="1" applyFont="1" applyFill="1" applyBorder="1" applyAlignment="1">
      <alignment horizontal="center" vertical="center"/>
    </xf>
    <xf numFmtId="0" fontId="31" fillId="28" borderId="66" xfId="0" applyFont="1" applyFill="1" applyBorder="1" applyAlignment="1">
      <alignment horizontal="center" vertical="center"/>
    </xf>
    <xf numFmtId="0" fontId="31" fillId="28" borderId="59" xfId="0" applyFont="1" applyFill="1" applyBorder="1" applyAlignment="1">
      <alignment horizontal="center" vertical="center"/>
    </xf>
    <xf numFmtId="0" fontId="31" fillId="28" borderId="63" xfId="0" applyNumberFormat="1" applyFont="1" applyFill="1" applyBorder="1" applyAlignment="1">
      <alignment horizontal="center" vertical="center"/>
    </xf>
    <xf numFmtId="0" fontId="31" fillId="28" borderId="31" xfId="0" applyNumberFormat="1" applyFont="1" applyFill="1" applyBorder="1" applyAlignment="1">
      <alignment horizontal="center" vertical="center"/>
    </xf>
    <xf numFmtId="0" fontId="31" fillId="28" borderId="59" xfId="0" applyNumberFormat="1" applyFont="1" applyFill="1" applyBorder="1" applyAlignment="1">
      <alignment horizontal="center" vertical="center"/>
    </xf>
    <xf numFmtId="0" fontId="31" fillId="0" borderId="48" xfId="38" applyFont="1" applyFill="1" applyBorder="1" applyAlignment="1">
      <alignment horizontal="center" vertical="center" wrapText="1"/>
    </xf>
    <xf numFmtId="0" fontId="2" fillId="0" borderId="0" xfId="38" applyFill="1"/>
    <xf numFmtId="0" fontId="31" fillId="28" borderId="28" xfId="0" applyFont="1" applyFill="1" applyBorder="1" applyAlignment="1">
      <alignment horizontal="center" vertical="center"/>
    </xf>
    <xf numFmtId="0" fontId="31" fillId="0" borderId="0" xfId="38" applyFont="1" applyAlignment="1">
      <alignment horizontal="center" vertical="center" wrapText="1"/>
    </xf>
    <xf numFmtId="0" fontId="31" fillId="0" borderId="62" xfId="38" applyFont="1" applyFill="1" applyBorder="1" applyAlignment="1">
      <alignment horizontal="center" vertical="center" wrapText="1"/>
    </xf>
    <xf numFmtId="183" fontId="31" fillId="0" borderId="27" xfId="38" applyNumberFormat="1" applyFont="1" applyFill="1" applyBorder="1" applyAlignment="1">
      <alignment horizontal="center" vertical="center"/>
    </xf>
    <xf numFmtId="0" fontId="32" fillId="0" borderId="81" xfId="38" applyFont="1" applyFill="1" applyBorder="1" applyAlignment="1">
      <alignment horizontal="right" vertical="center"/>
    </xf>
    <xf numFmtId="3" fontId="32" fillId="0" borderId="38" xfId="38" applyNumberFormat="1" applyFont="1" applyFill="1" applyBorder="1" applyAlignment="1">
      <alignment horizontal="center" vertical="center"/>
    </xf>
    <xf numFmtId="3" fontId="32" fillId="0" borderId="0" xfId="38" applyNumberFormat="1" applyFont="1" applyFill="1" applyBorder="1" applyAlignment="1">
      <alignment horizontal="center" vertical="center"/>
    </xf>
    <xf numFmtId="0" fontId="31" fillId="0" borderId="0" xfId="38" applyFont="1" applyAlignment="1">
      <alignment horizontal="left" vertical="top" wrapText="1"/>
    </xf>
    <xf numFmtId="0" fontId="31" fillId="0" borderId="12" xfId="38" applyFont="1" applyFill="1" applyBorder="1" applyAlignment="1">
      <alignment horizontal="center" vertical="top" wrapText="1"/>
    </xf>
    <xf numFmtId="0" fontId="32" fillId="0" borderId="0" xfId="38" applyFont="1" applyFill="1" applyBorder="1" applyAlignment="1">
      <alignment horizontal="right" vertical="center"/>
    </xf>
    <xf numFmtId="3" fontId="32" fillId="0" borderId="37" xfId="38" applyNumberFormat="1" applyFont="1" applyFill="1" applyBorder="1" applyAlignment="1">
      <alignment horizontal="center" vertical="center"/>
    </xf>
    <xf numFmtId="0" fontId="31" fillId="29" borderId="15" xfId="38" applyFont="1" applyFill="1" applyBorder="1" applyAlignment="1">
      <alignment horizontal="center" vertical="center"/>
    </xf>
    <xf numFmtId="0" fontId="31" fillId="29" borderId="28" xfId="38" applyFont="1" applyFill="1" applyBorder="1" applyAlignment="1">
      <alignment horizontal="center" vertical="center"/>
    </xf>
    <xf numFmtId="0" fontId="31" fillId="29" borderId="17" xfId="38" applyFont="1" applyFill="1" applyBorder="1" applyAlignment="1">
      <alignment horizontal="center" vertical="center"/>
    </xf>
    <xf numFmtId="0" fontId="31" fillId="29" borderId="30" xfId="38" applyFont="1" applyFill="1" applyBorder="1" applyAlignment="1">
      <alignment horizontal="center" vertical="center"/>
    </xf>
    <xf numFmtId="0" fontId="31" fillId="0" borderId="15" xfId="38" applyNumberFormat="1" applyFont="1" applyFill="1" applyBorder="1" applyAlignment="1">
      <alignment horizontal="center" vertical="center"/>
    </xf>
    <xf numFmtId="183" fontId="31" fillId="0" borderId="16" xfId="38" applyNumberFormat="1" applyFont="1" applyFill="1" applyBorder="1" applyAlignment="1">
      <alignment horizontal="center" vertical="center"/>
    </xf>
    <xf numFmtId="183" fontId="31" fillId="0" borderId="28" xfId="38" applyNumberFormat="1" applyFont="1" applyFill="1" applyBorder="1" applyAlignment="1">
      <alignment horizontal="center" vertical="center"/>
    </xf>
    <xf numFmtId="183" fontId="31" fillId="0" borderId="13" xfId="38" applyNumberFormat="1" applyFont="1" applyFill="1" applyBorder="1" applyAlignment="1">
      <alignment horizontal="center" vertical="center"/>
    </xf>
    <xf numFmtId="183" fontId="31" fillId="0" borderId="14" xfId="38" applyNumberFormat="1" applyFont="1" applyFill="1" applyBorder="1" applyAlignment="1">
      <alignment horizontal="center" vertical="center"/>
    </xf>
    <xf numFmtId="164" fontId="31" fillId="0" borderId="24" xfId="0" applyNumberFormat="1" applyFont="1" applyBorder="1" applyAlignment="1">
      <alignment horizontal="center" vertical="center"/>
    </xf>
    <xf numFmtId="0" fontId="31" fillId="0" borderId="0" xfId="0" applyFont="1" applyFill="1" applyAlignment="1">
      <alignment vertical="top"/>
    </xf>
    <xf numFmtId="0" fontId="32" fillId="0" borderId="76" xfId="38" applyFont="1" applyBorder="1" applyAlignment="1">
      <alignment horizontal="center" vertical="center"/>
    </xf>
    <xf numFmtId="0" fontId="42" fillId="0" borderId="0" xfId="0" applyFont="1" applyAlignment="1">
      <alignment horizontal="right"/>
    </xf>
    <xf numFmtId="0" fontId="0" fillId="0" borderId="0" xfId="0" applyAlignment="1">
      <alignment horizontal="right"/>
    </xf>
    <xf numFmtId="0" fontId="42" fillId="0" borderId="0" xfId="0" applyFont="1" applyAlignment="1">
      <alignment horizontal="right" vertical="top"/>
    </xf>
    <xf numFmtId="3" fontId="31" fillId="0" borderId="54" xfId="0" applyNumberFormat="1" applyFont="1" applyBorder="1" applyAlignment="1">
      <alignment horizontal="center" textRotation="90" wrapText="1"/>
    </xf>
    <xf numFmtId="3" fontId="31" fillId="0" borderId="61" xfId="0" applyNumberFormat="1" applyFont="1" applyBorder="1" applyAlignment="1">
      <alignment horizontal="center" textRotation="90" wrapText="1"/>
    </xf>
    <xf numFmtId="3" fontId="31" fillId="0" borderId="69" xfId="0" applyNumberFormat="1" applyFont="1" applyBorder="1" applyAlignment="1">
      <alignment horizontal="center" textRotation="90" wrapText="1"/>
    </xf>
    <xf numFmtId="3" fontId="31" fillId="0" borderId="56" xfId="0" applyNumberFormat="1" applyFont="1" applyBorder="1" applyAlignment="1">
      <alignment horizontal="center" textRotation="90" wrapText="1"/>
    </xf>
    <xf numFmtId="0" fontId="31" fillId="28" borderId="18" xfId="0" applyFont="1" applyFill="1" applyBorder="1" applyAlignment="1">
      <alignment horizontal="center" vertical="center"/>
    </xf>
    <xf numFmtId="0" fontId="2" fillId="0" borderId="0" xfId="38" applyBorder="1"/>
    <xf numFmtId="0" fontId="1" fillId="0" borderId="0" xfId="38" applyFont="1" applyBorder="1" applyAlignment="1">
      <alignment horizontal="center" vertical="center"/>
    </xf>
    <xf numFmtId="0" fontId="32" fillId="0" borderId="0" xfId="38" applyFont="1" applyBorder="1" applyAlignment="1">
      <alignment vertical="center"/>
    </xf>
    <xf numFmtId="0" fontId="32" fillId="0" borderId="0" xfId="38" applyFont="1" applyBorder="1" applyAlignment="1">
      <alignment vertical="center" wrapText="1"/>
    </xf>
    <xf numFmtId="0" fontId="32" fillId="0" borderId="0" xfId="38" applyFont="1" applyBorder="1" applyAlignment="1">
      <alignment vertical="center" textRotation="90" wrapText="1"/>
    </xf>
    <xf numFmtId="0" fontId="31" fillId="0" borderId="0" xfId="38" applyFont="1" applyBorder="1" applyAlignment="1">
      <alignment horizontal="center"/>
    </xf>
    <xf numFmtId="0" fontId="32" fillId="0" borderId="0" xfId="38" applyFont="1" applyBorder="1" applyAlignment="1">
      <alignment horizontal="center" vertical="center" wrapText="1"/>
    </xf>
    <xf numFmtId="0" fontId="31" fillId="0" borderId="0" xfId="38" applyFont="1" applyFill="1" applyAlignment="1">
      <alignment vertical="center" wrapText="1"/>
    </xf>
    <xf numFmtId="0" fontId="31" fillId="0" borderId="0" xfId="38" applyFont="1" applyFill="1" applyAlignment="1"/>
    <xf numFmtId="0" fontId="31" fillId="0" borderId="0" xfId="38" applyFont="1" applyFill="1" applyAlignment="1">
      <alignment horizontal="center" vertical="center"/>
    </xf>
    <xf numFmtId="1" fontId="31" fillId="0" borderId="0" xfId="38" applyNumberFormat="1" applyFont="1" applyBorder="1" applyAlignment="1">
      <alignment horizontal="center" vertical="center"/>
    </xf>
    <xf numFmtId="1" fontId="32" fillId="0" borderId="0" xfId="38" applyNumberFormat="1" applyFont="1" applyBorder="1" applyAlignment="1">
      <alignment horizontal="left" vertical="center" wrapText="1"/>
    </xf>
    <xf numFmtId="0" fontId="33" fillId="0" borderId="0" xfId="38" applyFont="1" applyBorder="1" applyAlignment="1">
      <alignment horizontal="center" vertical="center"/>
    </xf>
    <xf numFmtId="0" fontId="32" fillId="0" borderId="60" xfId="38" applyFont="1" applyBorder="1" applyAlignment="1">
      <alignment horizontal="center" vertical="top"/>
    </xf>
    <xf numFmtId="0" fontId="31" fillId="0" borderId="34" xfId="38" applyFont="1" applyBorder="1" applyAlignment="1">
      <alignment horizontal="center" vertical="top"/>
    </xf>
    <xf numFmtId="0" fontId="31" fillId="0" borderId="90" xfId="38" applyFont="1" applyBorder="1" applyAlignment="1">
      <alignment horizontal="center" vertical="top"/>
    </xf>
    <xf numFmtId="0" fontId="32" fillId="0" borderId="91" xfId="38" applyFont="1" applyBorder="1" applyAlignment="1">
      <alignment horizontal="center" vertical="center"/>
    </xf>
    <xf numFmtId="0" fontId="32" fillId="0" borderId="77" xfId="38" applyFont="1" applyBorder="1" applyAlignment="1">
      <alignment horizontal="center" vertical="center"/>
    </xf>
    <xf numFmtId="0" fontId="32" fillId="0" borderId="12" xfId="38" applyFont="1" applyBorder="1" applyAlignment="1">
      <alignment horizontal="center" vertical="center"/>
    </xf>
    <xf numFmtId="0" fontId="32" fillId="0" borderId="59" xfId="38" applyFont="1" applyBorder="1" applyAlignment="1">
      <alignment horizontal="center" vertical="center"/>
    </xf>
    <xf numFmtId="0" fontId="31" fillId="0" borderId="10" xfId="38" applyFont="1" applyBorder="1" applyAlignment="1">
      <alignment horizontal="center" vertical="center"/>
    </xf>
    <xf numFmtId="0" fontId="31" fillId="0" borderId="52" xfId="38" applyFont="1" applyBorder="1" applyAlignment="1">
      <alignment horizontal="center" vertical="center"/>
    </xf>
    <xf numFmtId="0" fontId="31" fillId="0" borderId="63" xfId="38" applyFont="1" applyBorder="1" applyAlignment="1">
      <alignment horizontal="center" vertical="center"/>
    </xf>
    <xf numFmtId="0" fontId="31" fillId="0" borderId="79" xfId="38" applyFont="1" applyBorder="1" applyAlignment="1">
      <alignment horizontal="center" vertical="center"/>
    </xf>
    <xf numFmtId="0" fontId="31" fillId="0" borderId="31" xfId="38" applyFont="1" applyBorder="1" applyAlignment="1">
      <alignment horizontal="center" vertical="center"/>
    </xf>
    <xf numFmtId="0" fontId="31" fillId="0" borderId="15" xfId="38" applyFont="1" applyBorder="1" applyAlignment="1">
      <alignment horizontal="center" vertical="center"/>
    </xf>
    <xf numFmtId="0" fontId="40" fillId="0" borderId="0" xfId="38" applyFont="1" applyBorder="1" applyAlignment="1">
      <alignment horizontal="center" vertical="center"/>
    </xf>
    <xf numFmtId="1" fontId="31" fillId="0" borderId="28" xfId="38" applyNumberFormat="1" applyFont="1" applyBorder="1" applyAlignment="1">
      <alignment horizontal="left" vertical="center"/>
    </xf>
    <xf numFmtId="0" fontId="31" fillId="0" borderId="0" xfId="38" applyFont="1" applyBorder="1" applyAlignment="1">
      <alignment horizontal="right" vertical="center"/>
    </xf>
    <xf numFmtId="0" fontId="31" fillId="0" borderId="0" xfId="38" applyFont="1" applyBorder="1" applyAlignment="1">
      <alignment horizontal="left" vertical="center" wrapText="1"/>
    </xf>
    <xf numFmtId="1" fontId="31" fillId="0" borderId="15" xfId="38" applyNumberFormat="1" applyFont="1" applyBorder="1" applyAlignment="1">
      <alignment horizontal="center" vertical="center"/>
    </xf>
    <xf numFmtId="1" fontId="31" fillId="0" borderId="28" xfId="38" applyNumberFormat="1" applyFont="1" applyBorder="1" applyAlignment="1">
      <alignment horizontal="center" vertical="center"/>
    </xf>
    <xf numFmtId="189" fontId="31" fillId="0" borderId="15" xfId="38" applyNumberFormat="1" applyFont="1" applyBorder="1" applyAlignment="1">
      <alignment horizontal="center" vertical="center"/>
    </xf>
    <xf numFmtId="189" fontId="31" fillId="0" borderId="28" xfId="38" applyNumberFormat="1" applyFont="1" applyBorder="1" applyAlignment="1">
      <alignment horizontal="center" vertical="center"/>
    </xf>
    <xf numFmtId="1" fontId="31" fillId="0" borderId="0" xfId="38" applyNumberFormat="1" applyFont="1" applyBorder="1" applyAlignment="1">
      <alignment horizontal="right" vertical="center"/>
    </xf>
    <xf numFmtId="0" fontId="31" fillId="0" borderId="32" xfId="38" applyFont="1" applyBorder="1" applyAlignment="1">
      <alignment horizontal="center" vertical="center"/>
    </xf>
    <xf numFmtId="0" fontId="31" fillId="0" borderId="40" xfId="38" applyFont="1" applyBorder="1" applyAlignment="1">
      <alignment horizontal="center" vertical="center"/>
    </xf>
    <xf numFmtId="1" fontId="31" fillId="0" borderId="14" xfId="38" applyNumberFormat="1" applyFont="1" applyBorder="1" applyAlignment="1">
      <alignment horizontal="left" vertical="center"/>
    </xf>
    <xf numFmtId="1" fontId="31" fillId="0" borderId="0" xfId="38" applyNumberFormat="1" applyFont="1" applyFill="1" applyBorder="1" applyAlignment="1">
      <alignment horizontal="center" vertical="center"/>
    </xf>
    <xf numFmtId="0" fontId="2" fillId="0" borderId="0" xfId="38" applyFont="1"/>
    <xf numFmtId="0" fontId="2" fillId="0" borderId="0" xfId="38" applyFont="1" applyBorder="1"/>
    <xf numFmtId="0" fontId="32" fillId="28" borderId="60" xfId="38" applyFont="1" applyFill="1" applyBorder="1" applyAlignment="1">
      <alignment horizontal="center" vertical="center"/>
    </xf>
    <xf numFmtId="0" fontId="32" fillId="28" borderId="34" xfId="38" applyFont="1" applyFill="1" applyBorder="1" applyAlignment="1">
      <alignment horizontal="center" vertical="center"/>
    </xf>
    <xf numFmtId="0" fontId="32" fillId="28" borderId="90" xfId="38" applyFont="1" applyFill="1" applyBorder="1" applyAlignment="1">
      <alignment horizontal="center" vertical="center"/>
    </xf>
    <xf numFmtId="0" fontId="32" fillId="28" borderId="0" xfId="38" applyFont="1" applyFill="1" applyBorder="1" applyAlignment="1"/>
    <xf numFmtId="0" fontId="32" fillId="28" borderId="91" xfId="38" applyFont="1" applyFill="1" applyBorder="1" applyAlignment="1">
      <alignment horizontal="center" vertical="center"/>
    </xf>
    <xf numFmtId="0" fontId="32" fillId="28" borderId="76" xfId="38" applyFont="1" applyFill="1" applyBorder="1" applyAlignment="1">
      <alignment horizontal="center" vertical="center"/>
    </xf>
    <xf numFmtId="0" fontId="32" fillId="28" borderId="77" xfId="38" applyFont="1" applyFill="1" applyBorder="1" applyAlignment="1">
      <alignment horizontal="center" vertical="center"/>
    </xf>
    <xf numFmtId="0" fontId="32" fillId="28" borderId="68" xfId="38" applyFont="1" applyFill="1" applyBorder="1" applyAlignment="1">
      <alignment horizontal="center" vertical="center"/>
    </xf>
    <xf numFmtId="0" fontId="32" fillId="28" borderId="59" xfId="38" applyFont="1" applyFill="1" applyBorder="1" applyAlignment="1">
      <alignment horizontal="center" vertical="center"/>
    </xf>
    <xf numFmtId="0" fontId="31" fillId="28" borderId="0" xfId="38" applyFont="1" applyFill="1" applyBorder="1"/>
    <xf numFmtId="0" fontId="31" fillId="28" borderId="10" xfId="38" applyFont="1" applyFill="1" applyBorder="1" applyAlignment="1">
      <alignment horizontal="center" vertical="center"/>
    </xf>
    <xf numFmtId="0" fontId="31" fillId="28" borderId="52" xfId="38" applyFont="1" applyFill="1" applyBorder="1" applyAlignment="1">
      <alignment horizontal="center" vertical="center"/>
    </xf>
    <xf numFmtId="0" fontId="31" fillId="28" borderId="63" xfId="38" applyFont="1" applyFill="1" applyBorder="1" applyAlignment="1">
      <alignment horizontal="center" vertical="center"/>
    </xf>
    <xf numFmtId="0" fontId="32" fillId="28" borderId="0" xfId="38" applyFont="1" applyFill="1" applyBorder="1" applyAlignment="1">
      <alignment wrapText="1"/>
    </xf>
    <xf numFmtId="0" fontId="32" fillId="28" borderId="0" xfId="38" applyFont="1" applyFill="1" applyBorder="1" applyAlignment="1">
      <alignment vertical="center"/>
    </xf>
    <xf numFmtId="0" fontId="31" fillId="28" borderId="79" xfId="38" applyFont="1" applyFill="1" applyBorder="1" applyAlignment="1">
      <alignment horizontal="center" vertical="center"/>
    </xf>
    <xf numFmtId="0" fontId="31" fillId="28" borderId="31" xfId="38" applyFont="1" applyFill="1" applyBorder="1" applyAlignment="1">
      <alignment horizontal="center" vertical="center"/>
    </xf>
    <xf numFmtId="0" fontId="32" fillId="28" borderId="0" xfId="38" applyFont="1" applyFill="1" applyBorder="1" applyAlignment="1">
      <alignment textRotation="90" wrapText="1"/>
    </xf>
    <xf numFmtId="0" fontId="32" fillId="28" borderId="0" xfId="38" applyFont="1" applyFill="1" applyBorder="1" applyAlignment="1">
      <alignment vertical="center" wrapText="1"/>
    </xf>
    <xf numFmtId="0" fontId="32" fillId="28" borderId="0" xfId="38" applyFont="1" applyFill="1" applyBorder="1" applyAlignment="1">
      <alignment vertical="center" textRotation="90" wrapText="1" shrinkToFit="1"/>
    </xf>
    <xf numFmtId="0" fontId="31" fillId="28" borderId="0" xfId="38" applyFont="1" applyFill="1" applyBorder="1" applyAlignment="1">
      <alignment horizontal="center"/>
    </xf>
    <xf numFmtId="0" fontId="32" fillId="28" borderId="0" xfId="38" applyFont="1" applyFill="1" applyBorder="1" applyAlignment="1">
      <alignment horizontal="center" vertical="center" wrapText="1"/>
    </xf>
    <xf numFmtId="2" fontId="31" fillId="28" borderId="15" xfId="38" applyNumberFormat="1" applyFont="1" applyFill="1" applyBorder="1" applyAlignment="1">
      <alignment horizontal="center" vertical="center"/>
    </xf>
    <xf numFmtId="1" fontId="31" fillId="28" borderId="0" xfId="38" applyNumberFormat="1" applyFont="1" applyFill="1" applyBorder="1" applyAlignment="1">
      <alignment horizontal="center"/>
    </xf>
    <xf numFmtId="1" fontId="31" fillId="28" borderId="28" xfId="38" applyNumberFormat="1" applyFont="1" applyFill="1" applyBorder="1" applyAlignment="1">
      <alignment horizontal="left" vertical="center"/>
    </xf>
    <xf numFmtId="0" fontId="41" fillId="28" borderId="0" xfId="38" applyFont="1" applyFill="1" applyBorder="1" applyAlignment="1">
      <alignment horizontal="center" vertical="center"/>
    </xf>
    <xf numFmtId="0" fontId="40" fillId="28" borderId="0" xfId="38" applyFont="1" applyFill="1" applyBorder="1" applyAlignment="1">
      <alignment horizontal="center" vertical="center"/>
    </xf>
    <xf numFmtId="0" fontId="31" fillId="28" borderId="0" xfId="38" applyFont="1" applyFill="1" applyBorder="1" applyAlignment="1">
      <alignment horizontal="right" vertical="center"/>
    </xf>
    <xf numFmtId="0" fontId="31" fillId="28" borderId="0" xfId="38" applyFont="1" applyFill="1" applyBorder="1" applyAlignment="1">
      <alignment horizontal="left" vertical="center"/>
    </xf>
    <xf numFmtId="1" fontId="31" fillId="28" borderId="15" xfId="38" applyNumberFormat="1" applyFont="1" applyFill="1" applyBorder="1" applyAlignment="1">
      <alignment horizontal="left" vertical="center"/>
    </xf>
    <xf numFmtId="0" fontId="31" fillId="28" borderId="0" xfId="38" applyFont="1" applyFill="1" applyBorder="1" applyAlignment="1">
      <alignment horizontal="left" vertical="center" wrapText="1"/>
    </xf>
    <xf numFmtId="0" fontId="31" fillId="28" borderId="0" xfId="38" applyFont="1" applyFill="1" applyAlignment="1">
      <alignment horizontal="right" vertical="center"/>
    </xf>
    <xf numFmtId="0" fontId="31" fillId="28" borderId="0" xfId="38" applyFont="1" applyFill="1" applyAlignment="1">
      <alignment vertical="center" wrapText="1"/>
    </xf>
    <xf numFmtId="1" fontId="31" fillId="28" borderId="0" xfId="38" applyNumberFormat="1" applyFont="1" applyFill="1" applyBorder="1" applyAlignment="1">
      <alignment horizontal="left" vertical="center"/>
    </xf>
    <xf numFmtId="1" fontId="31" fillId="28" borderId="0" xfId="38" applyNumberFormat="1" applyFont="1" applyFill="1" applyBorder="1" applyAlignment="1">
      <alignment horizontal="right" vertical="center"/>
    </xf>
    <xf numFmtId="1" fontId="31" fillId="28" borderId="0" xfId="38" applyNumberFormat="1" applyFont="1" applyFill="1" applyBorder="1" applyAlignment="1">
      <alignment horizontal="left" vertical="center" wrapText="1"/>
    </xf>
    <xf numFmtId="0" fontId="31" fillId="28" borderId="0" xfId="38" applyFont="1" applyFill="1" applyAlignment="1"/>
    <xf numFmtId="0" fontId="31" fillId="28" borderId="40" xfId="38" applyFont="1" applyFill="1" applyBorder="1" applyAlignment="1">
      <alignment horizontal="center" vertical="center"/>
    </xf>
    <xf numFmtId="1" fontId="31" fillId="28" borderId="14" xfId="38" applyNumberFormat="1" applyFont="1" applyFill="1" applyBorder="1" applyAlignment="1">
      <alignment horizontal="left" vertical="center"/>
    </xf>
    <xf numFmtId="1" fontId="31" fillId="28" borderId="12" xfId="38" applyNumberFormat="1" applyFont="1" applyFill="1" applyBorder="1" applyAlignment="1">
      <alignment horizontal="left" vertical="center"/>
    </xf>
    <xf numFmtId="1" fontId="31" fillId="0" borderId="0" xfId="38" applyNumberFormat="1" applyFont="1" applyBorder="1" applyAlignment="1">
      <alignment horizontal="left" vertical="center"/>
    </xf>
    <xf numFmtId="0" fontId="31" fillId="0" borderId="0" xfId="38" applyFont="1" applyBorder="1" applyAlignment="1">
      <alignment horizontal="left" vertical="top"/>
    </xf>
    <xf numFmtId="0" fontId="41" fillId="0" borderId="0" xfId="38" applyFont="1" applyBorder="1" applyAlignment="1">
      <alignment horizontal="right" vertical="center"/>
    </xf>
    <xf numFmtId="0" fontId="32" fillId="0" borderId="13" xfId="38" applyFont="1" applyBorder="1" applyAlignment="1">
      <alignment horizontal="center" vertical="center"/>
    </xf>
    <xf numFmtId="0" fontId="31" fillId="0" borderId="18" xfId="38" applyFont="1" applyBorder="1" applyAlignment="1">
      <alignment horizontal="center" vertical="center"/>
    </xf>
    <xf numFmtId="0" fontId="31" fillId="0" borderId="16" xfId="38" applyFont="1" applyBorder="1" applyAlignment="1">
      <alignment horizontal="center" vertical="center"/>
    </xf>
    <xf numFmtId="189" fontId="31" fillId="0" borderId="16" xfId="38" applyNumberFormat="1" applyFont="1" applyBorder="1" applyAlignment="1">
      <alignment horizontal="center" vertical="center"/>
    </xf>
    <xf numFmtId="0" fontId="2" fillId="31" borderId="0" xfId="38" applyFill="1" applyAlignment="1">
      <alignment horizontal="left" vertical="center"/>
    </xf>
    <xf numFmtId="0" fontId="31" fillId="32" borderId="0" xfId="0" applyFont="1" applyFill="1" applyAlignment="1">
      <alignment horizontal="right" vertical="center"/>
    </xf>
    <xf numFmtId="0" fontId="31" fillId="0" borderId="81" xfId="0" applyFont="1" applyFill="1" applyBorder="1" applyAlignment="1">
      <alignment horizontal="center" vertical="center"/>
    </xf>
    <xf numFmtId="0" fontId="31" fillId="0" borderId="35" xfId="0" applyNumberFormat="1" applyFont="1" applyFill="1" applyBorder="1" applyAlignment="1">
      <alignment horizontal="center" vertical="center"/>
    </xf>
    <xf numFmtId="0" fontId="31" fillId="0" borderId="29" xfId="0" applyNumberFormat="1" applyFont="1" applyFill="1" applyBorder="1" applyAlignment="1">
      <alignment horizontal="center" vertical="center"/>
    </xf>
    <xf numFmtId="0" fontId="31" fillId="0" borderId="17" xfId="0" applyFont="1" applyFill="1" applyBorder="1" applyAlignment="1">
      <alignment horizontal="center" vertical="center"/>
    </xf>
    <xf numFmtId="0" fontId="31" fillId="0" borderId="18" xfId="0" applyFont="1" applyFill="1" applyBorder="1" applyAlignment="1">
      <alignment horizontal="left" vertical="center" wrapText="1"/>
    </xf>
    <xf numFmtId="0" fontId="31" fillId="0" borderId="19" xfId="0" applyNumberFormat="1" applyFont="1" applyFill="1" applyBorder="1" applyAlignment="1">
      <alignment horizontal="left" vertical="center" wrapText="1"/>
    </xf>
    <xf numFmtId="0" fontId="31" fillId="0" borderId="16" xfId="0" applyFont="1" applyFill="1" applyBorder="1" applyAlignment="1">
      <alignment horizontal="left" vertical="center" wrapText="1"/>
    </xf>
    <xf numFmtId="184" fontId="31" fillId="0" borderId="83" xfId="42" applyNumberFormat="1" applyFont="1" applyFill="1" applyBorder="1" applyAlignment="1">
      <alignment horizontal="left" vertical="center" wrapText="1"/>
    </xf>
    <xf numFmtId="0" fontId="31" fillId="0" borderId="31" xfId="0" applyFont="1" applyFill="1" applyBorder="1" applyAlignment="1">
      <alignment horizontal="left" vertical="center"/>
    </xf>
    <xf numFmtId="0" fontId="31" fillId="0" borderId="76" xfId="0" applyFont="1" applyFill="1" applyBorder="1" applyAlignment="1">
      <alignment horizontal="center" vertical="center" wrapText="1"/>
    </xf>
    <xf numFmtId="0" fontId="31" fillId="29" borderId="35" xfId="0" applyFont="1" applyFill="1" applyBorder="1" applyAlignment="1">
      <alignment horizontal="left" vertical="center"/>
    </xf>
    <xf numFmtId="0" fontId="40" fillId="0" borderId="0" xfId="0" applyFont="1" applyFill="1" applyBorder="1" applyAlignment="1">
      <alignment horizontal="left" vertical="center"/>
    </xf>
    <xf numFmtId="0" fontId="31" fillId="29" borderId="29" xfId="0" applyFont="1" applyFill="1" applyBorder="1" applyAlignment="1">
      <alignment horizontal="left" vertical="center"/>
    </xf>
    <xf numFmtId="193" fontId="31" fillId="29" borderId="35" xfId="0" applyNumberFormat="1" applyFont="1" applyFill="1" applyBorder="1" applyAlignment="1">
      <alignment horizontal="center" vertical="center"/>
    </xf>
    <xf numFmtId="0" fontId="31" fillId="28" borderId="53" xfId="0" applyFont="1" applyFill="1" applyBorder="1" applyAlignment="1">
      <alignment horizontal="center" vertical="center"/>
    </xf>
    <xf numFmtId="0" fontId="31" fillId="28" borderId="52" xfId="0" applyFont="1" applyFill="1" applyBorder="1" applyAlignment="1">
      <alignment horizontal="center" vertical="center"/>
    </xf>
    <xf numFmtId="0" fontId="31" fillId="28" borderId="18" xfId="38" applyFont="1" applyFill="1" applyBorder="1" applyAlignment="1">
      <alignment vertical="center"/>
    </xf>
    <xf numFmtId="0" fontId="31" fillId="28" borderId="53" xfId="38" applyFont="1" applyFill="1" applyBorder="1" applyAlignment="1">
      <alignment vertical="center" wrapText="1"/>
    </xf>
    <xf numFmtId="0" fontId="31" fillId="30" borderId="53" xfId="38" applyFont="1" applyFill="1" applyBorder="1" applyAlignment="1">
      <alignment vertical="center" wrapText="1"/>
    </xf>
    <xf numFmtId="0" fontId="31" fillId="30" borderId="53" xfId="38" applyFont="1" applyFill="1" applyBorder="1" applyAlignment="1">
      <alignment horizontal="left" vertical="center"/>
    </xf>
    <xf numFmtId="0" fontId="31" fillId="0" borderId="0" xfId="38" applyFont="1" applyFill="1" applyAlignment="1">
      <alignment horizontal="left" vertical="center"/>
    </xf>
    <xf numFmtId="0" fontId="31" fillId="28" borderId="48" xfId="0" applyFont="1" applyFill="1" applyBorder="1" applyAlignment="1">
      <alignment horizontal="center" vertical="center" wrapText="1"/>
    </xf>
    <xf numFmtId="0" fontId="31" fillId="28" borderId="62" xfId="0" applyFont="1" applyFill="1" applyBorder="1" applyAlignment="1">
      <alignment horizontal="center" vertical="center" wrapText="1"/>
    </xf>
    <xf numFmtId="0" fontId="31" fillId="0" borderId="34" xfId="0" applyFont="1" applyBorder="1" applyAlignment="1">
      <alignment horizontal="center"/>
    </xf>
    <xf numFmtId="0" fontId="31" fillId="0" borderId="19" xfId="0" applyFont="1" applyFill="1" applyBorder="1" applyAlignment="1">
      <alignment horizontal="left" vertical="center" wrapText="1"/>
    </xf>
    <xf numFmtId="0" fontId="31" fillId="0" borderId="29" xfId="0" applyFont="1" applyFill="1" applyBorder="1" applyAlignment="1">
      <alignment horizontal="center" vertical="center"/>
    </xf>
    <xf numFmtId="3" fontId="31" fillId="0" borderId="16" xfId="0" applyNumberFormat="1" applyFont="1" applyFill="1" applyBorder="1" applyAlignment="1">
      <alignment vertical="center" wrapText="1"/>
    </xf>
    <xf numFmtId="0" fontId="31" fillId="0" borderId="16" xfId="0" applyNumberFormat="1" applyFont="1" applyFill="1" applyBorder="1" applyAlignment="1">
      <alignment horizontal="left" vertical="center" wrapText="1"/>
    </xf>
    <xf numFmtId="0" fontId="31" fillId="0" borderId="16" xfId="0" applyNumberFormat="1" applyFont="1" applyFill="1" applyBorder="1" applyAlignment="1">
      <alignment horizontal="center" vertical="center"/>
    </xf>
    <xf numFmtId="0" fontId="31" fillId="0" borderId="15" xfId="0" applyFont="1" applyFill="1" applyBorder="1" applyAlignment="1">
      <alignment horizontal="center" vertical="center"/>
    </xf>
    <xf numFmtId="0" fontId="31" fillId="0" borderId="16" xfId="0" applyFont="1" applyFill="1" applyBorder="1" applyAlignment="1">
      <alignment vertical="center" wrapText="1"/>
    </xf>
    <xf numFmtId="0" fontId="31" fillId="0" borderId="0" xfId="38" applyFont="1" applyFill="1" applyAlignment="1">
      <alignment vertical="center"/>
    </xf>
    <xf numFmtId="0" fontId="31" fillId="0" borderId="73" xfId="0" applyFont="1" applyFill="1" applyBorder="1" applyAlignment="1">
      <alignment horizontal="center" vertical="center"/>
    </xf>
    <xf numFmtId="0" fontId="31" fillId="0" borderId="33" xfId="0" applyNumberFormat="1" applyFont="1" applyFill="1" applyBorder="1" applyAlignment="1">
      <alignment horizontal="left" vertical="center" wrapText="1"/>
    </xf>
    <xf numFmtId="1" fontId="31" fillId="0" borderId="33" xfId="0" applyNumberFormat="1" applyFont="1" applyFill="1" applyBorder="1" applyAlignment="1">
      <alignment horizontal="center" vertical="center"/>
    </xf>
    <xf numFmtId="0" fontId="31" fillId="0" borderId="33" xfId="0" applyNumberFormat="1" applyFont="1" applyFill="1" applyBorder="1" applyAlignment="1">
      <alignment horizontal="center" vertical="center"/>
    </xf>
    <xf numFmtId="0" fontId="31" fillId="0" borderId="85" xfId="0" applyFont="1" applyFill="1" applyBorder="1" applyAlignment="1">
      <alignment horizontal="left" vertical="center"/>
    </xf>
    <xf numFmtId="0" fontId="31" fillId="28" borderId="41" xfId="38" applyFont="1" applyFill="1" applyBorder="1" applyAlignment="1">
      <alignment horizontal="center" vertical="center"/>
    </xf>
    <xf numFmtId="1" fontId="32" fillId="0" borderId="0" xfId="38" applyNumberFormat="1" applyFont="1" applyAlignment="1">
      <alignment horizontal="right" vertical="center"/>
    </xf>
    <xf numFmtId="0" fontId="31" fillId="30" borderId="79" xfId="0" applyFont="1" applyFill="1" applyBorder="1" applyAlignment="1">
      <alignment horizontal="center" vertical="center"/>
    </xf>
    <xf numFmtId="0" fontId="31" fillId="30" borderId="18" xfId="0" applyFont="1" applyFill="1" applyBorder="1" applyAlignment="1">
      <alignment horizontal="center" vertical="center"/>
    </xf>
    <xf numFmtId="0" fontId="31" fillId="30" borderId="19" xfId="0" applyFont="1" applyFill="1" applyBorder="1" applyAlignment="1">
      <alignment horizontal="center" vertical="center"/>
    </xf>
    <xf numFmtId="0" fontId="31" fillId="30" borderId="52" xfId="0" applyFont="1" applyFill="1" applyBorder="1" applyAlignment="1">
      <alignment horizontal="center" vertical="center"/>
    </xf>
    <xf numFmtId="0" fontId="31" fillId="30" borderId="35" xfId="0" applyFont="1" applyFill="1" applyBorder="1" applyAlignment="1">
      <alignment horizontal="center" vertical="center"/>
    </xf>
    <xf numFmtId="0" fontId="31" fillId="30" borderId="29" xfId="0" applyFont="1" applyFill="1" applyBorder="1" applyAlignment="1">
      <alignment horizontal="center" vertical="center"/>
    </xf>
    <xf numFmtId="0" fontId="31" fillId="30" borderId="12" xfId="38" applyFont="1" applyFill="1" applyBorder="1" applyAlignment="1">
      <alignment horizontal="center" vertical="center"/>
    </xf>
    <xf numFmtId="0" fontId="31" fillId="30" borderId="13" xfId="38" applyFont="1" applyFill="1" applyBorder="1" applyAlignment="1">
      <alignment horizontal="center" vertical="center"/>
    </xf>
    <xf numFmtId="0" fontId="31" fillId="30" borderId="14" xfId="38" applyFont="1" applyFill="1" applyBorder="1" applyAlignment="1">
      <alignment horizontal="center" vertical="center"/>
    </xf>
    <xf numFmtId="192" fontId="31" fillId="30" borderId="0" xfId="0" applyNumberFormat="1" applyFont="1" applyFill="1" applyBorder="1" applyAlignment="1">
      <alignment horizontal="left" vertical="center"/>
    </xf>
    <xf numFmtId="192" fontId="31" fillId="30" borderId="0" xfId="0" applyNumberFormat="1" applyFont="1" applyFill="1" applyAlignment="1">
      <alignment horizontal="left" vertical="center"/>
    </xf>
    <xf numFmtId="0" fontId="31" fillId="30" borderId="43" xfId="38" applyFont="1" applyFill="1" applyBorder="1" applyAlignment="1">
      <alignment horizontal="center" vertical="center"/>
    </xf>
    <xf numFmtId="0" fontId="31" fillId="30" borderId="71" xfId="38" applyFont="1" applyFill="1" applyBorder="1" applyAlignment="1">
      <alignment horizontal="center" vertical="center"/>
    </xf>
    <xf numFmtId="164" fontId="31" fillId="30" borderId="35" xfId="0" applyNumberFormat="1" applyFont="1" applyFill="1" applyBorder="1" applyAlignment="1">
      <alignment horizontal="center" vertical="center"/>
    </xf>
    <xf numFmtId="0" fontId="31" fillId="30" borderId="63" xfId="0" applyFont="1" applyFill="1" applyBorder="1" applyAlignment="1">
      <alignment horizontal="center" vertical="center"/>
    </xf>
    <xf numFmtId="0" fontId="31" fillId="30" borderId="0" xfId="38" applyFont="1" applyFill="1" applyBorder="1" applyAlignment="1">
      <alignment horizontal="left" vertical="center"/>
    </xf>
    <xf numFmtId="0" fontId="31" fillId="0" borderId="18" xfId="0" applyNumberFormat="1" applyFont="1" applyBorder="1" applyAlignment="1">
      <alignment horizontal="center" vertical="center"/>
    </xf>
    <xf numFmtId="0" fontId="31" fillId="0" borderId="33" xfId="0" applyNumberFormat="1" applyFont="1" applyBorder="1" applyAlignment="1">
      <alignment horizontal="center" vertical="center"/>
    </xf>
    <xf numFmtId="189" fontId="31" fillId="0" borderId="12" xfId="38" applyNumberFormat="1" applyFont="1" applyBorder="1" applyAlignment="1">
      <alignment horizontal="center" vertical="center"/>
    </xf>
    <xf numFmtId="189" fontId="31" fillId="0" borderId="13" xfId="38" applyNumberFormat="1" applyFont="1" applyBorder="1" applyAlignment="1">
      <alignment horizontal="center" vertical="center"/>
    </xf>
    <xf numFmtId="189" fontId="31" fillId="0" borderId="14" xfId="38" applyNumberFormat="1" applyFont="1" applyBorder="1" applyAlignment="1">
      <alignment horizontal="center" vertical="center"/>
    </xf>
    <xf numFmtId="0" fontId="31" fillId="0" borderId="0" xfId="0" applyFont="1" applyFill="1" applyBorder="1" applyAlignment="1">
      <alignment wrapText="1"/>
    </xf>
    <xf numFmtId="0" fontId="33" fillId="0" borderId="45" xfId="0" applyFont="1" applyBorder="1" applyAlignment="1">
      <alignment horizontal="left" vertical="center"/>
    </xf>
    <xf numFmtId="164" fontId="31" fillId="0" borderId="13" xfId="0" applyNumberFormat="1" applyFont="1" applyBorder="1" applyAlignment="1">
      <alignment horizontal="center" vertical="center"/>
    </xf>
    <xf numFmtId="0" fontId="31" fillId="28" borderId="18" xfId="0" applyFont="1" applyFill="1" applyBorder="1" applyAlignment="1">
      <alignment horizontal="center" vertical="center"/>
    </xf>
    <xf numFmtId="0" fontId="31" fillId="31" borderId="0" xfId="0" applyFont="1" applyFill="1" applyAlignment="1"/>
    <xf numFmtId="0" fontId="31" fillId="29" borderId="35" xfId="0" applyFont="1" applyFill="1" applyBorder="1"/>
    <xf numFmtId="0" fontId="31" fillId="24" borderId="70" xfId="38" applyFont="1" applyFill="1" applyBorder="1" applyAlignment="1">
      <alignment horizontal="center" vertical="center"/>
    </xf>
    <xf numFmtId="0" fontId="31" fillId="24" borderId="68" xfId="38" applyFont="1" applyFill="1" applyBorder="1" applyAlignment="1">
      <alignment horizontal="center" vertical="center"/>
    </xf>
    <xf numFmtId="0" fontId="31" fillId="24" borderId="58" xfId="38" applyFont="1" applyFill="1" applyBorder="1" applyAlignment="1">
      <alignment horizontal="center" vertical="center"/>
    </xf>
    <xf numFmtId="0" fontId="31" fillId="28" borderId="13" xfId="38" quotePrefix="1" applyFont="1" applyFill="1" applyBorder="1" applyAlignment="1">
      <alignment horizontal="center" vertical="center" wrapText="1"/>
    </xf>
    <xf numFmtId="0" fontId="31" fillId="30" borderId="70" xfId="38" applyFont="1" applyFill="1" applyBorder="1" applyAlignment="1">
      <alignment horizontal="center" vertical="center"/>
    </xf>
    <xf numFmtId="194" fontId="31" fillId="0" borderId="42" xfId="0" applyNumberFormat="1" applyFont="1" applyBorder="1" applyAlignment="1">
      <alignment horizontal="center" vertical="center"/>
    </xf>
    <xf numFmtId="195" fontId="31" fillId="0" borderId="73" xfId="0" applyNumberFormat="1" applyFont="1" applyBorder="1" applyAlignment="1">
      <alignment horizontal="center" vertical="center"/>
    </xf>
    <xf numFmtId="178" fontId="32" fillId="0" borderId="30" xfId="0" applyNumberFormat="1" applyFont="1" applyBorder="1" applyAlignment="1">
      <alignment horizontal="center" vertical="center"/>
    </xf>
    <xf numFmtId="178" fontId="32" fillId="0" borderId="17" xfId="0" applyNumberFormat="1" applyFont="1" applyBorder="1" applyAlignment="1">
      <alignment horizontal="center" vertical="center"/>
    </xf>
    <xf numFmtId="183" fontId="31" fillId="0" borderId="88" xfId="0" applyNumberFormat="1" applyFont="1" applyBorder="1" applyAlignment="1">
      <alignment horizontal="center" vertical="center"/>
    </xf>
    <xf numFmtId="166" fontId="31" fillId="0" borderId="64" xfId="0" applyNumberFormat="1" applyFont="1" applyBorder="1" applyAlignment="1">
      <alignment horizontal="center" vertical="center"/>
    </xf>
    <xf numFmtId="0" fontId="31" fillId="0" borderId="34" xfId="0" applyFont="1" applyBorder="1" applyAlignment="1">
      <alignment vertical="center"/>
    </xf>
    <xf numFmtId="166" fontId="32" fillId="0" borderId="34" xfId="0" applyNumberFormat="1" applyFont="1" applyBorder="1" applyAlignment="1">
      <alignment horizontal="center" vertical="center"/>
    </xf>
    <xf numFmtId="166" fontId="32" fillId="0" borderId="34" xfId="0" applyNumberFormat="1" applyFont="1" applyBorder="1" applyAlignment="1">
      <alignment horizontal="right" vertical="center"/>
    </xf>
    <xf numFmtId="0" fontId="32" fillId="0" borderId="37" xfId="0" applyFont="1" applyBorder="1" applyAlignment="1">
      <alignment horizontal="center" vertical="center"/>
    </xf>
    <xf numFmtId="0" fontId="32" fillId="0" borderId="38" xfId="0" applyFont="1" applyBorder="1" applyAlignment="1">
      <alignment horizontal="center" vertical="center"/>
    </xf>
    <xf numFmtId="0" fontId="35" fillId="28" borderId="0" xfId="0" applyFont="1" applyFill="1" applyBorder="1" applyAlignment="1">
      <alignment horizontal="center" vertical="center"/>
    </xf>
    <xf numFmtId="196" fontId="31" fillId="29" borderId="29" xfId="0" applyNumberFormat="1" applyFont="1" applyFill="1" applyBorder="1" applyAlignment="1">
      <alignment horizontal="center" vertical="center" wrapText="1"/>
    </xf>
    <xf numFmtId="0" fontId="31" fillId="24" borderId="53" xfId="38" applyFont="1" applyFill="1" applyBorder="1" applyAlignment="1">
      <alignment horizontal="left" vertical="center"/>
    </xf>
    <xf numFmtId="0" fontId="2" fillId="31" borderId="0" xfId="38" applyFill="1"/>
    <xf numFmtId="0" fontId="3" fillId="0" borderId="34" xfId="0" applyFont="1" applyBorder="1"/>
    <xf numFmtId="0" fontId="3" fillId="0" borderId="34" xfId="0" applyFont="1" applyBorder="1" applyAlignment="1">
      <alignment horizontal="center"/>
    </xf>
    <xf numFmtId="0" fontId="31" fillId="28" borderId="18" xfId="0" applyFont="1" applyFill="1" applyBorder="1" applyAlignment="1">
      <alignment horizontal="center" vertical="center"/>
    </xf>
    <xf numFmtId="0" fontId="31" fillId="29" borderId="35" xfId="0" applyFont="1" applyFill="1" applyBorder="1" applyAlignment="1">
      <alignment horizontal="left" vertical="center"/>
    </xf>
    <xf numFmtId="0" fontId="31" fillId="28" borderId="28" xfId="0" applyFont="1" applyFill="1" applyBorder="1" applyAlignment="1">
      <alignment horizontal="center" vertical="center"/>
    </xf>
    <xf numFmtId="0" fontId="31" fillId="28" borderId="18" xfId="0" applyFont="1" applyFill="1" applyBorder="1" applyAlignment="1">
      <alignment horizontal="center" vertical="center"/>
    </xf>
    <xf numFmtId="0" fontId="31" fillId="0" borderId="0" xfId="0" applyFont="1" applyAlignment="1">
      <alignment vertical="top"/>
    </xf>
    <xf numFmtId="0" fontId="31" fillId="31" borderId="0" xfId="38" applyFont="1" applyFill="1" applyAlignment="1">
      <alignment vertical="center"/>
    </xf>
    <xf numFmtId="0" fontId="31" fillId="28" borderId="28" xfId="38" applyFont="1" applyFill="1" applyBorder="1" applyAlignment="1">
      <alignment horizontal="center" vertical="center"/>
    </xf>
    <xf numFmtId="0" fontId="31" fillId="28" borderId="15" xfId="38" applyFont="1" applyFill="1" applyBorder="1" applyAlignment="1">
      <alignment horizontal="center" vertical="center" wrapText="1"/>
    </xf>
    <xf numFmtId="0" fontId="31" fillId="28" borderId="50" xfId="38" applyFont="1" applyFill="1" applyBorder="1" applyAlignment="1">
      <alignment horizontal="center" vertical="center" wrapText="1"/>
    </xf>
    <xf numFmtId="0" fontId="31" fillId="24" borderId="52" xfId="38" quotePrefix="1" applyFont="1" applyFill="1" applyBorder="1" applyAlignment="1">
      <alignment horizontal="center" vertical="center" wrapText="1"/>
    </xf>
    <xf numFmtId="0" fontId="31" fillId="24" borderId="68" xfId="38" quotePrefix="1" applyFont="1" applyFill="1" applyBorder="1" applyAlignment="1">
      <alignment horizontal="center" vertical="center" wrapText="1"/>
    </xf>
    <xf numFmtId="0" fontId="2" fillId="28" borderId="15" xfId="38" applyFill="1" applyBorder="1"/>
    <xf numFmtId="0" fontId="2" fillId="28" borderId="54" xfId="38" applyFill="1" applyBorder="1"/>
    <xf numFmtId="0" fontId="2" fillId="28" borderId="12" xfId="38" applyFill="1" applyBorder="1"/>
    <xf numFmtId="0" fontId="31" fillId="28" borderId="51" xfId="38" applyFont="1" applyFill="1" applyBorder="1" applyAlignment="1">
      <alignment horizontal="center" vertical="center" wrapText="1"/>
    </xf>
    <xf numFmtId="0" fontId="31" fillId="28" borderId="19" xfId="38" quotePrefix="1" applyFont="1" applyFill="1" applyBorder="1" applyAlignment="1">
      <alignment horizontal="center" vertical="center" wrapText="1"/>
    </xf>
    <xf numFmtId="0" fontId="31" fillId="28" borderId="57" xfId="38" quotePrefix="1" applyFont="1" applyFill="1" applyBorder="1" applyAlignment="1">
      <alignment horizontal="center" vertical="center" wrapText="1"/>
    </xf>
    <xf numFmtId="0" fontId="31" fillId="28" borderId="17" xfId="38" quotePrefix="1" applyFont="1" applyFill="1" applyBorder="1" applyAlignment="1">
      <alignment horizontal="center" vertical="center" wrapText="1"/>
    </xf>
    <xf numFmtId="1" fontId="31" fillId="28" borderId="28" xfId="38" applyNumberFormat="1" applyFont="1" applyFill="1" applyBorder="1" applyAlignment="1">
      <alignment horizontal="center" vertical="center"/>
    </xf>
    <xf numFmtId="0" fontId="31" fillId="28" borderId="12" xfId="38" quotePrefix="1" applyFont="1" applyFill="1" applyBorder="1" applyAlignment="1">
      <alignment horizontal="center" vertical="center" wrapText="1"/>
    </xf>
    <xf numFmtId="1" fontId="31" fillId="28" borderId="14" xfId="38" applyNumberFormat="1" applyFont="1" applyFill="1" applyBorder="1" applyAlignment="1">
      <alignment horizontal="center" vertical="center"/>
    </xf>
    <xf numFmtId="0" fontId="31" fillId="24" borderId="17" xfId="38" applyFont="1" applyFill="1" applyBorder="1" applyAlignment="1">
      <alignment horizontal="center" vertical="center" wrapText="1"/>
    </xf>
    <xf numFmtId="0" fontId="31" fillId="24" borderId="57" xfId="38" applyFont="1" applyFill="1" applyBorder="1" applyAlignment="1">
      <alignment horizontal="center" vertical="center"/>
    </xf>
    <xf numFmtId="0" fontId="31" fillId="28" borderId="18" xfId="0" applyFont="1" applyFill="1" applyBorder="1" applyAlignment="1">
      <alignment horizontal="center" vertical="center"/>
    </xf>
    <xf numFmtId="0" fontId="31" fillId="28" borderId="16" xfId="0" applyFont="1" applyFill="1" applyBorder="1" applyAlignment="1">
      <alignment horizontal="center" vertical="center"/>
    </xf>
    <xf numFmtId="0" fontId="31" fillId="28" borderId="28" xfId="0" applyFont="1" applyFill="1" applyBorder="1" applyAlignment="1">
      <alignment horizontal="center" vertical="center"/>
    </xf>
    <xf numFmtId="0" fontId="31" fillId="30" borderId="53" xfId="0" applyFont="1" applyFill="1" applyBorder="1" applyAlignment="1">
      <alignment horizontal="center" vertical="center"/>
    </xf>
    <xf numFmtId="0" fontId="31" fillId="30" borderId="53" xfId="0" applyFont="1" applyFill="1" applyBorder="1"/>
    <xf numFmtId="0" fontId="32" fillId="28" borderId="0" xfId="0" applyFont="1" applyFill="1"/>
    <xf numFmtId="0" fontId="32" fillId="28" borderId="47" xfId="0" applyFont="1" applyFill="1" applyBorder="1" applyAlignment="1">
      <alignment horizontal="center" vertical="center"/>
    </xf>
    <xf numFmtId="186" fontId="31" fillId="0" borderId="88" xfId="0" applyNumberFormat="1" applyFont="1" applyBorder="1" applyAlignment="1">
      <alignment horizontal="center" vertical="center"/>
    </xf>
    <xf numFmtId="186" fontId="31" fillId="0" borderId="64" xfId="0" applyNumberFormat="1" applyFont="1" applyBorder="1" applyAlignment="1">
      <alignment horizontal="center" vertical="center"/>
    </xf>
    <xf numFmtId="165" fontId="31" fillId="0" borderId="88" xfId="0" applyNumberFormat="1" applyFont="1" applyBorder="1" applyAlignment="1">
      <alignment horizontal="center" vertical="center"/>
    </xf>
    <xf numFmtId="1" fontId="31" fillId="0" borderId="50" xfId="0" applyNumberFormat="1" applyFont="1" applyBorder="1" applyAlignment="1">
      <alignment horizontal="center" vertical="center"/>
    </xf>
    <xf numFmtId="1" fontId="31" fillId="0" borderId="87" xfId="0" applyNumberFormat="1" applyFont="1" applyBorder="1" applyAlignment="1">
      <alignment horizontal="center" vertical="center"/>
    </xf>
    <xf numFmtId="186" fontId="31" fillId="0" borderId="34" xfId="0" applyNumberFormat="1" applyFont="1" applyBorder="1" applyAlignment="1">
      <alignment horizontal="center" vertical="center"/>
    </xf>
    <xf numFmtId="165" fontId="31" fillId="0" borderId="34" xfId="0" applyNumberFormat="1" applyFont="1" applyBorder="1" applyAlignment="1">
      <alignment horizontal="center" vertical="center"/>
    </xf>
    <xf numFmtId="0" fontId="32" fillId="0" borderId="34" xfId="0" applyFont="1" applyFill="1" applyBorder="1" applyAlignment="1">
      <alignment horizontal="center" vertical="center"/>
    </xf>
    <xf numFmtId="186" fontId="31" fillId="0" borderId="0" xfId="0" applyNumberFormat="1" applyFont="1" applyBorder="1" applyAlignment="1">
      <alignment horizontal="center" vertical="center"/>
    </xf>
    <xf numFmtId="0" fontId="31" fillId="0" borderId="50" xfId="0" applyFont="1" applyBorder="1" applyAlignment="1">
      <alignment horizontal="right" vertical="center"/>
    </xf>
    <xf numFmtId="0" fontId="31" fillId="0" borderId="74" xfId="0" applyFont="1" applyBorder="1" applyAlignment="1">
      <alignment horizontal="right" vertical="center"/>
    </xf>
    <xf numFmtId="0" fontId="31" fillId="0" borderId="52" xfId="0" applyFont="1" applyBorder="1" applyAlignment="1">
      <alignment horizontal="right" vertical="center"/>
    </xf>
    <xf numFmtId="165" fontId="32" fillId="0" borderId="52" xfId="0" applyNumberFormat="1" applyFont="1" applyBorder="1" applyAlignment="1">
      <alignment horizontal="center" vertical="center"/>
    </xf>
    <xf numFmtId="0" fontId="32" fillId="0" borderId="18" xfId="0" applyFont="1" applyBorder="1" applyAlignment="1">
      <alignment horizontal="center" vertical="center"/>
    </xf>
    <xf numFmtId="172" fontId="31" fillId="0" borderId="50" xfId="0" applyNumberFormat="1" applyFont="1" applyFill="1" applyBorder="1" applyAlignment="1">
      <alignment horizontal="right" vertical="center" indent="2"/>
    </xf>
    <xf numFmtId="172" fontId="31" fillId="0" borderId="53" xfId="0" applyNumberFormat="1" applyFont="1" applyFill="1" applyBorder="1" applyAlignment="1">
      <alignment horizontal="right" vertical="center" indent="2"/>
    </xf>
    <xf numFmtId="172" fontId="31" fillId="0" borderId="52" xfId="0" applyNumberFormat="1" applyFont="1" applyFill="1" applyBorder="1" applyAlignment="1">
      <alignment horizontal="right" vertical="center" indent="2"/>
    </xf>
    <xf numFmtId="0" fontId="31" fillId="0" borderId="51" xfId="0" applyFont="1" applyFill="1" applyBorder="1" applyAlignment="1">
      <alignment vertical="center"/>
    </xf>
    <xf numFmtId="0" fontId="0" fillId="0" borderId="50" xfId="0" applyBorder="1"/>
    <xf numFmtId="0" fontId="0" fillId="0" borderId="51" xfId="0" applyBorder="1"/>
    <xf numFmtId="9" fontId="31" fillId="25" borderId="52" xfId="0" applyNumberFormat="1" applyFont="1" applyFill="1" applyBorder="1" applyAlignment="1">
      <alignment horizontal="center" vertical="center"/>
    </xf>
    <xf numFmtId="188" fontId="31" fillId="25" borderId="52" xfId="0" applyNumberFormat="1" applyFont="1" applyFill="1" applyBorder="1" applyAlignment="1">
      <alignment horizontal="center" vertical="center"/>
    </xf>
    <xf numFmtId="9" fontId="31" fillId="0" borderId="50" xfId="0" applyNumberFormat="1" applyFont="1" applyFill="1" applyBorder="1" applyAlignment="1">
      <alignment horizontal="center" vertical="center"/>
    </xf>
    <xf numFmtId="9" fontId="31" fillId="0" borderId="51" xfId="0" applyNumberFormat="1" applyFont="1" applyFill="1" applyBorder="1" applyAlignment="1">
      <alignment horizontal="center" vertical="center"/>
    </xf>
    <xf numFmtId="9" fontId="31" fillId="25" borderId="19" xfId="0" applyNumberFormat="1" applyFont="1" applyFill="1" applyBorder="1" applyAlignment="1">
      <alignment horizontal="center" vertical="center"/>
    </xf>
    <xf numFmtId="188" fontId="31" fillId="25" borderId="19" xfId="0" applyNumberFormat="1" applyFont="1" applyFill="1" applyBorder="1" applyAlignment="1">
      <alignment horizontal="center" vertical="center"/>
    </xf>
    <xf numFmtId="0" fontId="31" fillId="25" borderId="19" xfId="0" applyFont="1" applyFill="1" applyBorder="1" applyAlignment="1">
      <alignment horizontal="center" vertical="center"/>
    </xf>
    <xf numFmtId="172" fontId="31" fillId="0" borderId="18" xfId="0" applyNumberFormat="1" applyFont="1" applyFill="1" applyBorder="1" applyAlignment="1">
      <alignment horizontal="right" vertical="center" indent="2"/>
    </xf>
    <xf numFmtId="170" fontId="31" fillId="0" borderId="0" xfId="0" applyNumberFormat="1" applyFont="1" applyFill="1" applyAlignment="1">
      <alignment horizontal="right" vertical="center"/>
    </xf>
    <xf numFmtId="0" fontId="0" fillId="0" borderId="0" xfId="0" applyBorder="1" applyAlignment="1">
      <alignment horizontal="center"/>
    </xf>
    <xf numFmtId="0" fontId="31" fillId="0" borderId="0" xfId="0" applyNumberFormat="1" applyFont="1" applyBorder="1" applyAlignment="1">
      <alignment horizontal="right" vertical="center"/>
    </xf>
    <xf numFmtId="198" fontId="31" fillId="0" borderId="0" xfId="0" applyNumberFormat="1" applyFont="1" applyFill="1" applyAlignment="1">
      <alignment horizontal="right" vertical="center"/>
    </xf>
    <xf numFmtId="0" fontId="31" fillId="25" borderId="74" xfId="0" applyFont="1" applyFill="1" applyBorder="1" applyAlignment="1">
      <alignment horizontal="center" vertical="center"/>
    </xf>
    <xf numFmtId="188" fontId="31" fillId="0" borderId="50" xfId="0" applyNumberFormat="1" applyFont="1" applyFill="1" applyBorder="1" applyAlignment="1">
      <alignment horizontal="center" vertical="center"/>
    </xf>
    <xf numFmtId="188" fontId="31" fillId="0" borderId="73" xfId="0" applyNumberFormat="1" applyFont="1" applyFill="1" applyBorder="1" applyAlignment="1">
      <alignment horizontal="center" vertical="center"/>
    </xf>
    <xf numFmtId="188" fontId="31" fillId="0" borderId="64" xfId="0" applyNumberFormat="1" applyFont="1" applyFill="1" applyBorder="1" applyAlignment="1">
      <alignment horizontal="center" vertical="center"/>
    </xf>
    <xf numFmtId="197" fontId="31" fillId="0" borderId="0" xfId="0" applyNumberFormat="1" applyFont="1" applyFill="1" applyAlignment="1">
      <alignment horizontal="right" vertical="center"/>
    </xf>
    <xf numFmtId="178" fontId="32" fillId="28" borderId="0" xfId="0" applyNumberFormat="1" applyFont="1" applyFill="1" applyBorder="1" applyAlignment="1">
      <alignment horizontal="center" vertical="center"/>
    </xf>
    <xf numFmtId="0" fontId="32" fillId="28" borderId="0" xfId="0" applyFont="1" applyFill="1" applyBorder="1"/>
    <xf numFmtId="0" fontId="31" fillId="28" borderId="18" xfId="0" applyFont="1" applyFill="1" applyBorder="1" applyAlignment="1">
      <alignment horizontal="center" vertical="center"/>
    </xf>
    <xf numFmtId="0" fontId="31" fillId="28" borderId="28" xfId="0" applyFont="1" applyFill="1" applyBorder="1" applyAlignment="1">
      <alignment horizontal="center" vertical="center"/>
    </xf>
    <xf numFmtId="0" fontId="31" fillId="28" borderId="28" xfId="38" applyFont="1" applyFill="1" applyBorder="1" applyAlignment="1">
      <alignment horizontal="center" vertical="center"/>
    </xf>
    <xf numFmtId="0" fontId="31" fillId="28" borderId="15" xfId="38" applyFont="1" applyFill="1" applyBorder="1" applyAlignment="1">
      <alignment horizontal="center" vertical="center" wrapText="1"/>
    </xf>
    <xf numFmtId="0" fontId="31" fillId="28" borderId="12" xfId="38" applyFont="1" applyFill="1" applyBorder="1" applyAlignment="1">
      <alignment horizontal="center" vertical="center" wrapText="1"/>
    </xf>
    <xf numFmtId="0" fontId="31" fillId="0" borderId="0" xfId="0" applyFont="1" applyFill="1" applyBorder="1" applyAlignment="1">
      <alignment horizontal="right" wrapText="1"/>
    </xf>
    <xf numFmtId="0" fontId="31" fillId="28" borderId="28" xfId="38" applyFont="1" applyFill="1" applyBorder="1" applyAlignment="1">
      <alignment horizontal="center" vertical="center"/>
    </xf>
    <xf numFmtId="0" fontId="0" fillId="0" borderId="0" xfId="0" applyFill="1"/>
    <xf numFmtId="3" fontId="31" fillId="28" borderId="0" xfId="38" applyNumberFormat="1" applyFont="1" applyFill="1" applyAlignment="1">
      <alignment horizontal="center" vertical="center"/>
    </xf>
    <xf numFmtId="0" fontId="31" fillId="0" borderId="0" xfId="0" applyFont="1" applyFill="1" applyBorder="1" applyAlignment="1">
      <alignment horizontal="center" vertical="center" textRotation="180"/>
    </xf>
    <xf numFmtId="185" fontId="31" fillId="0" borderId="0" xfId="0" applyNumberFormat="1" applyFont="1" applyFill="1" applyBorder="1" applyAlignment="1">
      <alignment horizontal="center" vertical="center"/>
    </xf>
    <xf numFmtId="166" fontId="31" fillId="0" borderId="56" xfId="0" applyNumberFormat="1" applyFont="1" applyBorder="1" applyAlignment="1">
      <alignment horizontal="center" vertical="center"/>
    </xf>
    <xf numFmtId="166" fontId="31" fillId="0" borderId="28" xfId="0" applyNumberFormat="1" applyFont="1" applyBorder="1" applyAlignment="1">
      <alignment horizontal="center" vertical="center"/>
    </xf>
    <xf numFmtId="180" fontId="31" fillId="0" borderId="73" xfId="0" applyNumberFormat="1" applyFont="1" applyBorder="1" applyAlignment="1">
      <alignment horizontal="center" vertical="center"/>
    </xf>
    <xf numFmtId="166" fontId="31" fillId="0" borderId="44" xfId="0" applyNumberFormat="1" applyFont="1" applyBorder="1" applyAlignment="1">
      <alignment horizontal="center" vertical="center"/>
    </xf>
    <xf numFmtId="164" fontId="31" fillId="0" borderId="10" xfId="0" applyNumberFormat="1" applyFont="1" applyBorder="1" applyAlignment="1">
      <alignment horizontal="center" vertical="center"/>
    </xf>
    <xf numFmtId="164" fontId="31" fillId="0" borderId="53" xfId="0" applyNumberFormat="1" applyFont="1" applyBorder="1" applyAlignment="1">
      <alignment horizontal="center" vertical="center"/>
    </xf>
    <xf numFmtId="164" fontId="31" fillId="0" borderId="45" xfId="0" applyNumberFormat="1" applyFont="1" applyBorder="1" applyAlignment="1">
      <alignment horizontal="center" vertical="center"/>
    </xf>
    <xf numFmtId="164" fontId="32" fillId="0" borderId="37" xfId="0" applyNumberFormat="1" applyFont="1" applyBorder="1" applyAlignment="1">
      <alignment horizontal="center" vertical="center"/>
    </xf>
    <xf numFmtId="164" fontId="32" fillId="0" borderId="47" xfId="0" applyNumberFormat="1" applyFont="1" applyBorder="1" applyAlignment="1">
      <alignment horizontal="center" vertical="center"/>
    </xf>
    <xf numFmtId="164" fontId="32" fillId="0" borderId="38" xfId="0" applyNumberFormat="1" applyFont="1" applyBorder="1" applyAlignment="1">
      <alignment horizontal="center" vertical="center"/>
    </xf>
    <xf numFmtId="164" fontId="32" fillId="0" borderId="39" xfId="0" applyNumberFormat="1" applyFont="1" applyBorder="1" applyAlignment="1">
      <alignment horizontal="center" vertical="center"/>
    </xf>
    <xf numFmtId="0" fontId="31" fillId="0" borderId="43" xfId="0" applyFont="1" applyBorder="1" applyAlignment="1">
      <alignment horizontal="left" vertical="center" wrapText="1"/>
    </xf>
    <xf numFmtId="0" fontId="31" fillId="0" borderId="92" xfId="0" applyFont="1" applyBorder="1" applyAlignment="1">
      <alignment horizontal="left" vertical="center" wrapText="1"/>
    </xf>
    <xf numFmtId="0" fontId="32" fillId="0" borderId="46" xfId="0" applyFont="1" applyBorder="1" applyAlignment="1">
      <alignment horizontal="left" vertical="center" wrapText="1"/>
    </xf>
    <xf numFmtId="187" fontId="31" fillId="0" borderId="0" xfId="0" applyNumberFormat="1" applyFont="1" applyFill="1" applyBorder="1" applyAlignment="1">
      <alignment horizontal="center" vertical="center"/>
    </xf>
    <xf numFmtId="0" fontId="31" fillId="0" borderId="0" xfId="0" applyFont="1" applyAlignment="1">
      <alignment horizontal="left" vertical="top" wrapText="1"/>
    </xf>
    <xf numFmtId="0" fontId="34" fillId="0" borderId="0" xfId="0" applyFont="1" applyBorder="1"/>
    <xf numFmtId="0" fontId="31" fillId="0" borderId="0" xfId="0" applyFont="1" applyAlignment="1">
      <alignment horizontal="left" vertical="center" wrapText="1"/>
    </xf>
    <xf numFmtId="0" fontId="31" fillId="31" borderId="0" xfId="0" applyFont="1" applyFill="1" applyBorder="1" applyAlignment="1">
      <alignment horizontal="left" vertical="center"/>
    </xf>
    <xf numFmtId="183" fontId="31" fillId="29" borderId="26" xfId="0" applyNumberFormat="1" applyFont="1" applyFill="1" applyBorder="1" applyAlignment="1">
      <alignment horizontal="center" vertical="center"/>
    </xf>
    <xf numFmtId="183" fontId="0" fillId="0" borderId="79" xfId="0" applyNumberFormat="1" applyBorder="1" applyAlignment="1">
      <alignment horizontal="center" vertical="center"/>
    </xf>
    <xf numFmtId="183" fontId="31" fillId="29" borderId="36" xfId="0" applyNumberFormat="1" applyFont="1" applyFill="1" applyBorder="1" applyAlignment="1">
      <alignment horizontal="center" vertical="center"/>
    </xf>
    <xf numFmtId="183" fontId="0" fillId="0" borderId="68" xfId="0" applyNumberFormat="1" applyBorder="1" applyAlignment="1">
      <alignment horizontal="center" vertical="center"/>
    </xf>
    <xf numFmtId="183" fontId="31" fillId="29" borderId="57" xfId="0" applyNumberFormat="1" applyFont="1" applyFill="1" applyBorder="1" applyAlignment="1">
      <alignment horizontal="center" vertical="center"/>
    </xf>
    <xf numFmtId="183" fontId="31" fillId="29" borderId="27" xfId="0" applyNumberFormat="1" applyFont="1" applyFill="1" applyBorder="1" applyAlignment="1">
      <alignment horizontal="center" vertical="center"/>
    </xf>
    <xf numFmtId="0" fontId="31" fillId="28" borderId="26" xfId="0" applyFont="1" applyFill="1" applyBorder="1" applyAlignment="1">
      <alignment horizontal="left" vertical="center"/>
    </xf>
    <xf numFmtId="0" fontId="31" fillId="28" borderId="29" xfId="0" applyFont="1" applyFill="1" applyBorder="1" applyAlignment="1">
      <alignment horizontal="left" vertical="center"/>
    </xf>
    <xf numFmtId="0" fontId="0" fillId="28" borderId="31" xfId="0" applyFill="1" applyBorder="1" applyAlignment="1">
      <alignment horizontal="left" vertical="center"/>
    </xf>
    <xf numFmtId="0" fontId="31" fillId="28" borderId="36" xfId="0" applyFont="1" applyFill="1" applyBorder="1" applyAlignment="1">
      <alignment horizontal="center" vertical="center"/>
    </xf>
    <xf numFmtId="0" fontId="0" fillId="0" borderId="68" xfId="0" applyBorder="1" applyAlignment="1">
      <alignment horizontal="center" vertical="center"/>
    </xf>
    <xf numFmtId="0" fontId="31" fillId="28" borderId="57" xfId="0" applyFont="1" applyFill="1" applyBorder="1" applyAlignment="1">
      <alignment horizontal="center" vertical="center"/>
    </xf>
    <xf numFmtId="183" fontId="31" fillId="29" borderId="80" xfId="0" applyNumberFormat="1" applyFont="1" applyFill="1" applyBorder="1" applyAlignment="1">
      <alignment horizontal="center" vertical="center"/>
    </xf>
    <xf numFmtId="183" fontId="0" fillId="0" borderId="78" xfId="0" applyNumberFormat="1" applyBorder="1" applyAlignment="1">
      <alignment horizontal="center" vertical="center"/>
    </xf>
    <xf numFmtId="0" fontId="31" fillId="28" borderId="72" xfId="0" applyFont="1" applyFill="1" applyBorder="1" applyAlignment="1">
      <alignment horizontal="center" vertical="center"/>
    </xf>
    <xf numFmtId="0" fontId="0" fillId="0" borderId="65" xfId="0" applyBorder="1" applyAlignment="1">
      <alignment horizontal="center" vertical="center"/>
    </xf>
    <xf numFmtId="0" fontId="0" fillId="0" borderId="78" xfId="0" applyBorder="1" applyAlignment="1">
      <alignment horizontal="center" vertical="center"/>
    </xf>
    <xf numFmtId="183" fontId="31" fillId="29" borderId="72" xfId="0" applyNumberFormat="1" applyFont="1" applyFill="1" applyBorder="1" applyAlignment="1">
      <alignment horizontal="center" vertical="center"/>
    </xf>
    <xf numFmtId="0" fontId="31" fillId="0" borderId="0" xfId="0" applyFont="1" applyFill="1" applyBorder="1" applyAlignment="1">
      <alignment horizontal="left" vertical="center"/>
    </xf>
    <xf numFmtId="0" fontId="0" fillId="0" borderId="75" xfId="0" applyFill="1" applyBorder="1" applyAlignment="1">
      <alignment horizontal="left" vertical="center"/>
    </xf>
    <xf numFmtId="0" fontId="31" fillId="28" borderId="36" xfId="0" applyFont="1" applyFill="1" applyBorder="1" applyAlignment="1">
      <alignment horizontal="left" vertical="center"/>
    </xf>
    <xf numFmtId="0" fontId="31" fillId="28" borderId="58" xfId="0" applyFont="1" applyFill="1" applyBorder="1" applyAlignment="1">
      <alignment horizontal="left" vertical="center"/>
    </xf>
    <xf numFmtId="0" fontId="0" fillId="28" borderId="59" xfId="0" applyFill="1" applyBorder="1" applyAlignment="1">
      <alignment horizontal="left" vertical="center"/>
    </xf>
    <xf numFmtId="0" fontId="0" fillId="0" borderId="0" xfId="0" applyFill="1" applyBorder="1" applyAlignment="1">
      <alignment horizontal="left" vertical="center"/>
    </xf>
    <xf numFmtId="0" fontId="31" fillId="28" borderId="24" xfId="0" applyFont="1" applyFill="1" applyBorder="1" applyAlignment="1">
      <alignment horizontal="left" vertical="center"/>
    </xf>
    <xf numFmtId="0" fontId="31" fillId="28" borderId="35" xfId="0" applyFont="1" applyFill="1" applyBorder="1" applyAlignment="1">
      <alignment horizontal="left" vertical="center"/>
    </xf>
    <xf numFmtId="0" fontId="0" fillId="28" borderId="63" xfId="0" applyFill="1" applyBorder="1" applyAlignment="1">
      <alignment horizontal="left" vertical="center"/>
    </xf>
    <xf numFmtId="0" fontId="29" fillId="0" borderId="76" xfId="0" applyFont="1" applyBorder="1" applyAlignment="1">
      <alignment horizontal="center" vertical="center"/>
    </xf>
    <xf numFmtId="0" fontId="7" fillId="0" borderId="0" xfId="0" applyFont="1" applyFill="1" applyBorder="1" applyAlignment="1">
      <alignment horizontal="left" vertical="center"/>
    </xf>
    <xf numFmtId="0" fontId="32" fillId="0" borderId="26" xfId="0" applyNumberFormat="1" applyFont="1" applyBorder="1" applyAlignment="1">
      <alignment horizontal="center" vertical="center"/>
    </xf>
    <xf numFmtId="0" fontId="0" fillId="0" borderId="31" xfId="0" applyBorder="1" applyAlignment="1">
      <alignment horizontal="center" vertical="center"/>
    </xf>
    <xf numFmtId="0" fontId="32" fillId="0" borderId="60" xfId="0" applyNumberFormat="1" applyFont="1" applyBorder="1" applyAlignment="1">
      <alignment horizontal="center" vertical="center" wrapText="1"/>
    </xf>
    <xf numFmtId="0" fontId="32" fillId="0" borderId="67" xfId="0" applyNumberFormat="1" applyFont="1" applyBorder="1" applyAlignment="1">
      <alignment horizontal="center" vertical="center" wrapText="1"/>
    </xf>
    <xf numFmtId="0" fontId="32" fillId="0" borderId="45" xfId="0" applyNumberFormat="1" applyFont="1" applyBorder="1" applyAlignment="1">
      <alignment horizontal="center" vertical="center" wrapText="1"/>
    </xf>
    <xf numFmtId="0" fontId="32" fillId="0" borderId="50" xfId="0" applyNumberFormat="1" applyFont="1" applyBorder="1" applyAlignment="1">
      <alignment horizontal="center" vertical="center" wrapText="1"/>
    </xf>
    <xf numFmtId="0" fontId="0" fillId="0" borderId="24" xfId="0" applyBorder="1" applyAlignment="1">
      <alignment horizontal="center" vertical="center"/>
    </xf>
    <xf numFmtId="0" fontId="0" fillId="0" borderId="52" xfId="0" applyBorder="1" applyAlignment="1">
      <alignment horizontal="center" vertical="center"/>
    </xf>
    <xf numFmtId="0" fontId="32" fillId="0" borderId="31" xfId="0" applyNumberFormat="1" applyFont="1" applyBorder="1" applyAlignment="1">
      <alignment horizontal="center" vertical="center"/>
    </xf>
    <xf numFmtId="0" fontId="32" fillId="0" borderId="49" xfId="0" applyFont="1" applyBorder="1" applyAlignment="1">
      <alignment horizontal="center" vertical="center" wrapText="1"/>
    </xf>
    <xf numFmtId="0" fontId="32" fillId="0" borderId="92" xfId="0" applyFont="1" applyBorder="1" applyAlignment="1">
      <alignment horizontal="center" vertical="center" wrapText="1"/>
    </xf>
    <xf numFmtId="0" fontId="0" fillId="0" borderId="43" xfId="0" applyBorder="1" applyAlignment="1">
      <alignment horizontal="center" vertical="center" wrapText="1"/>
    </xf>
    <xf numFmtId="0" fontId="0" fillId="28" borderId="29" xfId="0" applyFill="1" applyBorder="1" applyAlignment="1">
      <alignment horizontal="left" vertical="center"/>
    </xf>
    <xf numFmtId="0" fontId="31" fillId="31" borderId="0" xfId="0" applyFont="1" applyFill="1" applyAlignment="1">
      <alignment horizontal="left" vertical="center"/>
    </xf>
    <xf numFmtId="1" fontId="31" fillId="0" borderId="26" xfId="0" applyNumberFormat="1" applyFont="1" applyBorder="1" applyAlignment="1">
      <alignment horizontal="left" vertical="center" wrapText="1"/>
    </xf>
    <xf numFmtId="0" fontId="0" fillId="0" borderId="31" xfId="0" applyBorder="1" applyAlignment="1">
      <alignment horizontal="left" vertical="center" wrapText="1"/>
    </xf>
    <xf numFmtId="0" fontId="31" fillId="28" borderId="72" xfId="0" applyFont="1" applyFill="1" applyBorder="1" applyAlignment="1">
      <alignment horizontal="left" vertical="center"/>
    </xf>
    <xf numFmtId="0" fontId="31" fillId="28" borderId="65" xfId="0" applyFont="1" applyFill="1" applyBorder="1" applyAlignment="1">
      <alignment horizontal="left" vertical="center"/>
    </xf>
    <xf numFmtId="0" fontId="0" fillId="28" borderId="66" xfId="0" applyFill="1" applyBorder="1" applyAlignment="1">
      <alignment horizontal="left" vertical="center"/>
    </xf>
    <xf numFmtId="0" fontId="31" fillId="28" borderId="59" xfId="0" applyFont="1" applyFill="1" applyBorder="1" applyAlignment="1">
      <alignment horizontal="left" vertical="center"/>
    </xf>
    <xf numFmtId="0" fontId="31" fillId="31" borderId="0" xfId="0" applyFont="1" applyFill="1" applyAlignment="1">
      <alignment horizontal="left" vertical="center" wrapText="1"/>
    </xf>
    <xf numFmtId="0" fontId="31" fillId="31" borderId="76" xfId="0" applyFont="1" applyFill="1" applyBorder="1" applyAlignment="1">
      <alignment horizontal="left" vertical="center" wrapText="1"/>
    </xf>
    <xf numFmtId="0" fontId="31" fillId="0" borderId="0" xfId="0" applyFont="1" applyFill="1" applyBorder="1" applyAlignment="1">
      <alignment vertical="center" wrapText="1"/>
    </xf>
    <xf numFmtId="0" fontId="0" fillId="0" borderId="0" xfId="0" applyFill="1" applyBorder="1" applyAlignment="1">
      <alignment vertical="center" wrapText="1"/>
    </xf>
    <xf numFmtId="0" fontId="32" fillId="0" borderId="0" xfId="0" applyFont="1" applyFill="1" applyAlignment="1">
      <alignment horizontal="center" vertical="center"/>
    </xf>
    <xf numFmtId="0" fontId="32" fillId="0" borderId="48" xfId="0" applyNumberFormat="1" applyFont="1" applyBorder="1" applyAlignment="1">
      <alignment horizontal="center" vertical="center" wrapText="1"/>
    </xf>
    <xf numFmtId="0" fontId="31" fillId="0" borderId="11" xfId="0" applyFont="1" applyBorder="1" applyAlignment="1">
      <alignment horizontal="center" vertical="center" wrapText="1"/>
    </xf>
    <xf numFmtId="0" fontId="0" fillId="0" borderId="30" xfId="0" applyBorder="1" applyAlignment="1">
      <alignment horizontal="center" vertical="center" wrapText="1"/>
    </xf>
    <xf numFmtId="0" fontId="32" fillId="0" borderId="32" xfId="0" applyFont="1" applyBorder="1" applyAlignment="1">
      <alignment horizontal="center" vertical="center" wrapText="1"/>
    </xf>
    <xf numFmtId="0" fontId="0" fillId="0" borderId="10" xfId="0" applyBorder="1" applyAlignment="1">
      <alignment horizontal="center" vertical="center" wrapText="1"/>
    </xf>
    <xf numFmtId="0" fontId="32" fillId="0" borderId="33" xfId="0" applyFont="1" applyBorder="1" applyAlignment="1">
      <alignment horizontal="center" vertical="center" wrapText="1"/>
    </xf>
    <xf numFmtId="0" fontId="31" fillId="0" borderId="53" xfId="0" applyFont="1" applyBorder="1" applyAlignment="1">
      <alignment horizontal="center" vertical="center"/>
    </xf>
    <xf numFmtId="0" fontId="0" fillId="0" borderId="18" xfId="0" applyBorder="1" applyAlignment="1">
      <alignment horizontal="center" vertical="center"/>
    </xf>
    <xf numFmtId="0" fontId="32" fillId="0" borderId="44" xfId="0" applyFont="1" applyBorder="1" applyAlignment="1">
      <alignment horizontal="center" vertical="center" wrapText="1"/>
    </xf>
    <xf numFmtId="0" fontId="0" fillId="0" borderId="11" xfId="0" applyBorder="1" applyAlignment="1">
      <alignment horizontal="center" vertical="center"/>
    </xf>
    <xf numFmtId="0" fontId="31" fillId="0" borderId="72" xfId="0" applyNumberFormat="1" applyFont="1" applyBorder="1" applyAlignment="1">
      <alignment horizontal="center" vertical="center"/>
    </xf>
    <xf numFmtId="0" fontId="2" fillId="0" borderId="66" xfId="0" applyFont="1" applyBorder="1" applyAlignment="1">
      <alignment horizontal="center" vertical="center"/>
    </xf>
    <xf numFmtId="0" fontId="0" fillId="0" borderId="43" xfId="0" applyBorder="1" applyAlignment="1">
      <alignment horizontal="center" vertical="center"/>
    </xf>
    <xf numFmtId="0" fontId="32" fillId="0" borderId="72" xfId="0" applyFont="1" applyBorder="1" applyAlignment="1">
      <alignment horizontal="center" vertical="center" wrapText="1"/>
    </xf>
    <xf numFmtId="0" fontId="32" fillId="0" borderId="65" xfId="0" applyFont="1" applyBorder="1" applyAlignment="1">
      <alignment horizontal="center" vertical="center" wrapText="1"/>
    </xf>
    <xf numFmtId="0" fontId="32" fillId="0" borderId="66" xfId="0" applyFont="1" applyBorder="1" applyAlignment="1">
      <alignment horizontal="center" vertical="center" wrapText="1"/>
    </xf>
    <xf numFmtId="0" fontId="32" fillId="0" borderId="49" xfId="0" applyNumberFormat="1" applyFont="1" applyBorder="1" applyAlignment="1">
      <alignment horizontal="center" vertical="center" wrapText="1"/>
    </xf>
    <xf numFmtId="0" fontId="0" fillId="0" borderId="92" xfId="0" applyBorder="1" applyAlignment="1">
      <alignment horizontal="center" vertical="center" wrapText="1"/>
    </xf>
    <xf numFmtId="0" fontId="31" fillId="0" borderId="49" xfId="0" applyFont="1" applyBorder="1" applyAlignment="1">
      <alignment horizontal="center" vertical="center" wrapText="1"/>
    </xf>
    <xf numFmtId="0" fontId="31" fillId="0" borderId="92" xfId="0" applyFont="1" applyBorder="1" applyAlignment="1">
      <alignment horizontal="center" vertical="center" wrapText="1"/>
    </xf>
    <xf numFmtId="0" fontId="31" fillId="0" borderId="89" xfId="0" applyFont="1" applyBorder="1" applyAlignment="1">
      <alignment horizontal="center" vertical="center" wrapText="1"/>
    </xf>
    <xf numFmtId="0" fontId="31" fillId="0" borderId="54" xfId="0" applyFont="1" applyBorder="1" applyAlignment="1">
      <alignment horizontal="center" vertical="center"/>
    </xf>
    <xf numFmtId="0" fontId="31" fillId="0" borderId="55" xfId="0" applyFont="1" applyBorder="1" applyAlignment="1">
      <alignment horizontal="center" vertical="center"/>
    </xf>
    <xf numFmtId="0" fontId="31" fillId="0" borderId="56" xfId="0" applyFont="1" applyBorder="1" applyAlignment="1">
      <alignment horizontal="center" vertical="center"/>
    </xf>
    <xf numFmtId="0" fontId="31" fillId="0" borderId="48" xfId="0" applyFont="1" applyBorder="1" applyAlignment="1">
      <alignment horizontal="center" vertical="center" wrapText="1"/>
    </xf>
    <xf numFmtId="0" fontId="34" fillId="0" borderId="0" xfId="0" applyFont="1" applyAlignment="1">
      <alignment horizontal="center" vertical="center"/>
    </xf>
    <xf numFmtId="0" fontId="35" fillId="0" borderId="0" xfId="0" applyFont="1" applyAlignment="1"/>
    <xf numFmtId="0" fontId="31" fillId="0" borderId="33" xfId="0" applyFont="1" applyBorder="1" applyAlignment="1">
      <alignment horizontal="center" vertical="center"/>
    </xf>
    <xf numFmtId="0" fontId="31" fillId="0" borderId="41" xfId="0" applyFont="1" applyBorder="1" applyAlignment="1">
      <alignment horizontal="center" vertical="center"/>
    </xf>
    <xf numFmtId="0" fontId="30" fillId="0" borderId="76" xfId="0" applyFont="1" applyBorder="1" applyAlignment="1">
      <alignment horizontal="center" vertical="center"/>
    </xf>
    <xf numFmtId="0" fontId="31" fillId="28" borderId="43" xfId="0" applyFont="1" applyFill="1" applyBorder="1" applyAlignment="1">
      <alignment horizontal="center" vertical="center"/>
    </xf>
    <xf numFmtId="0" fontId="31" fillId="28" borderId="15" xfId="0" applyFont="1" applyFill="1" applyBorder="1" applyAlignment="1">
      <alignment horizontal="center" vertical="center" wrapText="1"/>
    </xf>
    <xf numFmtId="0" fontId="31" fillId="28" borderId="16" xfId="0" applyFont="1" applyFill="1" applyBorder="1" applyAlignment="1">
      <alignment horizontal="center" vertical="center" wrapText="1"/>
    </xf>
    <xf numFmtId="0" fontId="31" fillId="28" borderId="33" xfId="0" applyFont="1" applyFill="1" applyBorder="1" applyAlignment="1">
      <alignment horizontal="center" vertical="center" wrapText="1"/>
    </xf>
    <xf numFmtId="0" fontId="31" fillId="28" borderId="18" xfId="0" applyFont="1" applyFill="1" applyBorder="1" applyAlignment="1">
      <alignment horizontal="center" vertical="center"/>
    </xf>
    <xf numFmtId="0" fontId="31" fillId="28" borderId="16" xfId="0" applyFont="1" applyFill="1" applyBorder="1" applyAlignment="1">
      <alignment horizontal="center" vertical="center"/>
    </xf>
    <xf numFmtId="0" fontId="31" fillId="28" borderId="28" xfId="0" applyFont="1" applyFill="1" applyBorder="1" applyAlignment="1">
      <alignment horizontal="center" vertical="center"/>
    </xf>
    <xf numFmtId="0" fontId="31" fillId="24" borderId="72" xfId="0" applyFont="1" applyFill="1" applyBorder="1" applyAlignment="1">
      <alignment horizontal="center" vertical="center" wrapText="1"/>
    </xf>
    <xf numFmtId="0" fontId="31" fillId="24" borderId="65" xfId="0" applyFont="1" applyFill="1" applyBorder="1" applyAlignment="1">
      <alignment horizontal="center" vertical="center" wrapText="1"/>
    </xf>
    <xf numFmtId="0" fontId="31" fillId="24" borderId="66" xfId="0" applyFont="1" applyFill="1" applyBorder="1" applyAlignment="1">
      <alignment horizontal="center" vertical="center" wrapText="1"/>
    </xf>
    <xf numFmtId="0" fontId="31" fillId="29" borderId="15" xfId="0" applyFont="1" applyFill="1" applyBorder="1" applyAlignment="1">
      <alignment horizontal="center" vertical="center" wrapText="1"/>
    </xf>
    <xf numFmtId="0" fontId="31" fillId="29" borderId="12" xfId="0" applyFont="1" applyFill="1" applyBorder="1" applyAlignment="1">
      <alignment horizontal="center" vertical="center" wrapText="1"/>
    </xf>
    <xf numFmtId="0" fontId="31" fillId="28" borderId="44" xfId="0" applyFont="1" applyFill="1" applyBorder="1" applyAlignment="1">
      <alignment horizontal="center" vertical="center" wrapText="1"/>
    </xf>
    <xf numFmtId="0" fontId="31" fillId="0" borderId="42" xfId="0" applyFont="1" applyBorder="1" applyAlignment="1">
      <alignment horizontal="center" vertical="center" wrapText="1"/>
    </xf>
    <xf numFmtId="0" fontId="31" fillId="28" borderId="26" xfId="0" applyFont="1" applyFill="1" applyBorder="1" applyAlignment="1">
      <alignment horizontal="center" vertical="center" wrapText="1"/>
    </xf>
    <xf numFmtId="0" fontId="31" fillId="0" borderId="29" xfId="0" applyFont="1" applyBorder="1" applyAlignment="1">
      <alignment horizontal="center" vertical="center"/>
    </xf>
    <xf numFmtId="0" fontId="31" fillId="0" borderId="31" xfId="0" applyFont="1" applyBorder="1" applyAlignment="1">
      <alignment horizontal="center" vertical="center"/>
    </xf>
    <xf numFmtId="0" fontId="31" fillId="28" borderId="85" xfId="0" applyFont="1" applyFill="1" applyBorder="1" applyAlignment="1">
      <alignment horizontal="center" vertical="center" wrapText="1"/>
    </xf>
    <xf numFmtId="0" fontId="31" fillId="0" borderId="77" xfId="0" applyFont="1" applyBorder="1" applyAlignment="1">
      <alignment horizontal="center" vertical="center" wrapText="1"/>
    </xf>
    <xf numFmtId="0" fontId="32" fillId="28" borderId="54" xfId="0" applyFont="1" applyFill="1" applyBorder="1" applyAlignment="1">
      <alignment horizontal="center" vertical="center"/>
    </xf>
    <xf numFmtId="0" fontId="32" fillId="28" borderId="55" xfId="0" applyFont="1" applyFill="1" applyBorder="1" applyAlignment="1">
      <alignment horizontal="center" vertical="center"/>
    </xf>
    <xf numFmtId="0" fontId="32" fillId="28" borderId="56" xfId="0" applyFont="1" applyFill="1" applyBorder="1" applyAlignment="1">
      <alignment horizontal="center" vertical="center"/>
    </xf>
    <xf numFmtId="0" fontId="31" fillId="0" borderId="45" xfId="0" applyFont="1" applyFill="1" applyBorder="1" applyAlignment="1">
      <alignment horizontal="left" vertical="center" wrapText="1"/>
    </xf>
    <xf numFmtId="0" fontId="0" fillId="0" borderId="0" xfId="0" applyFill="1" applyBorder="1" applyAlignment="1">
      <alignment wrapText="1"/>
    </xf>
    <xf numFmtId="0" fontId="0" fillId="0" borderId="75" xfId="0" applyFill="1" applyBorder="1" applyAlignment="1">
      <alignment wrapText="1"/>
    </xf>
    <xf numFmtId="0" fontId="0" fillId="0" borderId="45" xfId="0" applyFill="1" applyBorder="1" applyAlignment="1">
      <alignment wrapText="1"/>
    </xf>
    <xf numFmtId="0" fontId="31" fillId="0" borderId="60" xfId="0" applyFont="1" applyBorder="1" applyAlignment="1">
      <alignment horizontal="left" vertical="center"/>
    </xf>
    <xf numFmtId="0" fontId="31" fillId="0" borderId="90" xfId="0" applyFont="1" applyBorder="1" applyAlignment="1">
      <alignment horizontal="left" vertical="center"/>
    </xf>
    <xf numFmtId="0" fontId="31" fillId="0" borderId="45" xfId="0" applyFont="1" applyBorder="1" applyAlignment="1">
      <alignment horizontal="left" vertical="center"/>
    </xf>
    <xf numFmtId="0" fontId="31" fillId="0" borderId="75" xfId="0" applyFont="1" applyBorder="1" applyAlignment="1">
      <alignment horizontal="left" vertical="center"/>
    </xf>
    <xf numFmtId="0" fontId="31" fillId="0" borderId="91" xfId="0" applyFont="1" applyBorder="1" applyAlignment="1">
      <alignment horizontal="left" vertical="center"/>
    </xf>
    <xf numFmtId="0" fontId="31" fillId="0" borderId="77" xfId="0" applyFont="1" applyBorder="1" applyAlignment="1">
      <alignment horizontal="left" vertical="center"/>
    </xf>
    <xf numFmtId="0" fontId="31" fillId="0" borderId="72" xfId="0" applyFont="1" applyBorder="1" applyAlignment="1">
      <alignment horizontal="left" vertical="center" wrapText="1"/>
    </xf>
    <xf numFmtId="0" fontId="0" fillId="0" borderId="66" xfId="0" applyBorder="1" applyAlignment="1">
      <alignment horizontal="left" vertical="center" wrapText="1"/>
    </xf>
    <xf numFmtId="0" fontId="31" fillId="0" borderId="75" xfId="0" applyFont="1" applyFill="1" applyBorder="1" applyAlignment="1">
      <alignment horizontal="left" vertical="center"/>
    </xf>
    <xf numFmtId="0" fontId="31" fillId="28" borderId="26" xfId="0" applyFont="1" applyFill="1" applyBorder="1" applyAlignment="1">
      <alignment horizontal="center" vertical="center"/>
    </xf>
    <xf numFmtId="0" fontId="31" fillId="28" borderId="36" xfId="0" applyFont="1" applyFill="1" applyBorder="1" applyAlignment="1"/>
    <xf numFmtId="0" fontId="31" fillId="28" borderId="12" xfId="0" applyFont="1" applyFill="1" applyBorder="1" applyAlignment="1">
      <alignment horizontal="center" vertical="center" wrapText="1"/>
    </xf>
    <xf numFmtId="0" fontId="31" fillId="31" borderId="88" xfId="0" applyFont="1" applyFill="1" applyBorder="1" applyAlignment="1">
      <alignment horizontal="left" vertical="center" wrapText="1"/>
    </xf>
    <xf numFmtId="0" fontId="7" fillId="31" borderId="73" xfId="0" applyFont="1" applyFill="1" applyBorder="1" applyAlignment="1">
      <alignment wrapText="1"/>
    </xf>
    <xf numFmtId="0" fontId="7" fillId="31" borderId="85" xfId="0" applyFont="1" applyFill="1" applyBorder="1" applyAlignment="1">
      <alignment wrapText="1"/>
    </xf>
    <xf numFmtId="0" fontId="7" fillId="31" borderId="45" xfId="0" applyFont="1" applyFill="1" applyBorder="1" applyAlignment="1">
      <alignment wrapText="1"/>
    </xf>
    <xf numFmtId="0" fontId="7" fillId="31" borderId="0" xfId="0" applyFont="1" applyFill="1" applyBorder="1" applyAlignment="1">
      <alignment wrapText="1"/>
    </xf>
    <xf numFmtId="0" fontId="7" fillId="31" borderId="75" xfId="0" applyFont="1" applyFill="1" applyBorder="1" applyAlignment="1">
      <alignment wrapText="1"/>
    </xf>
    <xf numFmtId="1" fontId="31" fillId="0" borderId="26" xfId="0" applyNumberFormat="1" applyFont="1" applyBorder="1" applyAlignment="1" applyProtection="1">
      <alignment horizontal="left" vertical="center" wrapText="1"/>
    </xf>
    <xf numFmtId="0" fontId="0" fillId="0" borderId="31" xfId="0" applyBorder="1" applyAlignment="1" applyProtection="1">
      <alignment horizontal="left" vertical="center" wrapText="1"/>
    </xf>
    <xf numFmtId="0" fontId="31" fillId="26" borderId="73" xfId="0" applyFont="1" applyFill="1" applyBorder="1" applyAlignment="1">
      <alignment vertical="center"/>
    </xf>
    <xf numFmtId="0" fontId="0" fillId="0" borderId="73" xfId="0" applyBorder="1" applyAlignment="1"/>
    <xf numFmtId="0" fontId="31" fillId="33" borderId="58" xfId="0" applyFont="1" applyFill="1" applyBorder="1" applyAlignment="1">
      <alignment horizontal="left" vertical="center" wrapText="1"/>
    </xf>
    <xf numFmtId="0" fontId="31" fillId="0" borderId="49" xfId="0" applyFont="1" applyBorder="1" applyAlignment="1">
      <alignment horizontal="center" vertical="center"/>
    </xf>
    <xf numFmtId="0" fontId="0" fillId="0" borderId="92" xfId="0" applyBorder="1" applyAlignment="1">
      <alignment vertical="center"/>
    </xf>
    <xf numFmtId="0" fontId="0" fillId="0" borderId="89" xfId="0" applyBorder="1" applyAlignment="1">
      <alignment vertical="center"/>
    </xf>
    <xf numFmtId="0" fontId="31" fillId="0" borderId="15" xfId="0" applyFont="1" applyBorder="1" applyAlignment="1">
      <alignment horizontal="center" vertical="center"/>
    </xf>
    <xf numFmtId="0" fontId="31" fillId="0" borderId="16" xfId="0" applyFont="1" applyBorder="1" applyAlignment="1">
      <alignment horizontal="center" vertical="center"/>
    </xf>
    <xf numFmtId="0" fontId="31" fillId="0" borderId="28" xfId="0" applyFont="1" applyBorder="1" applyAlignment="1">
      <alignment horizontal="center" vertical="center"/>
    </xf>
    <xf numFmtId="0" fontId="31" fillId="0" borderId="32" xfId="0" applyFont="1" applyBorder="1" applyAlignment="1">
      <alignment horizontal="center" vertical="center"/>
    </xf>
    <xf numFmtId="0" fontId="31" fillId="0" borderId="40" xfId="0" applyFont="1" applyBorder="1" applyAlignment="1">
      <alignment horizontal="center" vertical="center"/>
    </xf>
    <xf numFmtId="0" fontId="31" fillId="28" borderId="55" xfId="0" applyFont="1" applyFill="1" applyBorder="1" applyAlignment="1">
      <alignment horizontal="center" vertical="center"/>
    </xf>
    <xf numFmtId="0" fontId="31" fillId="28" borderId="56" xfId="0" applyFont="1" applyFill="1" applyBorder="1" applyAlignment="1">
      <alignment horizontal="center" vertical="center"/>
    </xf>
    <xf numFmtId="0" fontId="31" fillId="0" borderId="72" xfId="0" applyFont="1" applyBorder="1" applyAlignment="1" applyProtection="1">
      <alignment horizontal="left" vertical="center" wrapText="1"/>
    </xf>
    <xf numFmtId="0" fontId="0" fillId="0" borderId="66" xfId="0" applyBorder="1" applyAlignment="1" applyProtection="1">
      <alignment horizontal="left" vertical="center" wrapText="1"/>
    </xf>
    <xf numFmtId="0" fontId="31" fillId="31" borderId="0" xfId="0" applyFont="1" applyFill="1" applyBorder="1" applyAlignment="1">
      <alignment vertical="center"/>
    </xf>
    <xf numFmtId="0" fontId="0" fillId="0" borderId="0" xfId="0" applyAlignment="1"/>
    <xf numFmtId="0" fontId="31" fillId="31" borderId="35" xfId="0" applyFont="1" applyFill="1" applyBorder="1" applyAlignment="1">
      <alignment horizontal="left" vertical="center"/>
    </xf>
    <xf numFmtId="0" fontId="0" fillId="0" borderId="35" xfId="0" applyBorder="1" applyAlignment="1"/>
    <xf numFmtId="0" fontId="31" fillId="31" borderId="0" xfId="0" applyFont="1" applyFill="1" applyAlignment="1">
      <alignment vertical="center" wrapText="1"/>
    </xf>
    <xf numFmtId="0" fontId="0" fillId="0" borderId="0" xfId="0" applyAlignment="1">
      <alignment vertical="center" wrapText="1"/>
    </xf>
    <xf numFmtId="0" fontId="31" fillId="0" borderId="0" xfId="0" applyFont="1" applyFill="1" applyBorder="1" applyAlignment="1">
      <alignment horizontal="right" wrapText="1"/>
    </xf>
    <xf numFmtId="0" fontId="31" fillId="33" borderId="76" xfId="0" applyFont="1" applyFill="1" applyBorder="1" applyAlignment="1">
      <alignment horizontal="left" vertical="center" wrapText="1"/>
    </xf>
    <xf numFmtId="0" fontId="31" fillId="31" borderId="0" xfId="0" applyFont="1" applyFill="1" applyAlignment="1">
      <alignment horizontal="left" vertical="top" wrapText="1"/>
    </xf>
    <xf numFmtId="1" fontId="31" fillId="0" borderId="36" xfId="0" applyNumberFormat="1" applyFont="1" applyBorder="1" applyAlignment="1" applyProtection="1">
      <alignment horizontal="left" vertical="center" wrapText="1"/>
    </xf>
    <xf numFmtId="0" fontId="0" fillId="0" borderId="59" xfId="0" applyBorder="1" applyAlignment="1" applyProtection="1">
      <alignment horizontal="left" vertical="center" wrapText="1"/>
    </xf>
    <xf numFmtId="1" fontId="31" fillId="0" borderId="36" xfId="0" applyNumberFormat="1" applyFont="1" applyBorder="1" applyAlignment="1">
      <alignment horizontal="left" vertical="center" wrapText="1"/>
    </xf>
    <xf numFmtId="0" fontId="0" fillId="0" borderId="59" xfId="0" applyBorder="1" applyAlignment="1">
      <alignment horizontal="left" vertical="center" wrapText="1"/>
    </xf>
    <xf numFmtId="0" fontId="31" fillId="31" borderId="51" xfId="0" applyFont="1" applyFill="1" applyBorder="1" applyAlignment="1">
      <alignment horizontal="left" vertical="center"/>
    </xf>
    <xf numFmtId="0" fontId="31" fillId="0" borderId="0" xfId="0" applyFont="1" applyBorder="1" applyAlignment="1">
      <alignment horizontal="right" vertical="top" wrapText="1"/>
    </xf>
    <xf numFmtId="0" fontId="31" fillId="28" borderId="65" xfId="0" applyFont="1" applyFill="1" applyBorder="1" applyAlignment="1">
      <alignment horizontal="center" vertical="center"/>
    </xf>
    <xf numFmtId="0" fontId="31" fillId="28" borderId="66" xfId="0" applyFont="1" applyFill="1" applyBorder="1" applyAlignment="1">
      <alignment horizontal="center" vertical="center"/>
    </xf>
    <xf numFmtId="0" fontId="0" fillId="0" borderId="42" xfId="0" applyBorder="1" applyAlignment="1">
      <alignment horizontal="center" vertical="center" wrapText="1"/>
    </xf>
    <xf numFmtId="0" fontId="31" fillId="0" borderId="61" xfId="0" applyFont="1" applyBorder="1" applyAlignment="1">
      <alignment horizontal="center" vertical="center"/>
    </xf>
    <xf numFmtId="0" fontId="0" fillId="0" borderId="41" xfId="0" applyBorder="1" applyAlignment="1">
      <alignment horizontal="center" vertical="center"/>
    </xf>
    <xf numFmtId="0" fontId="31" fillId="0" borderId="62" xfId="0" applyFont="1" applyBorder="1" applyAlignment="1">
      <alignment horizontal="center" vertical="center"/>
    </xf>
    <xf numFmtId="1" fontId="32" fillId="0" borderId="18" xfId="0" applyNumberFormat="1" applyFont="1" applyBorder="1" applyAlignment="1">
      <alignment horizontal="center" vertical="center"/>
    </xf>
    <xf numFmtId="1" fontId="32" fillId="0" borderId="19" xfId="0" applyNumberFormat="1" applyFont="1" applyBorder="1" applyAlignment="1">
      <alignment horizontal="center" vertical="center"/>
    </xf>
    <xf numFmtId="172" fontId="31" fillId="0" borderId="33" xfId="0" applyNumberFormat="1" applyFont="1" applyFill="1" applyBorder="1" applyAlignment="1">
      <alignment horizontal="right" vertical="center" indent="3"/>
    </xf>
    <xf numFmtId="172" fontId="31" fillId="0" borderId="64" xfId="0" applyNumberFormat="1" applyFont="1" applyFill="1" applyBorder="1" applyAlignment="1">
      <alignment horizontal="right" vertical="center" indent="3"/>
    </xf>
    <xf numFmtId="172" fontId="31" fillId="0" borderId="53" xfId="0" applyNumberFormat="1" applyFont="1" applyFill="1" applyBorder="1" applyAlignment="1">
      <alignment horizontal="right" vertical="center" indent="3"/>
    </xf>
    <xf numFmtId="172" fontId="31" fillId="0" borderId="51" xfId="0" applyNumberFormat="1" applyFont="1" applyFill="1" applyBorder="1" applyAlignment="1">
      <alignment horizontal="right" vertical="center" indent="3"/>
    </xf>
    <xf numFmtId="0" fontId="31" fillId="31" borderId="73" xfId="0" applyFont="1" applyFill="1" applyBorder="1" applyAlignment="1">
      <alignment horizontal="left" vertical="center" wrapText="1"/>
    </xf>
    <xf numFmtId="0" fontId="31" fillId="31" borderId="0" xfId="0" applyFont="1" applyFill="1" applyBorder="1" applyAlignment="1">
      <alignment horizontal="left" vertical="center" wrapText="1"/>
    </xf>
    <xf numFmtId="0" fontId="31" fillId="0" borderId="48" xfId="0" applyFont="1" applyBorder="1" applyAlignment="1">
      <alignment horizontal="center" vertical="center"/>
    </xf>
    <xf numFmtId="0" fontId="31" fillId="0" borderId="42" xfId="0" applyFont="1" applyBorder="1" applyAlignment="1">
      <alignment horizontal="center" vertical="center"/>
    </xf>
    <xf numFmtId="0" fontId="31" fillId="31" borderId="0" xfId="0" applyFont="1" applyFill="1" applyAlignment="1">
      <alignment vertical="center"/>
    </xf>
    <xf numFmtId="0" fontId="31" fillId="0" borderId="0" xfId="0" applyFont="1" applyAlignment="1">
      <alignment vertical="center" wrapText="1"/>
    </xf>
    <xf numFmtId="0" fontId="35" fillId="0" borderId="0" xfId="0" applyFont="1" applyAlignment="1">
      <alignment horizontal="center"/>
    </xf>
    <xf numFmtId="0" fontId="0" fillId="0" borderId="40" xfId="0" applyBorder="1" applyAlignment="1">
      <alignment horizontal="center" vertical="center"/>
    </xf>
    <xf numFmtId="0" fontId="31" fillId="0" borderId="69" xfId="0" applyFont="1" applyBorder="1" applyAlignment="1">
      <alignment horizontal="center" vertical="center"/>
    </xf>
    <xf numFmtId="0" fontId="0" fillId="0" borderId="93" xfId="0" applyBorder="1" applyAlignment="1">
      <alignment horizontal="center" vertical="center"/>
    </xf>
    <xf numFmtId="0" fontId="31" fillId="0" borderId="60" xfId="0" applyFont="1" applyBorder="1" applyAlignment="1">
      <alignment horizontal="center" vertical="center"/>
    </xf>
    <xf numFmtId="0" fontId="0" fillId="0" borderId="91" xfId="0" applyBorder="1" applyAlignment="1">
      <alignment horizontal="center" vertical="center"/>
    </xf>
    <xf numFmtId="172" fontId="31" fillId="0" borderId="18" xfId="0" applyNumberFormat="1" applyFont="1" applyFill="1" applyBorder="1" applyAlignment="1">
      <alignment horizontal="right" vertical="center" indent="3"/>
    </xf>
    <xf numFmtId="172" fontId="31" fillId="0" borderId="19" xfId="0" applyNumberFormat="1" applyFont="1" applyFill="1" applyBorder="1" applyAlignment="1">
      <alignment horizontal="right" vertical="center" indent="3"/>
    </xf>
    <xf numFmtId="0" fontId="0" fillId="0" borderId="89" xfId="0" applyBorder="1" applyAlignment="1">
      <alignment horizontal="center" vertical="center" wrapText="1"/>
    </xf>
    <xf numFmtId="0" fontId="31" fillId="31" borderId="45" xfId="0" applyFont="1" applyFill="1" applyBorder="1" applyAlignment="1">
      <alignment horizontal="left" vertical="center" wrapText="1"/>
    </xf>
    <xf numFmtId="0" fontId="32" fillId="28" borderId="60" xfId="0" applyFont="1" applyFill="1" applyBorder="1" applyAlignment="1">
      <alignment horizontal="center" vertical="center"/>
    </xf>
    <xf numFmtId="0" fontId="32" fillId="28" borderId="90" xfId="0" applyFont="1" applyFill="1" applyBorder="1" applyAlignment="1">
      <alignment horizontal="center" vertical="center"/>
    </xf>
    <xf numFmtId="0" fontId="31" fillId="0" borderId="0" xfId="0" applyFont="1" applyAlignment="1">
      <alignment horizontal="center"/>
    </xf>
    <xf numFmtId="0" fontId="31" fillId="0" borderId="62" xfId="0" applyFont="1" applyBorder="1" applyAlignment="1">
      <alignment horizontal="center" vertical="center" wrapText="1"/>
    </xf>
    <xf numFmtId="0" fontId="0" fillId="0" borderId="40" xfId="0" applyBorder="1" applyAlignment="1">
      <alignment horizontal="center" vertical="center" wrapText="1"/>
    </xf>
    <xf numFmtId="0" fontId="31" fillId="0" borderId="61" xfId="0" applyFont="1" applyBorder="1" applyAlignment="1">
      <alignment horizontal="center" vertical="center" wrapText="1"/>
    </xf>
    <xf numFmtId="0" fontId="0" fillId="0" borderId="41" xfId="0" applyBorder="1" applyAlignment="1">
      <alignment horizontal="center" vertical="center" wrapText="1"/>
    </xf>
    <xf numFmtId="0" fontId="31" fillId="0" borderId="29" xfId="0" applyFont="1" applyBorder="1" applyAlignment="1">
      <alignment horizontal="left" vertical="center" wrapText="1"/>
    </xf>
    <xf numFmtId="0" fontId="0" fillId="0" borderId="29" xfId="0" applyBorder="1" applyAlignment="1">
      <alignment horizontal="left" vertical="center"/>
    </xf>
    <xf numFmtId="0" fontId="31" fillId="31" borderId="60" xfId="0" applyFont="1" applyFill="1" applyBorder="1" applyAlignment="1">
      <alignment horizontal="left" vertical="center" wrapText="1"/>
    </xf>
    <xf numFmtId="0" fontId="0" fillId="31" borderId="34" xfId="0" applyFill="1" applyBorder="1" applyAlignment="1">
      <alignment horizontal="left" vertical="center" wrapText="1"/>
    </xf>
    <xf numFmtId="0" fontId="0" fillId="31" borderId="90" xfId="0" applyFill="1" applyBorder="1" applyAlignment="1">
      <alignment horizontal="left" vertical="center" wrapText="1"/>
    </xf>
    <xf numFmtId="0" fontId="0" fillId="31" borderId="45" xfId="0" applyFill="1" applyBorder="1" applyAlignment="1">
      <alignment horizontal="left" vertical="center" wrapText="1"/>
    </xf>
    <xf numFmtId="0" fontId="0" fillId="31" borderId="0" xfId="0" applyFill="1" applyBorder="1" applyAlignment="1">
      <alignment horizontal="left" vertical="center" wrapText="1"/>
    </xf>
    <xf numFmtId="0" fontId="0" fillId="31" borderId="75" xfId="0" applyFill="1" applyBorder="1" applyAlignment="1">
      <alignment horizontal="left" vertical="center" wrapText="1"/>
    </xf>
    <xf numFmtId="0" fontId="31" fillId="0" borderId="0" xfId="0" applyFont="1" applyBorder="1" applyAlignment="1">
      <alignment horizontal="left" vertical="center" wrapText="1"/>
    </xf>
    <xf numFmtId="0" fontId="0" fillId="0" borderId="75" xfId="0" applyBorder="1" applyAlignment="1">
      <alignment vertical="center" wrapText="1"/>
    </xf>
    <xf numFmtId="0" fontId="0" fillId="0" borderId="0" xfId="0" applyBorder="1" applyAlignment="1">
      <alignment vertical="center" wrapText="1"/>
    </xf>
    <xf numFmtId="0" fontId="31" fillId="0" borderId="45" xfId="0" applyFont="1" applyBorder="1" applyAlignment="1">
      <alignment horizontal="left" vertical="center" wrapText="1"/>
    </xf>
    <xf numFmtId="0" fontId="0" fillId="0" borderId="0" xfId="0" applyBorder="1" applyAlignment="1">
      <alignment horizontal="left" vertical="center" wrapText="1"/>
    </xf>
    <xf numFmtId="0" fontId="0" fillId="0" borderId="75" xfId="0" applyBorder="1" applyAlignment="1">
      <alignment horizontal="left" vertical="center" wrapText="1"/>
    </xf>
    <xf numFmtId="0" fontId="31" fillId="0" borderId="26" xfId="0" applyFont="1" applyBorder="1" applyAlignment="1">
      <alignment horizontal="left" vertical="center" indent="1"/>
    </xf>
    <xf numFmtId="0" fontId="31" fillId="0" borderId="31" xfId="0" applyFont="1" applyBorder="1" applyAlignment="1">
      <alignment horizontal="left" vertical="center" indent="1"/>
    </xf>
    <xf numFmtId="0" fontId="32" fillId="0" borderId="76" xfId="0" applyFont="1" applyBorder="1" applyAlignment="1">
      <alignment horizontal="center" vertical="center"/>
    </xf>
    <xf numFmtId="0" fontId="38" fillId="0" borderId="0" xfId="0" applyFont="1" applyAlignment="1">
      <alignment horizontal="center" vertical="center"/>
    </xf>
    <xf numFmtId="0" fontId="30" fillId="0" borderId="0" xfId="0" applyFont="1" applyAlignment="1">
      <alignment horizontal="center" vertical="center"/>
    </xf>
    <xf numFmtId="0" fontId="31" fillId="0" borderId="60" xfId="0" applyFont="1" applyBorder="1" applyAlignment="1">
      <alignment horizontal="center" vertical="center" wrapText="1"/>
    </xf>
    <xf numFmtId="0" fontId="31" fillId="0" borderId="90" xfId="0" applyFont="1" applyBorder="1" applyAlignment="1">
      <alignment vertical="center"/>
    </xf>
    <xf numFmtId="0" fontId="31" fillId="0" borderId="91" xfId="0" applyFont="1" applyBorder="1" applyAlignment="1">
      <alignment vertical="center"/>
    </xf>
    <xf numFmtId="0" fontId="31" fillId="0" borderId="77" xfId="0" applyFont="1" applyBorder="1" applyAlignment="1">
      <alignment vertical="center"/>
    </xf>
    <xf numFmtId="0" fontId="32" fillId="0" borderId="72" xfId="0" applyFont="1" applyBorder="1" applyAlignment="1">
      <alignment horizontal="left" vertical="center"/>
    </xf>
    <xf numFmtId="0" fontId="31" fillId="0" borderId="66" xfId="0" applyFont="1" applyBorder="1" applyAlignment="1">
      <alignment vertical="center"/>
    </xf>
    <xf numFmtId="0" fontId="31" fillId="0" borderId="36" xfId="0" applyFont="1" applyBorder="1" applyAlignment="1">
      <alignment horizontal="left" vertical="center" indent="1"/>
    </xf>
    <xf numFmtId="0" fontId="31" fillId="0" borderId="59" xfId="0" applyFont="1" applyBorder="1" applyAlignment="1">
      <alignment horizontal="left" vertical="center" indent="1"/>
    </xf>
    <xf numFmtId="0" fontId="31" fillId="0" borderId="0" xfId="0" applyFont="1" applyAlignment="1">
      <alignment horizontal="right" vertical="center"/>
    </xf>
    <xf numFmtId="0" fontId="41" fillId="28" borderId="0" xfId="0" applyFont="1" applyFill="1" applyBorder="1" applyAlignment="1">
      <alignment horizontal="center" vertical="center"/>
    </xf>
    <xf numFmtId="0" fontId="41" fillId="28" borderId="50" xfId="0" applyFont="1" applyFill="1" applyBorder="1" applyAlignment="1">
      <alignment horizontal="center" vertical="center"/>
    </xf>
    <xf numFmtId="0" fontId="34" fillId="31" borderId="0" xfId="0" applyFont="1" applyFill="1" applyAlignment="1">
      <alignment horizontal="left" vertical="center"/>
    </xf>
    <xf numFmtId="0" fontId="4" fillId="31" borderId="0" xfId="0" applyFont="1" applyFill="1" applyAlignment="1">
      <alignment vertical="center"/>
    </xf>
    <xf numFmtId="0" fontId="32" fillId="0" borderId="0" xfId="0" applyFont="1" applyAlignment="1">
      <alignment horizontal="left" vertical="center"/>
    </xf>
    <xf numFmtId="0" fontId="0" fillId="0" borderId="0" xfId="0" applyAlignment="1">
      <alignment vertical="center"/>
    </xf>
    <xf numFmtId="0" fontId="41" fillId="24" borderId="51" xfId="0" applyFont="1" applyFill="1" applyBorder="1" applyAlignment="1">
      <alignment horizontal="center" vertical="center"/>
    </xf>
    <xf numFmtId="0" fontId="41" fillId="0" borderId="0" xfId="0" applyFont="1" applyBorder="1" applyAlignment="1">
      <alignment horizontal="center" vertical="center"/>
    </xf>
    <xf numFmtId="0" fontId="41" fillId="28" borderId="0" xfId="0" applyFont="1" applyFill="1" applyAlignment="1">
      <alignment horizontal="center" vertical="center"/>
    </xf>
    <xf numFmtId="0" fontId="31" fillId="24" borderId="0" xfId="0" applyFont="1" applyFill="1" applyBorder="1" applyAlignment="1">
      <alignment horizontal="right" vertical="center" wrapText="1"/>
    </xf>
    <xf numFmtId="0" fontId="32" fillId="28" borderId="0" xfId="0" applyFont="1" applyFill="1" applyBorder="1" applyAlignment="1">
      <alignment horizontal="center" vertical="center"/>
    </xf>
    <xf numFmtId="0" fontId="32" fillId="28" borderId="50" xfId="0" applyFont="1" applyFill="1" applyBorder="1" applyAlignment="1">
      <alignment horizontal="center" vertical="center"/>
    </xf>
    <xf numFmtId="0" fontId="35" fillId="0" borderId="0" xfId="0" applyFont="1" applyAlignment="1">
      <alignment horizontal="center" vertical="center"/>
    </xf>
    <xf numFmtId="0" fontId="31" fillId="24" borderId="51" xfId="0" applyFont="1" applyFill="1" applyBorder="1" applyAlignment="1">
      <alignment horizontal="right" vertical="center" wrapText="1"/>
    </xf>
    <xf numFmtId="0" fontId="0" fillId="0" borderId="0" xfId="0" applyBorder="1" applyAlignment="1">
      <alignment horizontal="right" vertical="center"/>
    </xf>
    <xf numFmtId="0" fontId="0" fillId="0" borderId="51" xfId="0" applyBorder="1" applyAlignment="1">
      <alignment horizontal="right" vertical="center"/>
    </xf>
    <xf numFmtId="0" fontId="31" fillId="24" borderId="0" xfId="0" applyFont="1" applyFill="1" applyBorder="1" applyAlignment="1">
      <alignment horizontal="center" vertical="center" wrapText="1"/>
    </xf>
    <xf numFmtId="0" fontId="41" fillId="28" borderId="0" xfId="0" applyFont="1" applyFill="1" applyBorder="1" applyAlignment="1">
      <alignment horizontal="center"/>
    </xf>
    <xf numFmtId="0" fontId="0" fillId="0" borderId="0" xfId="0" applyAlignment="1">
      <alignment horizontal="center"/>
    </xf>
    <xf numFmtId="0" fontId="0" fillId="0" borderId="50" xfId="0" applyBorder="1" applyAlignment="1">
      <alignment horizontal="center"/>
    </xf>
    <xf numFmtId="0" fontId="41" fillId="28" borderId="51" xfId="0" applyFont="1" applyFill="1" applyBorder="1" applyAlignment="1">
      <alignment horizontal="center"/>
    </xf>
    <xf numFmtId="0" fontId="0" fillId="0" borderId="0" xfId="0" applyAlignment="1">
      <alignment horizontal="right" vertical="center"/>
    </xf>
    <xf numFmtId="0" fontId="0" fillId="0" borderId="35" xfId="0" applyBorder="1" applyAlignment="1">
      <alignment horizontal="right" vertical="center"/>
    </xf>
    <xf numFmtId="0" fontId="31" fillId="24" borderId="0" xfId="0" applyFont="1" applyFill="1" applyAlignment="1">
      <alignment horizontal="right" vertical="center" wrapText="1"/>
    </xf>
    <xf numFmtId="0" fontId="31" fillId="31" borderId="0" xfId="0" applyFont="1" applyFill="1" applyAlignment="1">
      <alignment horizontal="left"/>
    </xf>
    <xf numFmtId="0" fontId="31" fillId="0" borderId="13" xfId="0" applyFont="1" applyBorder="1" applyAlignment="1">
      <alignment horizontal="center" vertical="center"/>
    </xf>
    <xf numFmtId="0" fontId="31" fillId="0" borderId="55" xfId="0" applyFont="1" applyBorder="1" applyAlignment="1">
      <alignment horizontal="center" vertical="center" wrapText="1"/>
    </xf>
    <xf numFmtId="0" fontId="0" fillId="0" borderId="13" xfId="0" applyBorder="1" applyAlignment="1">
      <alignment horizontal="center" vertical="center" wrapText="1"/>
    </xf>
    <xf numFmtId="0" fontId="31" fillId="28" borderId="86" xfId="0" applyFont="1" applyFill="1" applyBorder="1" applyAlignment="1">
      <alignment horizontal="center" vertical="center" wrapText="1"/>
    </xf>
    <xf numFmtId="0" fontId="31" fillId="28" borderId="70" xfId="0" applyFont="1" applyFill="1" applyBorder="1" applyAlignment="1">
      <alignment horizontal="center" vertical="center" wrapText="1"/>
    </xf>
    <xf numFmtId="0" fontId="0" fillId="28" borderId="70" xfId="0" applyFill="1" applyBorder="1" applyAlignment="1">
      <alignment horizontal="center" vertical="center"/>
    </xf>
    <xf numFmtId="0" fontId="31" fillId="28" borderId="54" xfId="0" applyFont="1" applyFill="1" applyBorder="1" applyAlignment="1">
      <alignment horizontal="center" vertical="center"/>
    </xf>
    <xf numFmtId="0" fontId="31" fillId="28" borderId="80" xfId="0" applyFont="1" applyFill="1" applyBorder="1" applyAlignment="1">
      <alignment horizontal="center" vertical="center"/>
    </xf>
    <xf numFmtId="0" fontId="0" fillId="28" borderId="14" xfId="0" applyFill="1" applyBorder="1" applyAlignment="1">
      <alignment horizontal="center" vertical="center"/>
    </xf>
    <xf numFmtId="0" fontId="0" fillId="0" borderId="76" xfId="0" applyBorder="1" applyAlignment="1">
      <alignment horizontal="center"/>
    </xf>
    <xf numFmtId="0" fontId="31" fillId="28" borderId="51" xfId="38" applyFont="1" applyFill="1" applyBorder="1" applyAlignment="1"/>
    <xf numFmtId="0" fontId="31" fillId="28" borderId="0" xfId="38" applyFont="1" applyFill="1" applyBorder="1" applyAlignment="1"/>
    <xf numFmtId="0" fontId="31" fillId="28" borderId="19" xfId="38" applyFont="1" applyFill="1" applyBorder="1" applyAlignment="1"/>
    <xf numFmtId="0" fontId="31" fillId="28" borderId="35" xfId="38" applyFont="1" applyFill="1" applyBorder="1" applyAlignment="1"/>
    <xf numFmtId="0" fontId="31" fillId="26" borderId="0" xfId="38" applyFont="1" applyFill="1" applyAlignment="1">
      <alignment horizontal="left" vertical="center"/>
    </xf>
    <xf numFmtId="0" fontId="31" fillId="24" borderId="55" xfId="38" applyFont="1" applyFill="1" applyBorder="1" applyAlignment="1">
      <alignment horizontal="center" vertical="center" wrapText="1"/>
    </xf>
    <xf numFmtId="0" fontId="31" fillId="24" borderId="56" xfId="38" applyFont="1" applyFill="1" applyBorder="1" applyAlignment="1">
      <alignment horizontal="center" vertical="center" wrapText="1"/>
    </xf>
    <xf numFmtId="0" fontId="0" fillId="0" borderId="14" xfId="0" applyBorder="1" applyAlignment="1">
      <alignment horizontal="center" vertical="center" wrapText="1"/>
    </xf>
    <xf numFmtId="0" fontId="31" fillId="0" borderId="0" xfId="38" applyFont="1" applyAlignment="1">
      <alignment horizontal="left" vertical="center"/>
    </xf>
    <xf numFmtId="0" fontId="31" fillId="24" borderId="48" xfId="38" applyFont="1" applyFill="1" applyBorder="1" applyAlignment="1">
      <alignment horizontal="center" vertical="center" wrapText="1"/>
    </xf>
    <xf numFmtId="0" fontId="31" fillId="24" borderId="42" xfId="38" applyFont="1" applyFill="1" applyBorder="1" applyAlignment="1">
      <alignment horizontal="center" vertical="center" wrapText="1"/>
    </xf>
    <xf numFmtId="0" fontId="31" fillId="24" borderId="62" xfId="38" applyFont="1" applyFill="1" applyBorder="1" applyAlignment="1">
      <alignment horizontal="center" vertical="center" wrapText="1"/>
    </xf>
    <xf numFmtId="0" fontId="31" fillId="24" borderId="40" xfId="38" applyFont="1" applyFill="1" applyBorder="1" applyAlignment="1">
      <alignment horizontal="center" vertical="center" wrapText="1"/>
    </xf>
    <xf numFmtId="0" fontId="31" fillId="24" borderId="61" xfId="38" applyFont="1" applyFill="1" applyBorder="1" applyAlignment="1">
      <alignment horizontal="center" vertical="center" wrapText="1"/>
    </xf>
    <xf numFmtId="0" fontId="31" fillId="24" borderId="41" xfId="38" applyFont="1" applyFill="1" applyBorder="1" applyAlignment="1">
      <alignment horizontal="center" vertical="center" wrapText="1"/>
    </xf>
    <xf numFmtId="0" fontId="31" fillId="0" borderId="0" xfId="38" applyFont="1" applyAlignment="1">
      <alignment vertical="distributed"/>
    </xf>
    <xf numFmtId="0" fontId="31" fillId="0" borderId="0" xfId="0" applyFont="1" applyAlignment="1">
      <alignment vertical="distributed"/>
    </xf>
    <xf numFmtId="0" fontId="32" fillId="0" borderId="76" xfId="38" applyFont="1" applyBorder="1" applyAlignment="1">
      <alignment horizontal="center" vertical="center"/>
    </xf>
    <xf numFmtId="0" fontId="34" fillId="0" borderId="0" xfId="38" applyFont="1" applyBorder="1" applyAlignment="1">
      <alignment horizontal="center" vertical="center"/>
    </xf>
    <xf numFmtId="0" fontId="31" fillId="0" borderId="55" xfId="0" applyFont="1" applyBorder="1" applyAlignment="1">
      <alignment horizontal="center" vertical="center" textRotation="90" wrapText="1"/>
    </xf>
    <xf numFmtId="0" fontId="31" fillId="0" borderId="16" xfId="0" applyFont="1" applyBorder="1" applyAlignment="1">
      <alignment horizontal="center" vertical="center" wrapText="1"/>
    </xf>
    <xf numFmtId="0" fontId="31" fillId="0" borderId="13" xfId="0" applyFont="1" applyBorder="1" applyAlignment="1">
      <alignment horizontal="center" vertical="center" wrapText="1"/>
    </xf>
    <xf numFmtId="0" fontId="31" fillId="0" borderId="16" xfId="0" applyFont="1" applyBorder="1" applyAlignment="1">
      <alignment horizontal="center" vertical="center" textRotation="90" wrapText="1"/>
    </xf>
    <xf numFmtId="0" fontId="31" fillId="0" borderId="54" xfId="0" applyFont="1" applyBorder="1" applyAlignment="1">
      <alignment horizontal="center" vertical="center" textRotation="90" wrapText="1"/>
    </xf>
    <xf numFmtId="0" fontId="31" fillId="0" borderId="15" xfId="0" applyFont="1" applyBorder="1" applyAlignment="1">
      <alignment horizontal="center" vertical="center" textRotation="90" wrapText="1"/>
    </xf>
    <xf numFmtId="0" fontId="31" fillId="0" borderId="12" xfId="0" applyFont="1" applyBorder="1" applyAlignment="1"/>
    <xf numFmtId="0" fontId="31" fillId="0" borderId="55" xfId="0" applyFont="1" applyBorder="1" applyAlignment="1">
      <alignment horizontal="center" vertical="center" textRotation="90"/>
    </xf>
    <xf numFmtId="0" fontId="31" fillId="0" borderId="16" xfId="0" applyFont="1" applyBorder="1" applyAlignment="1">
      <alignment horizontal="center" vertical="center" textRotation="90"/>
    </xf>
    <xf numFmtId="0" fontId="31" fillId="0" borderId="13" xfId="0" applyFont="1" applyBorder="1" applyAlignment="1"/>
    <xf numFmtId="0" fontId="31" fillId="0" borderId="13" xfId="0" applyFont="1" applyBorder="1" applyAlignment="1">
      <alignment horizontal="center" vertical="center" textRotation="90"/>
    </xf>
    <xf numFmtId="0" fontId="34" fillId="0" borderId="0" xfId="0" applyFont="1" applyBorder="1" applyAlignment="1">
      <alignment horizontal="center" vertical="center"/>
    </xf>
    <xf numFmtId="0" fontId="31" fillId="0" borderId="13" xfId="0" applyFont="1" applyBorder="1" applyAlignment="1">
      <alignment horizontal="center" vertical="center" textRotation="90" wrapText="1"/>
    </xf>
    <xf numFmtId="0" fontId="31" fillId="0" borderId="56" xfId="0" applyFont="1" applyBorder="1" applyAlignment="1">
      <alignment horizontal="center" vertical="center" wrapText="1"/>
    </xf>
    <xf numFmtId="0" fontId="31" fillId="0" borderId="28" xfId="0" applyFont="1" applyBorder="1" applyAlignment="1">
      <alignment horizontal="center" vertical="center" wrapText="1"/>
    </xf>
    <xf numFmtId="0" fontId="31" fillId="0" borderId="14" xfId="0" applyFont="1" applyBorder="1" applyAlignment="1">
      <alignment horizontal="center" vertical="center" wrapText="1"/>
    </xf>
    <xf numFmtId="0" fontId="31" fillId="28" borderId="16" xfId="38" applyFont="1" applyFill="1" applyBorder="1" applyAlignment="1">
      <alignment horizontal="left" vertical="center" wrapText="1"/>
    </xf>
    <xf numFmtId="0" fontId="31" fillId="28" borderId="13" xfId="38" applyFont="1" applyFill="1" applyBorder="1" applyAlignment="1">
      <alignment horizontal="left" vertical="center" wrapText="1"/>
    </xf>
    <xf numFmtId="0" fontId="31" fillId="0" borderId="72" xfId="38" applyFont="1" applyBorder="1" applyAlignment="1">
      <alignment horizontal="center" vertical="center" wrapText="1"/>
    </xf>
    <xf numFmtId="0" fontId="31" fillId="0" borderId="65" xfId="38" applyFont="1" applyBorder="1" applyAlignment="1">
      <alignment horizontal="center" vertical="center" wrapText="1"/>
    </xf>
    <xf numFmtId="0" fontId="31" fillId="0" borderId="66" xfId="38" applyFont="1" applyBorder="1" applyAlignment="1">
      <alignment horizontal="center" vertical="center" wrapText="1"/>
    </xf>
    <xf numFmtId="0" fontId="31" fillId="0" borderId="0" xfId="38" applyFont="1" applyBorder="1" applyAlignment="1">
      <alignment horizontal="left" vertical="center" wrapText="1"/>
    </xf>
    <xf numFmtId="0" fontId="0" fillId="0" borderId="0" xfId="0" applyAlignment="1">
      <alignment horizontal="left" vertical="center" wrapText="1"/>
    </xf>
    <xf numFmtId="0" fontId="31" fillId="28" borderId="16" xfId="38" applyFont="1" applyFill="1" applyBorder="1" applyAlignment="1">
      <alignment horizontal="left" vertical="center"/>
    </xf>
    <xf numFmtId="0" fontId="31" fillId="28" borderId="28" xfId="38" applyFont="1" applyFill="1" applyBorder="1" applyAlignment="1">
      <alignment horizontal="left" vertical="center"/>
    </xf>
    <xf numFmtId="0" fontId="31" fillId="0" borderId="16" xfId="38" applyFont="1" applyBorder="1" applyAlignment="1">
      <alignment horizontal="left" vertical="center" wrapText="1"/>
    </xf>
    <xf numFmtId="0" fontId="31" fillId="0" borderId="13" xfId="38" applyFont="1" applyBorder="1" applyAlignment="1">
      <alignment horizontal="left" vertical="center" wrapText="1"/>
    </xf>
    <xf numFmtId="0" fontId="32" fillId="28" borderId="39" xfId="38" applyFont="1" applyFill="1" applyBorder="1" applyAlignment="1">
      <alignment horizontal="center" vertical="center"/>
    </xf>
    <xf numFmtId="0" fontId="31" fillId="28" borderId="81" xfId="38" applyFont="1" applyFill="1" applyBorder="1" applyAlignment="1">
      <alignment horizontal="center" vertical="center"/>
    </xf>
    <xf numFmtId="0" fontId="31" fillId="28" borderId="84" xfId="38" applyFont="1" applyFill="1" applyBorder="1" applyAlignment="1">
      <alignment horizontal="center" vertical="center"/>
    </xf>
    <xf numFmtId="0" fontId="31" fillId="28" borderId="72" xfId="38" applyFont="1" applyFill="1" applyBorder="1" applyAlignment="1">
      <alignment horizontal="center" vertical="center"/>
    </xf>
    <xf numFmtId="0" fontId="31" fillId="28" borderId="66" xfId="38" applyFont="1" applyFill="1" applyBorder="1" applyAlignment="1">
      <alignment horizontal="center" vertical="center"/>
    </xf>
    <xf numFmtId="0" fontId="34" fillId="0" borderId="0" xfId="38" applyFont="1" applyBorder="1" applyAlignment="1">
      <alignment horizontal="center" vertical="top"/>
    </xf>
    <xf numFmtId="0" fontId="31" fillId="28" borderId="15" xfId="38" applyFont="1" applyFill="1" applyBorder="1" applyAlignment="1">
      <alignment horizontal="center" vertical="center" textRotation="90"/>
    </xf>
    <xf numFmtId="0" fontId="31" fillId="28" borderId="18" xfId="38" applyFont="1" applyFill="1" applyBorder="1" applyAlignment="1">
      <alignment horizontal="center" vertical="center" wrapText="1"/>
    </xf>
    <xf numFmtId="0" fontId="31" fillId="28" borderId="30" xfId="38" applyFont="1" applyFill="1" applyBorder="1" applyAlignment="1">
      <alignment horizontal="center" vertical="center" wrapText="1"/>
    </xf>
    <xf numFmtId="0" fontId="31" fillId="28" borderId="16" xfId="38" applyFont="1" applyFill="1" applyBorder="1" applyAlignment="1">
      <alignment horizontal="center" vertical="center"/>
    </xf>
    <xf numFmtId="0" fontId="31" fillId="28" borderId="28" xfId="38" applyFont="1" applyFill="1" applyBorder="1" applyAlignment="1">
      <alignment horizontal="center" vertical="center"/>
    </xf>
    <xf numFmtId="0" fontId="31" fillId="0" borderId="28" xfId="38" applyFont="1" applyBorder="1" applyAlignment="1">
      <alignment horizontal="left" vertical="center" wrapText="1"/>
    </xf>
    <xf numFmtId="0" fontId="31" fillId="0" borderId="15" xfId="38" applyFont="1" applyBorder="1" applyAlignment="1">
      <alignment horizontal="center" vertical="center" textRotation="90"/>
    </xf>
    <xf numFmtId="0" fontId="31" fillId="0" borderId="16" xfId="38" applyFont="1" applyBorder="1" applyAlignment="1">
      <alignment horizontal="left" vertical="center"/>
    </xf>
    <xf numFmtId="0" fontId="31" fillId="0" borderId="28" xfId="38" applyFont="1" applyBorder="1" applyAlignment="1">
      <alignment horizontal="left" vertical="center"/>
    </xf>
    <xf numFmtId="0" fontId="32" fillId="0" borderId="76" xfId="38" applyFont="1" applyBorder="1" applyAlignment="1">
      <alignment horizontal="center" vertical="top"/>
    </xf>
    <xf numFmtId="0" fontId="31" fillId="0" borderId="76" xfId="38" applyFont="1" applyBorder="1" applyAlignment="1">
      <alignment horizontal="center" vertical="top"/>
    </xf>
    <xf numFmtId="0" fontId="31" fillId="0" borderId="0" xfId="38" applyFont="1" applyBorder="1" applyAlignment="1">
      <alignment horizontal="center" vertical="top"/>
    </xf>
    <xf numFmtId="0" fontId="31" fillId="0" borderId="18" xfId="38" applyFont="1" applyBorder="1" applyAlignment="1">
      <alignment horizontal="center" vertical="center" wrapText="1"/>
    </xf>
    <xf numFmtId="0" fontId="31" fillId="0" borderId="30" xfId="38" applyFont="1" applyBorder="1" applyAlignment="1">
      <alignment horizontal="center" vertical="center" wrapText="1"/>
    </xf>
    <xf numFmtId="0" fontId="31" fillId="31" borderId="0" xfId="38" applyFont="1" applyFill="1" applyAlignment="1">
      <alignment vertical="center"/>
    </xf>
    <xf numFmtId="0" fontId="31" fillId="31" borderId="0" xfId="38" applyFont="1" applyFill="1" applyAlignment="1"/>
    <xf numFmtId="183" fontId="31" fillId="0" borderId="24" xfId="38" applyNumberFormat="1" applyFont="1" applyBorder="1" applyAlignment="1">
      <alignment horizontal="center" vertical="center"/>
    </xf>
    <xf numFmtId="183" fontId="31" fillId="0" borderId="52" xfId="38" applyNumberFormat="1" applyFont="1" applyBorder="1" applyAlignment="1">
      <alignment horizontal="center" vertical="center"/>
    </xf>
    <xf numFmtId="0" fontId="34" fillId="0" borderId="0" xfId="38" applyFont="1" applyAlignment="1">
      <alignment horizontal="center" vertical="center"/>
    </xf>
    <xf numFmtId="0" fontId="31" fillId="0" borderId="60" xfId="38" applyFont="1" applyBorder="1" applyAlignment="1">
      <alignment horizontal="center" vertical="center" wrapText="1"/>
    </xf>
    <xf numFmtId="0" fontId="31" fillId="0" borderId="67" xfId="38" applyFont="1" applyBorder="1" applyAlignment="1">
      <alignment horizontal="center" vertical="center" wrapText="1"/>
    </xf>
    <xf numFmtId="0" fontId="0" fillId="0" borderId="91" xfId="0" applyBorder="1" applyAlignment="1">
      <alignment horizontal="center" vertical="center" wrapText="1"/>
    </xf>
    <xf numFmtId="0" fontId="0" fillId="0" borderId="94" xfId="0" applyBorder="1" applyAlignment="1">
      <alignment horizontal="center" vertical="center" wrapText="1"/>
    </xf>
    <xf numFmtId="0" fontId="31" fillId="0" borderId="69" xfId="38" applyFont="1" applyBorder="1" applyAlignment="1">
      <alignment horizontal="center" vertical="center" wrapText="1"/>
    </xf>
    <xf numFmtId="0" fontId="31" fillId="0" borderId="93" xfId="38" applyFont="1" applyBorder="1" applyAlignment="1">
      <alignment horizontal="center" vertical="center" wrapText="1"/>
    </xf>
    <xf numFmtId="0" fontId="31" fillId="0" borderId="49" xfId="38" applyFont="1" applyBorder="1" applyAlignment="1">
      <alignment horizontal="left" vertical="center" wrapText="1"/>
    </xf>
    <xf numFmtId="0" fontId="31" fillId="0" borderId="89" xfId="38" applyFont="1" applyBorder="1" applyAlignment="1">
      <alignment horizontal="left" vertical="center" wrapText="1"/>
    </xf>
    <xf numFmtId="0" fontId="31" fillId="28" borderId="19" xfId="38" applyFont="1" applyFill="1" applyBorder="1" applyAlignment="1">
      <alignment vertical="center"/>
    </xf>
    <xf numFmtId="0" fontId="0" fillId="0" borderId="52" xfId="0" applyBorder="1" applyAlignment="1"/>
    <xf numFmtId="190" fontId="31" fillId="0" borderId="36" xfId="38" applyNumberFormat="1" applyFont="1" applyBorder="1" applyAlignment="1">
      <alignment horizontal="center" vertical="center"/>
    </xf>
    <xf numFmtId="190" fontId="31" fillId="0" borderId="68" xfId="38" applyNumberFormat="1" applyFont="1" applyBorder="1" applyAlignment="1">
      <alignment horizontal="center" vertical="center"/>
    </xf>
    <xf numFmtId="172" fontId="31" fillId="0" borderId="0" xfId="38" applyNumberFormat="1" applyFont="1" applyAlignment="1">
      <alignment horizontal="right" vertical="center"/>
    </xf>
    <xf numFmtId="173" fontId="31" fillId="0" borderId="0" xfId="38" applyNumberFormat="1" applyFont="1" applyAlignment="1">
      <alignment horizontal="right" vertical="center"/>
    </xf>
    <xf numFmtId="0" fontId="32" fillId="0" borderId="0" xfId="38" applyFont="1" applyBorder="1" applyAlignment="1">
      <alignment horizontal="center" vertical="center"/>
    </xf>
    <xf numFmtId="0" fontId="32" fillId="0" borderId="0" xfId="38" applyFont="1" applyAlignment="1">
      <alignment horizontal="center" vertical="center"/>
    </xf>
    <xf numFmtId="0" fontId="31" fillId="0" borderId="0" xfId="38" applyFont="1" applyAlignment="1"/>
    <xf numFmtId="0" fontId="31" fillId="30" borderId="64" xfId="38" applyFont="1" applyFill="1" applyBorder="1" applyAlignment="1">
      <alignment vertical="center"/>
    </xf>
    <xf numFmtId="0" fontId="0" fillId="0" borderId="74" xfId="0" applyBorder="1" applyAlignment="1"/>
    <xf numFmtId="0" fontId="31" fillId="30" borderId="27" xfId="38" applyFont="1" applyFill="1" applyBorder="1" applyAlignment="1">
      <alignment vertical="center"/>
    </xf>
    <xf numFmtId="0" fontId="0" fillId="0" borderId="79" xfId="0" applyBorder="1" applyAlignment="1"/>
    <xf numFmtId="0" fontId="31" fillId="28" borderId="27" xfId="38" applyFont="1" applyFill="1" applyBorder="1" applyAlignment="1">
      <alignment vertical="center"/>
    </xf>
    <xf numFmtId="0" fontId="35" fillId="0" borderId="0" xfId="0" applyFont="1" applyAlignment="1">
      <alignment vertical="center"/>
    </xf>
    <xf numFmtId="0" fontId="31" fillId="0" borderId="49" xfId="0" applyFont="1" applyBorder="1" applyAlignment="1">
      <alignment horizontal="left" vertical="center"/>
    </xf>
    <xf numFmtId="0" fontId="31" fillId="0" borderId="89" xfId="0" applyFont="1" applyBorder="1" applyAlignment="1">
      <alignment vertical="center"/>
    </xf>
    <xf numFmtId="0" fontId="31" fillId="0" borderId="0" xfId="0" applyFont="1" applyBorder="1" applyAlignment="1">
      <alignment horizontal="left" vertical="center"/>
    </xf>
    <xf numFmtId="0" fontId="31" fillId="0" borderId="0" xfId="0" applyFont="1" applyBorder="1" applyAlignment="1">
      <alignment vertical="center"/>
    </xf>
    <xf numFmtId="0" fontId="31" fillId="0" borderId="40" xfId="0" applyFont="1" applyBorder="1" applyAlignment="1">
      <alignment horizontal="center" vertical="center" wrapText="1"/>
    </xf>
    <xf numFmtId="0" fontId="31" fillId="0" borderId="41" xfId="0" applyFont="1" applyBorder="1" applyAlignment="1">
      <alignment horizontal="center" vertical="center" wrapText="1"/>
    </xf>
    <xf numFmtId="183" fontId="32" fillId="0" borderId="39" xfId="0" applyNumberFormat="1" applyFont="1" applyBorder="1" applyAlignment="1">
      <alignment horizontal="right" vertical="center"/>
    </xf>
    <xf numFmtId="183" fontId="32" fillId="0" borderId="81" xfId="0" applyNumberFormat="1" applyFont="1" applyBorder="1" applyAlignment="1">
      <alignment horizontal="right" vertical="center"/>
    </xf>
    <xf numFmtId="183" fontId="32" fillId="0" borderId="84" xfId="0" applyNumberFormat="1" applyFont="1" applyBorder="1" applyAlignment="1">
      <alignment horizontal="right" vertical="center"/>
    </xf>
    <xf numFmtId="0" fontId="31" fillId="31" borderId="0" xfId="0" applyFont="1" applyFill="1" applyBorder="1" applyAlignment="1">
      <alignment horizontal="left" vertical="top" wrapText="1"/>
    </xf>
    <xf numFmtId="0" fontId="32" fillId="0" borderId="0" xfId="0" applyFont="1" applyBorder="1" applyAlignment="1">
      <alignment horizontal="center" vertical="center"/>
    </xf>
    <xf numFmtId="0" fontId="31" fillId="31" borderId="29" xfId="0" applyFont="1" applyFill="1" applyBorder="1" applyAlignment="1">
      <alignment vertical="center"/>
    </xf>
    <xf numFmtId="0" fontId="31" fillId="0" borderId="54" xfId="0" applyFont="1" applyBorder="1" applyAlignment="1">
      <alignment horizontal="center" vertical="center" wrapText="1"/>
    </xf>
    <xf numFmtId="0" fontId="31" fillId="0" borderId="12" xfId="0" applyFont="1" applyBorder="1" applyAlignment="1">
      <alignment horizontal="center" vertical="center" wrapText="1"/>
    </xf>
    <xf numFmtId="0" fontId="31" fillId="0" borderId="67" xfId="0" applyFont="1" applyBorder="1" applyAlignment="1">
      <alignment horizontal="center" vertical="center" wrapText="1"/>
    </xf>
    <xf numFmtId="0" fontId="31" fillId="0" borderId="94" xfId="0" applyFont="1" applyBorder="1" applyAlignment="1">
      <alignment horizontal="center" vertical="center" wrapText="1"/>
    </xf>
    <xf numFmtId="0" fontId="31" fillId="0" borderId="69" xfId="0" applyFont="1" applyBorder="1" applyAlignment="1">
      <alignment horizontal="center" vertical="center" wrapText="1"/>
    </xf>
    <xf numFmtId="0" fontId="31" fillId="0" borderId="93" xfId="0" applyFont="1" applyBorder="1" applyAlignment="1">
      <alignment horizontal="center" vertical="center" wrapText="1"/>
    </xf>
    <xf numFmtId="0" fontId="32" fillId="0" borderId="39" xfId="0" applyFont="1" applyFill="1" applyBorder="1" applyAlignment="1">
      <alignment horizontal="right" vertical="center" wrapText="1"/>
    </xf>
    <xf numFmtId="0" fontId="32" fillId="0" borderId="81" xfId="0" applyFont="1" applyFill="1" applyBorder="1" applyAlignment="1">
      <alignment horizontal="right" vertical="center" wrapText="1"/>
    </xf>
    <xf numFmtId="0" fontId="32" fillId="0" borderId="84" xfId="0" applyFont="1" applyFill="1" applyBorder="1" applyAlignment="1">
      <alignment horizontal="right" vertical="center" wrapText="1"/>
    </xf>
    <xf numFmtId="0" fontId="31" fillId="0" borderId="89" xfId="0" applyFont="1" applyBorder="1" applyAlignment="1">
      <alignment horizontal="left" vertical="center"/>
    </xf>
    <xf numFmtId="0" fontId="31" fillId="31" borderId="0" xfId="0" applyFont="1" applyFill="1"/>
    <xf numFmtId="0" fontId="0" fillId="31" borderId="73" xfId="0" applyFill="1" applyBorder="1" applyAlignment="1">
      <alignment horizontal="left" vertical="center" wrapText="1"/>
    </xf>
    <xf numFmtId="0" fontId="32" fillId="0" borderId="49" xfId="0" applyFont="1" applyBorder="1" applyAlignment="1">
      <alignment vertical="center" wrapText="1"/>
    </xf>
    <xf numFmtId="0" fontId="0" fillId="0" borderId="89" xfId="0" applyBorder="1" applyAlignment="1">
      <alignment vertical="center" wrapText="1"/>
    </xf>
    <xf numFmtId="0" fontId="31" fillId="0" borderId="62" xfId="0" applyFont="1" applyBorder="1" applyAlignment="1">
      <alignment horizontal="center" vertical="center" textRotation="90" wrapText="1"/>
    </xf>
    <xf numFmtId="0" fontId="0" fillId="0" borderId="40" xfId="0" applyBorder="1" applyAlignment="1">
      <alignment vertical="center" wrapText="1"/>
    </xf>
    <xf numFmtId="0" fontId="31" fillId="0" borderId="48" xfId="0" applyFont="1" applyBorder="1" applyAlignment="1">
      <alignment horizontal="center" vertical="center" textRotation="90" wrapText="1"/>
    </xf>
    <xf numFmtId="0" fontId="0" fillId="0" borderId="42" xfId="0" applyBorder="1" applyAlignment="1">
      <alignment vertical="center" wrapText="1"/>
    </xf>
    <xf numFmtId="0" fontId="31" fillId="24" borderId="53" xfId="0" applyFont="1" applyFill="1" applyBorder="1" applyAlignment="1">
      <alignment horizontal="center" wrapText="1"/>
    </xf>
    <xf numFmtId="0" fontId="31" fillId="24" borderId="18" xfId="0" applyFont="1" applyFill="1" applyBorder="1" applyAlignment="1">
      <alignment horizontal="center" wrapText="1"/>
    </xf>
    <xf numFmtId="0" fontId="31" fillId="24" borderId="51" xfId="0" applyFont="1" applyFill="1" applyBorder="1" applyAlignment="1">
      <alignment horizontal="center" wrapText="1"/>
    </xf>
    <xf numFmtId="0" fontId="31" fillId="24" borderId="19" xfId="0" applyFont="1" applyFill="1" applyBorder="1" applyAlignment="1">
      <alignment horizontal="center" wrapText="1"/>
    </xf>
    <xf numFmtId="0" fontId="31" fillId="24" borderId="51" xfId="0" applyFont="1" applyFill="1" applyBorder="1" applyAlignment="1">
      <alignment horizontal="center" vertical="center" wrapText="1"/>
    </xf>
    <xf numFmtId="0" fontId="31" fillId="24" borderId="19" xfId="0" applyFont="1" applyFill="1" applyBorder="1" applyAlignment="1">
      <alignment horizontal="center" vertical="center" wrapText="1"/>
    </xf>
    <xf numFmtId="0" fontId="31" fillId="24" borderId="50" xfId="0" applyFont="1" applyFill="1" applyBorder="1" applyAlignment="1">
      <alignment horizontal="center" wrapText="1"/>
    </xf>
    <xf numFmtId="0" fontId="31" fillId="24" borderId="52" xfId="0" applyFont="1" applyFill="1" applyBorder="1" applyAlignment="1">
      <alignment horizontal="center" wrapText="1"/>
    </xf>
    <xf numFmtId="0" fontId="31" fillId="0" borderId="0" xfId="38" applyFont="1" applyAlignment="1">
      <alignment horizontal="left" vertical="top" wrapText="1"/>
    </xf>
    <xf numFmtId="0" fontId="34" fillId="0" borderId="0" xfId="38" applyFont="1" applyAlignment="1">
      <alignment horizontal="center" vertical="center" wrapText="1"/>
    </xf>
    <xf numFmtId="0" fontId="31" fillId="28" borderId="54" xfId="38" applyFont="1" applyFill="1" applyBorder="1" applyAlignment="1">
      <alignment horizontal="center" vertical="center" wrapText="1"/>
    </xf>
    <xf numFmtId="0" fontId="31" fillId="28" borderId="15" xfId="38" applyFont="1" applyFill="1" applyBorder="1" applyAlignment="1">
      <alignment horizontal="center" vertical="center" wrapText="1"/>
    </xf>
    <xf numFmtId="0" fontId="31" fillId="28" borderId="12" xfId="38" applyFont="1" applyFill="1" applyBorder="1" applyAlignment="1">
      <alignment horizontal="center" vertical="center" wrapText="1"/>
    </xf>
    <xf numFmtId="0" fontId="31" fillId="28" borderId="56" xfId="38" applyFont="1" applyFill="1" applyBorder="1" applyAlignment="1">
      <alignment horizontal="center" vertical="center" wrapText="1"/>
    </xf>
    <xf numFmtId="0" fontId="31" fillId="28" borderId="28" xfId="38" applyFont="1" applyFill="1" applyBorder="1" applyAlignment="1">
      <alignment horizontal="center" vertical="center" wrapText="1"/>
    </xf>
    <xf numFmtId="0" fontId="31" fillId="28" borderId="14" xfId="38" applyFont="1" applyFill="1" applyBorder="1" applyAlignment="1">
      <alignment horizontal="center" vertical="center" wrapText="1"/>
    </xf>
    <xf numFmtId="0" fontId="31" fillId="31" borderId="0" xfId="38" applyFont="1" applyFill="1" applyAlignment="1">
      <alignment horizontal="left" vertical="center" wrapText="1"/>
    </xf>
    <xf numFmtId="0" fontId="0" fillId="0" borderId="0" xfId="0" applyAlignment="1">
      <alignment wrapText="1"/>
    </xf>
    <xf numFmtId="0" fontId="31" fillId="0" borderId="0" xfId="38" applyFont="1" applyFill="1" applyAlignment="1">
      <alignment horizontal="center"/>
    </xf>
    <xf numFmtId="0" fontId="31" fillId="0" borderId="62" xfId="38" applyFont="1" applyBorder="1" applyAlignment="1">
      <alignment horizontal="center" vertical="center" wrapText="1"/>
    </xf>
    <xf numFmtId="0" fontId="31" fillId="0" borderId="40" xfId="38" applyFont="1" applyBorder="1" applyAlignment="1">
      <alignment horizontal="center" vertical="center" wrapText="1"/>
    </xf>
    <xf numFmtId="0" fontId="31" fillId="0" borderId="69" xfId="38" applyFont="1" applyFill="1" applyBorder="1" applyAlignment="1">
      <alignment horizontal="center" vertical="center" wrapText="1"/>
    </xf>
    <xf numFmtId="0" fontId="31" fillId="0" borderId="93" xfId="38" applyFont="1" applyFill="1" applyBorder="1" applyAlignment="1">
      <alignment horizontal="center" vertical="center" wrapText="1"/>
    </xf>
    <xf numFmtId="0" fontId="31" fillId="0" borderId="61" xfId="38" applyFont="1" applyFill="1" applyBorder="1" applyAlignment="1">
      <alignment horizontal="center" vertical="center" wrapText="1"/>
    </xf>
    <xf numFmtId="0" fontId="31" fillId="0" borderId="41" xfId="38" applyFont="1" applyFill="1" applyBorder="1" applyAlignment="1">
      <alignment horizontal="center" vertical="center" wrapText="1"/>
    </xf>
    <xf numFmtId="0" fontId="31" fillId="0" borderId="48" xfId="38" applyFont="1" applyFill="1" applyBorder="1" applyAlignment="1">
      <alignment horizontal="center" vertical="center" wrapText="1"/>
    </xf>
    <xf numFmtId="0" fontId="31" fillId="0" borderId="42" xfId="38" applyFont="1" applyFill="1" applyBorder="1" applyAlignment="1">
      <alignment horizontal="center" vertical="center" wrapText="1"/>
    </xf>
    <xf numFmtId="0" fontId="31" fillId="28" borderId="72" xfId="38" applyFont="1" applyFill="1" applyBorder="1" applyAlignment="1">
      <alignment horizontal="center" vertical="center" wrapText="1"/>
    </xf>
    <xf numFmtId="0" fontId="0" fillId="0" borderId="66" xfId="0" applyBorder="1" applyAlignment="1">
      <alignment horizontal="center" vertical="center" wrapText="1"/>
    </xf>
    <xf numFmtId="0" fontId="31" fillId="28" borderId="65" xfId="38" applyFont="1" applyFill="1" applyBorder="1" applyAlignment="1">
      <alignment horizontal="center" vertical="center" wrapText="1"/>
    </xf>
    <xf numFmtId="0" fontId="0" fillId="0" borderId="65" xfId="0" applyBorder="1"/>
    <xf numFmtId="0" fontId="31" fillId="0" borderId="33" xfId="38" applyFont="1" applyFill="1" applyBorder="1" applyAlignment="1">
      <alignment horizontal="center" vertical="center" wrapText="1"/>
    </xf>
    <xf numFmtId="0" fontId="31" fillId="0" borderId="18" xfId="38" applyFont="1" applyFill="1" applyBorder="1" applyAlignment="1">
      <alignment horizontal="center" vertical="center" wrapText="1"/>
    </xf>
    <xf numFmtId="0" fontId="31" fillId="28" borderId="66" xfId="38" applyFont="1" applyFill="1" applyBorder="1" applyAlignment="1">
      <alignment horizontal="center" vertical="center" wrapText="1"/>
    </xf>
    <xf numFmtId="0" fontId="31" fillId="28" borderId="49" xfId="38" applyFont="1" applyFill="1" applyBorder="1" applyAlignment="1">
      <alignment horizontal="center" vertical="center" wrapText="1"/>
    </xf>
    <xf numFmtId="0" fontId="0" fillId="28" borderId="43" xfId="0" applyFill="1" applyBorder="1" applyAlignment="1">
      <alignment horizontal="center" vertical="center"/>
    </xf>
    <xf numFmtId="0" fontId="31" fillId="0" borderId="51" xfId="38" applyFont="1" applyFill="1" applyBorder="1" applyAlignment="1">
      <alignment horizontal="center" vertical="center" wrapText="1"/>
    </xf>
    <xf numFmtId="0" fontId="31" fillId="0" borderId="19" xfId="38" applyFont="1" applyFill="1" applyBorder="1" applyAlignment="1">
      <alignment horizontal="center" vertical="center" wrapText="1"/>
    </xf>
    <xf numFmtId="0" fontId="31" fillId="31" borderId="0" xfId="38" applyNumberFormat="1" applyFont="1" applyFill="1" applyBorder="1" applyAlignment="1">
      <alignment horizontal="left" vertical="center" wrapText="1"/>
    </xf>
    <xf numFmtId="0" fontId="32" fillId="0" borderId="39" xfId="38" applyFont="1" applyBorder="1" applyAlignment="1">
      <alignment horizontal="center" vertical="center"/>
    </xf>
    <xf numFmtId="0" fontId="32" fillId="0" borderId="81" xfId="38" applyFont="1" applyBorder="1" applyAlignment="1">
      <alignment horizontal="center" vertical="center"/>
    </xf>
    <xf numFmtId="0" fontId="32" fillId="0" borderId="84" xfId="38" applyFont="1" applyBorder="1" applyAlignment="1">
      <alignment horizontal="center" vertical="center"/>
    </xf>
    <xf numFmtId="0" fontId="31" fillId="0" borderId="10" xfId="38" applyFont="1" applyBorder="1" applyAlignment="1">
      <alignment horizontal="center" vertical="center" wrapText="1"/>
    </xf>
    <xf numFmtId="0" fontId="31" fillId="0" borderId="51" xfId="38" applyFont="1" applyBorder="1" applyAlignment="1">
      <alignment horizontal="center" vertical="center" wrapText="1"/>
    </xf>
    <xf numFmtId="0" fontId="31" fillId="0" borderId="11" xfId="38" applyFont="1" applyFill="1" applyBorder="1" applyAlignment="1">
      <alignment horizontal="center" vertical="center" wrapText="1"/>
    </xf>
    <xf numFmtId="0" fontId="31" fillId="0" borderId="30" xfId="38" applyFont="1" applyFill="1" applyBorder="1" applyAlignment="1">
      <alignment horizontal="center" vertical="center" wrapText="1"/>
    </xf>
    <xf numFmtId="0" fontId="31" fillId="24" borderId="54" xfId="38" applyFont="1" applyFill="1" applyBorder="1" applyAlignment="1">
      <alignment horizontal="center" vertical="center"/>
    </xf>
    <xf numFmtId="0" fontId="31" fillId="28" borderId="56" xfId="38" applyFont="1" applyFill="1" applyBorder="1" applyAlignment="1">
      <alignment horizontal="center" vertical="center"/>
    </xf>
    <xf numFmtId="0" fontId="31" fillId="0" borderId="32" xfId="38" applyFont="1" applyFill="1" applyBorder="1" applyAlignment="1">
      <alignment horizontal="center" vertical="center" wrapText="1"/>
    </xf>
    <xf numFmtId="0" fontId="2" fillId="0" borderId="17" xfId="38" applyBorder="1" applyAlignment="1">
      <alignment horizontal="center" vertical="center" wrapText="1"/>
    </xf>
    <xf numFmtId="0" fontId="2" fillId="0" borderId="18" xfId="38" applyBorder="1" applyAlignment="1">
      <alignment horizontal="center" vertical="center" wrapText="1"/>
    </xf>
    <xf numFmtId="0" fontId="31" fillId="31" borderId="73" xfId="38" applyFont="1" applyFill="1" applyBorder="1" applyAlignment="1">
      <alignment horizontal="left" vertical="center"/>
    </xf>
    <xf numFmtId="0" fontId="31" fillId="24" borderId="78" xfId="38" applyFont="1" applyFill="1" applyBorder="1" applyAlignment="1">
      <alignment horizontal="center" vertical="center"/>
    </xf>
    <xf numFmtId="0" fontId="31" fillId="24" borderId="80" xfId="38" applyFont="1" applyFill="1" applyBorder="1" applyAlignment="1">
      <alignment horizontal="center" vertical="center"/>
    </xf>
    <xf numFmtId="0" fontId="31" fillId="29" borderId="0" xfId="0" applyFont="1" applyFill="1" applyBorder="1" applyAlignment="1">
      <alignment horizontal="center" vertical="center"/>
    </xf>
    <xf numFmtId="0" fontId="31" fillId="0" borderId="0" xfId="38" quotePrefix="1" applyFont="1" applyAlignment="1">
      <alignment horizontal="left" wrapText="1"/>
    </xf>
    <xf numFmtId="0" fontId="0" fillId="0" borderId="0" xfId="0"/>
    <xf numFmtId="0" fontId="35" fillId="0" borderId="0" xfId="38" applyFont="1" applyAlignment="1"/>
    <xf numFmtId="0" fontId="31" fillId="0" borderId="53" xfId="38" applyFont="1" applyFill="1" applyBorder="1" applyAlignment="1">
      <alignment horizontal="center" vertical="center" wrapText="1"/>
    </xf>
    <xf numFmtId="0" fontId="31" fillId="31" borderId="0" xfId="38" applyFont="1" applyFill="1" applyAlignment="1">
      <alignment horizontal="left" vertical="top" wrapText="1"/>
    </xf>
    <xf numFmtId="0" fontId="31" fillId="0" borderId="80" xfId="38" applyFont="1" applyBorder="1" applyAlignment="1">
      <alignment horizontal="center" vertical="center"/>
    </xf>
    <xf numFmtId="0" fontId="31" fillId="0" borderId="66" xfId="38" applyFont="1" applyBorder="1" applyAlignment="1">
      <alignment horizontal="center" vertical="center"/>
    </xf>
    <xf numFmtId="0" fontId="31" fillId="0" borderId="61" xfId="38" applyFont="1" applyBorder="1" applyAlignment="1">
      <alignment horizontal="center" vertical="center" wrapText="1"/>
    </xf>
    <xf numFmtId="0" fontId="31" fillId="0" borderId="53" xfId="38" applyFont="1" applyBorder="1" applyAlignment="1">
      <alignment horizontal="center" vertical="center" wrapText="1"/>
    </xf>
    <xf numFmtId="0" fontId="31" fillId="0" borderId="41" xfId="38" applyFont="1" applyBorder="1" applyAlignment="1">
      <alignment horizontal="center" vertical="center" wrapText="1"/>
    </xf>
    <xf numFmtId="0" fontId="31" fillId="0" borderId="33" xfId="38" applyFont="1" applyBorder="1" applyAlignment="1">
      <alignment horizontal="center" vertical="center" wrapText="1"/>
    </xf>
    <xf numFmtId="0" fontId="31" fillId="0" borderId="53" xfId="38" applyFont="1" applyBorder="1" applyAlignment="1">
      <alignment horizontal="center" vertical="center"/>
    </xf>
    <xf numFmtId="0" fontId="31" fillId="0" borderId="41" xfId="38" applyFont="1" applyBorder="1" applyAlignment="1">
      <alignment horizontal="center" vertical="center"/>
    </xf>
    <xf numFmtId="0" fontId="31" fillId="0" borderId="32" xfId="38" applyFont="1" applyBorder="1" applyAlignment="1">
      <alignment horizontal="center" vertical="center" wrapText="1"/>
    </xf>
    <xf numFmtId="0" fontId="31" fillId="0" borderId="44" xfId="38" applyFont="1" applyBorder="1" applyAlignment="1">
      <alignment horizontal="center" vertical="center" wrapText="1"/>
    </xf>
    <xf numFmtId="0" fontId="31" fillId="0" borderId="11" xfId="38" applyFont="1" applyBorder="1" applyAlignment="1">
      <alignment horizontal="center" vertical="center" wrapText="1"/>
    </xf>
    <xf numFmtId="0" fontId="31" fillId="0" borderId="42" xfId="38" applyFont="1" applyBorder="1" applyAlignment="1">
      <alignment horizontal="center" vertical="center" wrapText="1"/>
    </xf>
    <xf numFmtId="0" fontId="31" fillId="0" borderId="72" xfId="38" applyFont="1" applyFill="1" applyBorder="1" applyAlignment="1">
      <alignment horizontal="center" vertical="center"/>
    </xf>
    <xf numFmtId="0" fontId="31" fillId="0" borderId="0" xfId="0" applyFont="1" applyFill="1" applyBorder="1" applyAlignment="1">
      <alignment horizontal="left" vertical="top" wrapText="1"/>
    </xf>
    <xf numFmtId="0" fontId="31" fillId="28" borderId="80" xfId="0" applyFont="1" applyFill="1" applyBorder="1" applyAlignment="1">
      <alignment horizontal="center" vertical="center" wrapText="1"/>
    </xf>
    <xf numFmtId="0" fontId="0" fillId="28" borderId="57" xfId="0" applyFill="1" applyBorder="1" applyAlignment="1"/>
    <xf numFmtId="0" fontId="31" fillId="28" borderId="54" xfId="0" applyFont="1" applyFill="1" applyBorder="1" applyAlignment="1">
      <alignment horizontal="center" vertical="center" wrapText="1"/>
    </xf>
    <xf numFmtId="0" fontId="0" fillId="28" borderId="12" xfId="0" applyFill="1" applyBorder="1" applyAlignment="1"/>
    <xf numFmtId="0" fontId="31" fillId="28" borderId="78" xfId="0" applyFont="1" applyFill="1" applyBorder="1" applyAlignment="1">
      <alignment horizontal="center" vertical="center" wrapText="1"/>
    </xf>
    <xf numFmtId="0" fontId="0" fillId="28" borderId="68" xfId="0" applyFill="1" applyBorder="1" applyAlignment="1"/>
    <xf numFmtId="0" fontId="31" fillId="0" borderId="92" xfId="0" applyFont="1" applyBorder="1" applyAlignment="1">
      <alignment horizontal="left" vertical="center"/>
    </xf>
    <xf numFmtId="0" fontId="31" fillId="0" borderId="72" xfId="0" applyFont="1" applyBorder="1" applyAlignment="1">
      <alignment horizontal="center"/>
    </xf>
    <xf numFmtId="0" fontId="31" fillId="0" borderId="65" xfId="0" applyFont="1" applyBorder="1" applyAlignment="1">
      <alignment horizontal="center"/>
    </xf>
    <xf numFmtId="0" fontId="31" fillId="0" borderId="66" xfId="0" applyFont="1" applyBorder="1" applyAlignment="1">
      <alignment horizontal="center"/>
    </xf>
    <xf numFmtId="0" fontId="31" fillId="0" borderId="0" xfId="0" quotePrefix="1" applyFont="1" applyFill="1" applyBorder="1" applyAlignment="1">
      <alignment vertical="top" wrapText="1"/>
    </xf>
    <xf numFmtId="0" fontId="31" fillId="0" borderId="0" xfId="0" applyFont="1" applyAlignment="1">
      <alignment vertical="top" wrapText="1"/>
    </xf>
    <xf numFmtId="0" fontId="32" fillId="28" borderId="39" xfId="0" applyFont="1" applyFill="1" applyBorder="1" applyAlignment="1">
      <alignment horizontal="center" vertical="center"/>
    </xf>
    <xf numFmtId="0" fontId="0" fillId="0" borderId="81" xfId="0" applyBorder="1" applyAlignment="1">
      <alignment horizontal="center" vertical="center"/>
    </xf>
    <xf numFmtId="0" fontId="0" fillId="0" borderId="84" xfId="0" applyBorder="1" applyAlignment="1">
      <alignment horizontal="center" vertical="center"/>
    </xf>
    <xf numFmtId="0" fontId="31" fillId="31" borderId="35" xfId="0" applyFont="1" applyFill="1" applyBorder="1" applyAlignment="1">
      <alignment vertical="center"/>
    </xf>
    <xf numFmtId="0" fontId="31" fillId="0" borderId="72" xfId="0" applyFont="1" applyBorder="1" applyAlignment="1">
      <alignment horizontal="center" vertical="center"/>
    </xf>
    <xf numFmtId="0" fontId="31" fillId="0" borderId="65" xfId="0" applyFont="1" applyBorder="1" applyAlignment="1">
      <alignment horizontal="center" vertical="center"/>
    </xf>
    <xf numFmtId="0" fontId="31" fillId="0" borderId="66" xfId="0" applyFont="1" applyBorder="1" applyAlignment="1">
      <alignment horizontal="center" vertical="center"/>
    </xf>
    <xf numFmtId="0" fontId="32" fillId="0" borderId="39" xfId="0" applyFont="1" applyBorder="1" applyAlignment="1">
      <alignment horizontal="center" vertical="center"/>
    </xf>
    <xf numFmtId="0" fontId="32" fillId="0" borderId="81" xfId="0" applyFont="1" applyBorder="1" applyAlignment="1">
      <alignment horizontal="center" vertical="center"/>
    </xf>
    <xf numFmtId="0" fontId="32" fillId="0" borderId="84" xfId="0" applyFont="1" applyBorder="1" applyAlignment="1">
      <alignment horizontal="center" vertical="center"/>
    </xf>
    <xf numFmtId="0" fontId="31" fillId="0" borderId="10" xfId="0" applyFont="1" applyBorder="1" applyAlignment="1">
      <alignment horizontal="center" vertical="center" wrapText="1"/>
    </xf>
    <xf numFmtId="0" fontId="32" fillId="28" borderId="0" xfId="0" applyFont="1" applyFill="1" applyBorder="1" applyAlignment="1">
      <alignment horizontal="center" vertical="center" wrapText="1"/>
    </xf>
    <xf numFmtId="0" fontId="32" fillId="28" borderId="35" xfId="0" applyFont="1" applyFill="1" applyBorder="1" applyAlignment="1">
      <alignment horizontal="center" vertical="center" wrapText="1"/>
    </xf>
    <xf numFmtId="0" fontId="32" fillId="28" borderId="45" xfId="0" applyFont="1" applyFill="1" applyBorder="1"/>
    <xf numFmtId="0" fontId="32" fillId="28" borderId="0" xfId="0" applyFont="1" applyFill="1"/>
    <xf numFmtId="0" fontId="31" fillId="0" borderId="56" xfId="0" applyFont="1" applyBorder="1" applyAlignment="1">
      <alignment vertical="center" wrapText="1"/>
    </xf>
    <xf numFmtId="0" fontId="31" fillId="0" borderId="14" xfId="0" applyFont="1" applyBorder="1" applyAlignment="1">
      <alignment vertical="center" wrapText="1"/>
    </xf>
    <xf numFmtId="0" fontId="31" fillId="0" borderId="0" xfId="0" applyFont="1" applyAlignment="1">
      <alignment horizontal="center" vertical="top" wrapText="1"/>
    </xf>
    <xf numFmtId="0" fontId="31" fillId="29" borderId="35" xfId="0" applyFont="1" applyFill="1" applyBorder="1" applyAlignment="1">
      <alignment horizontal="left" vertical="center"/>
    </xf>
    <xf numFmtId="0" fontId="34" fillId="0" borderId="0" xfId="0" applyFont="1" applyFill="1" applyBorder="1" applyAlignment="1">
      <alignment horizontal="center" vertical="center"/>
    </xf>
    <xf numFmtId="0" fontId="40" fillId="0" borderId="0" xfId="0" applyFont="1" applyFill="1" applyBorder="1" applyAlignment="1">
      <alignment horizontal="left" vertical="center"/>
    </xf>
    <xf numFmtId="0" fontId="31" fillId="30" borderId="29" xfId="0" applyFont="1" applyFill="1" applyBorder="1" applyAlignment="1">
      <alignment horizontal="center" vertical="center"/>
    </xf>
    <xf numFmtId="0" fontId="31" fillId="0" borderId="0" xfId="0" applyFont="1" applyAlignment="1">
      <alignment horizontal="left" vertical="center"/>
    </xf>
    <xf numFmtId="0" fontId="31" fillId="0" borderId="0" xfId="0" applyFont="1" applyAlignment="1">
      <alignment horizontal="left"/>
    </xf>
  </cellXfs>
  <cellStyles count="46">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urrency 2" xfId="28"/>
    <cellStyle name="Explanatory Text" xfId="29" builtinId="53" customBuiltin="1"/>
    <cellStyle name="Good" xfId="30" builtinId="26" customBuiltin="1"/>
    <cellStyle name="Heading 1" xfId="31" builtinId="16" customBuiltin="1"/>
    <cellStyle name="Heading 2" xfId="32" builtinId="17" customBuiltin="1"/>
    <cellStyle name="Heading 3" xfId="33" builtinId="18" customBuiltin="1"/>
    <cellStyle name="Heading 4" xfId="34" builtinId="19" customBuiltin="1"/>
    <cellStyle name="Input" xfId="35" builtinId="20" customBuiltin="1"/>
    <cellStyle name="Linked Cell" xfId="36" builtinId="24" customBuiltin="1"/>
    <cellStyle name="Neutral" xfId="37" builtinId="28" customBuiltin="1"/>
    <cellStyle name="Normal" xfId="0" builtinId="0"/>
    <cellStyle name="Normal 2" xfId="38"/>
    <cellStyle name="Normal 3" xfId="39"/>
    <cellStyle name="Note" xfId="40" builtinId="10" customBuiltin="1"/>
    <cellStyle name="Output" xfId="41" builtinId="21" customBuiltin="1"/>
    <cellStyle name="Percent 2" xfId="42"/>
    <cellStyle name="Title" xfId="43" builtinId="15" customBuiltin="1"/>
    <cellStyle name="Total" xfId="44" builtinId="25" customBuiltin="1"/>
    <cellStyle name="Warning Text" xfId="45" builtinId="11" customBuiltin="1"/>
  </cellStyles>
  <dxfs count="37">
    <dxf>
      <fill>
        <patternFill>
          <bgColor rgb="FF00FF00"/>
        </patternFill>
      </fill>
    </dxf>
    <dxf>
      <fill>
        <patternFill>
          <bgColor rgb="FF00FF00"/>
        </patternFill>
      </fill>
    </dxf>
    <dxf>
      <fill>
        <patternFill>
          <bgColor rgb="FF00FF00"/>
        </patternFill>
      </fill>
    </dxf>
    <dxf>
      <fill>
        <patternFill>
          <bgColor rgb="FF00FF00"/>
        </patternFill>
      </fill>
      <border>
        <bottom style="thin">
          <color indexed="64"/>
        </bottom>
      </border>
    </dxf>
    <dxf>
      <fill>
        <patternFill>
          <bgColor rgb="FF00FF00"/>
        </patternFill>
      </fill>
    </dxf>
    <dxf>
      <fill>
        <patternFill>
          <bgColor rgb="FF00FF00"/>
        </patternFill>
      </fill>
      <border>
        <bottom style="thin">
          <color indexed="64"/>
        </bottom>
      </border>
    </dxf>
    <dxf>
      <fill>
        <patternFill>
          <bgColor rgb="FF00FF00"/>
        </patternFill>
      </fill>
      <border>
        <bottom style="thin">
          <color indexed="64"/>
        </bottom>
      </border>
    </dxf>
    <dxf>
      <fill>
        <patternFill>
          <bgColor rgb="FF00FF00"/>
        </patternFill>
      </fill>
      <border>
        <bottom style="thin">
          <color indexed="64"/>
        </bottom>
      </border>
    </dxf>
    <dxf>
      <fill>
        <patternFill>
          <bgColor rgb="FF00FF00"/>
        </patternFill>
      </fill>
      <border>
        <bottom style="thin">
          <color indexed="64"/>
        </bottom>
      </border>
    </dxf>
    <dxf>
      <fill>
        <patternFill>
          <bgColor rgb="FF00FF00"/>
        </patternFill>
      </fill>
      <border>
        <bottom style="thin">
          <color indexed="64"/>
        </bottom>
      </border>
    </dxf>
    <dxf>
      <fill>
        <patternFill>
          <bgColor rgb="FFFFFF00"/>
        </patternFill>
      </fill>
      <border>
        <bottom style="thin">
          <color indexed="64"/>
        </bottom>
      </border>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lor rgb="FF006600"/>
      </font>
      <fill>
        <patternFill>
          <bgColor rgb="FF92D050"/>
        </patternFill>
      </fill>
    </dxf>
    <dxf>
      <font>
        <condense val="0"/>
        <extend val="0"/>
        <color rgb="FF006100"/>
      </font>
      <fill>
        <patternFill>
          <bgColor rgb="FFC6EFCE"/>
        </patternFill>
      </fill>
    </dxf>
    <dxf>
      <font>
        <color rgb="FF006100"/>
      </font>
      <fill>
        <patternFill>
          <bgColor rgb="FFC6EFCE"/>
        </patternFill>
      </fill>
    </dxf>
    <dxf>
      <fill>
        <patternFill>
          <bgColor rgb="FF00FF00"/>
        </patternFill>
      </fill>
    </dxf>
    <dxf>
      <font>
        <condense val="0"/>
        <extend val="0"/>
        <color rgb="FF006100"/>
      </font>
      <fill>
        <patternFill>
          <bgColor rgb="FFC6EFCE"/>
        </patternFill>
      </fill>
    </dxf>
    <dxf>
      <fill>
        <patternFill>
          <bgColor rgb="FF92D050"/>
        </patternFill>
      </fill>
    </dxf>
    <dxf>
      <fill>
        <patternFill>
          <bgColor rgb="FF92D050"/>
        </patternFill>
      </fill>
    </dxf>
    <dxf>
      <fill>
        <patternFill>
          <bgColor rgb="FFFF0000"/>
        </patternFill>
      </fill>
    </dxf>
    <dxf>
      <fill>
        <patternFill>
          <bgColor rgb="FFFF0000"/>
        </patternFill>
      </fill>
    </dxf>
    <dxf>
      <fill>
        <patternFill>
          <bgColor rgb="FFFF0000"/>
        </patternFill>
      </fill>
    </dxf>
    <dxf>
      <font>
        <condense val="0"/>
        <extend val="0"/>
        <color rgb="FF9C0006"/>
      </font>
      <fill>
        <patternFill>
          <bgColor rgb="FFFFC7CE"/>
        </patternFill>
      </fill>
    </dxf>
    <dxf>
      <fill>
        <patternFill>
          <bgColor rgb="FFFF0000"/>
        </patternFill>
      </fill>
    </dxf>
    <dxf>
      <fill>
        <patternFill>
          <bgColor rgb="FFFF0000"/>
        </patternFill>
      </fill>
    </dxf>
    <dxf>
      <font>
        <color rgb="FF006100"/>
      </font>
      <fill>
        <patternFill>
          <bgColor rgb="FFC6EFCE"/>
        </patternFill>
      </fill>
    </dxf>
    <dxf>
      <font>
        <color rgb="FF006100"/>
      </font>
      <fill>
        <patternFill>
          <bgColor rgb="FFC6EFCE"/>
        </patternFill>
      </fill>
    </dxf>
    <dxf>
      <font>
        <condense val="0"/>
        <extend val="0"/>
        <color rgb="FF006100"/>
      </font>
      <fill>
        <patternFill>
          <bgColor rgb="FFC6EFCE"/>
        </patternFill>
      </fill>
    </dxf>
    <dxf>
      <font>
        <condense val="0"/>
        <extend val="0"/>
        <color rgb="FF9C0006"/>
      </font>
      <fill>
        <patternFill>
          <bgColor rgb="FFFFC7CE"/>
        </patternFill>
      </fill>
    </dxf>
    <dxf>
      <font>
        <condense val="0"/>
        <extend val="0"/>
        <color rgb="FF9C0006"/>
      </font>
      <fill>
        <patternFill>
          <bgColor rgb="FFFFC7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
      <font>
        <condense val="0"/>
        <extend val="0"/>
        <color rgb="FF006100"/>
      </font>
      <fill>
        <patternFill>
          <bgColor rgb="FFC6EFCE"/>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comments" Target="../comments3.xml"/><Relationship Id="rId2" Type="http://schemas.openxmlformats.org/officeDocument/2006/relationships/vmlDrawing" Target="../drawings/vmlDrawing3.v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3" Type="http://schemas.openxmlformats.org/officeDocument/2006/relationships/comments" Target="../comments4.xml"/><Relationship Id="rId2" Type="http://schemas.openxmlformats.org/officeDocument/2006/relationships/vmlDrawing" Target="../drawings/vmlDrawing4.vml"/><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rgb="FF00B0F0"/>
  </sheetPr>
  <dimension ref="A1:AM134"/>
  <sheetViews>
    <sheetView showGridLines="0" tabSelected="1" zoomScale="75" zoomScaleNormal="75" workbookViewId="0">
      <selection sqref="A1:F1"/>
    </sheetView>
  </sheetViews>
  <sheetFormatPr defaultRowHeight="12.75" x14ac:dyDescent="0.2"/>
  <cols>
    <col min="1" max="1" width="1.7109375" customWidth="1"/>
    <col min="2" max="2" width="3.42578125" customWidth="1"/>
    <col min="3" max="3" width="6.85546875" bestFit="1" customWidth="1"/>
    <col min="4" max="4" width="6.28515625" customWidth="1"/>
    <col min="5" max="5" width="114" customWidth="1"/>
    <col min="6" max="6" width="1.7109375" customWidth="1"/>
    <col min="10" max="10" width="12.85546875" customWidth="1"/>
  </cols>
  <sheetData>
    <row r="1" spans="1:39" ht="18" x14ac:dyDescent="0.25">
      <c r="A1" s="1142" t="s">
        <v>955</v>
      </c>
      <c r="B1" s="1142"/>
      <c r="C1" s="1142"/>
      <c r="D1" s="1142"/>
      <c r="E1" s="1142"/>
      <c r="F1" s="1142"/>
      <c r="G1" s="30"/>
      <c r="H1" s="30"/>
      <c r="I1" s="30"/>
      <c r="J1" s="30"/>
      <c r="K1" s="30"/>
      <c r="L1" s="30"/>
      <c r="M1" s="30"/>
      <c r="N1" s="30"/>
      <c r="O1" s="30"/>
      <c r="P1" s="30"/>
      <c r="Q1" s="30"/>
      <c r="R1" s="30"/>
      <c r="S1" s="30"/>
      <c r="T1" s="30"/>
      <c r="U1" s="30"/>
      <c r="V1" s="30"/>
      <c r="W1" s="30"/>
      <c r="X1" s="30"/>
      <c r="Y1" s="30"/>
      <c r="Z1" s="30"/>
      <c r="AA1" s="30"/>
      <c r="AB1" s="30"/>
      <c r="AC1" s="30"/>
      <c r="AD1" s="30"/>
      <c r="AE1" s="30"/>
      <c r="AF1" s="30"/>
      <c r="AG1" s="30"/>
      <c r="AH1" s="30"/>
      <c r="AI1" s="30"/>
      <c r="AJ1" s="30"/>
      <c r="AK1" s="30"/>
    </row>
    <row r="2" spans="1:39" x14ac:dyDescent="0.2">
      <c r="B2" s="30"/>
      <c r="C2" s="30"/>
      <c r="D2" s="30"/>
      <c r="E2" s="30"/>
      <c r="F2" s="30"/>
      <c r="G2" s="30"/>
      <c r="H2" s="30"/>
      <c r="I2" s="30"/>
      <c r="J2" s="30"/>
      <c r="K2" s="30"/>
      <c r="L2" s="30"/>
      <c r="M2" s="30"/>
      <c r="N2" s="30"/>
      <c r="O2" s="30"/>
      <c r="P2" s="30"/>
      <c r="Q2" s="30"/>
      <c r="R2" s="30"/>
      <c r="S2" s="30"/>
      <c r="T2" s="30"/>
      <c r="U2" s="30"/>
      <c r="V2" s="30"/>
      <c r="W2" s="30"/>
      <c r="X2" s="30"/>
      <c r="Y2" s="30"/>
      <c r="Z2" s="30"/>
      <c r="AA2" s="30"/>
      <c r="AB2" s="30"/>
      <c r="AC2" s="30"/>
      <c r="AD2" s="30"/>
      <c r="AE2" s="30"/>
      <c r="AF2" s="30"/>
      <c r="AG2" s="30"/>
      <c r="AH2" s="30"/>
      <c r="AI2" s="30"/>
      <c r="AJ2" s="30"/>
      <c r="AK2" s="30"/>
    </row>
    <row r="3" spans="1:39" ht="13.5" x14ac:dyDescent="0.25">
      <c r="A3" s="860" t="s">
        <v>574</v>
      </c>
      <c r="B3" s="86" t="s">
        <v>503</v>
      </c>
      <c r="C3" s="86"/>
      <c r="D3" s="86"/>
      <c r="E3" s="86"/>
      <c r="F3" s="86"/>
      <c r="G3" s="86"/>
      <c r="H3" s="86"/>
      <c r="I3" s="86"/>
      <c r="J3" s="86"/>
      <c r="K3" s="86"/>
      <c r="L3" s="86"/>
      <c r="M3" s="86"/>
      <c r="N3" s="86"/>
      <c r="O3" s="86"/>
      <c r="P3" s="86"/>
      <c r="Q3" s="86"/>
      <c r="R3" s="86"/>
      <c r="S3" s="86"/>
      <c r="T3" s="86"/>
      <c r="U3" s="86"/>
      <c r="V3" s="86"/>
      <c r="W3" s="86"/>
      <c r="X3" s="86"/>
      <c r="Y3" s="86"/>
      <c r="Z3" s="86"/>
      <c r="AA3" s="86"/>
      <c r="AB3" s="86"/>
      <c r="AC3" s="86"/>
      <c r="AD3" s="86"/>
      <c r="AE3" s="86"/>
      <c r="AF3" s="86"/>
      <c r="AG3" s="86"/>
      <c r="AH3" s="86"/>
      <c r="AI3" s="86"/>
      <c r="AJ3" s="86"/>
      <c r="AK3" s="86"/>
      <c r="AL3" s="10"/>
      <c r="AM3" s="10"/>
    </row>
    <row r="4" spans="1:39" x14ac:dyDescent="0.2">
      <c r="A4" s="861"/>
      <c r="B4" s="86"/>
      <c r="C4" s="790" t="s">
        <v>504</v>
      </c>
      <c r="D4" s="86" t="s">
        <v>505</v>
      </c>
      <c r="E4" s="86"/>
      <c r="F4" s="86"/>
      <c r="G4" s="86"/>
      <c r="H4" s="86"/>
      <c r="I4" s="86"/>
      <c r="J4" s="86"/>
      <c r="K4" s="86"/>
      <c r="L4" s="86"/>
      <c r="M4" s="86"/>
      <c r="N4" s="86"/>
      <c r="O4" s="86"/>
      <c r="P4" s="86"/>
      <c r="Q4" s="86"/>
      <c r="R4" s="86"/>
      <c r="S4" s="86"/>
      <c r="T4" s="86"/>
      <c r="U4" s="86"/>
      <c r="V4" s="86"/>
      <c r="W4" s="86"/>
      <c r="X4" s="86"/>
      <c r="Y4" s="86"/>
      <c r="Z4" s="86"/>
      <c r="AA4" s="86"/>
      <c r="AB4" s="86"/>
      <c r="AC4" s="10"/>
      <c r="AD4" s="10"/>
      <c r="AE4" s="10"/>
      <c r="AF4" s="10"/>
      <c r="AG4" s="10"/>
      <c r="AH4" s="10"/>
      <c r="AI4" s="10"/>
      <c r="AJ4" s="10"/>
      <c r="AK4" s="10"/>
      <c r="AL4" s="10"/>
      <c r="AM4" s="10"/>
    </row>
    <row r="5" spans="1:39" x14ac:dyDescent="0.2">
      <c r="A5" s="861"/>
      <c r="B5" s="86"/>
      <c r="C5" s="791" t="s">
        <v>506</v>
      </c>
      <c r="D5" s="86" t="s">
        <v>509</v>
      </c>
      <c r="E5" s="86"/>
      <c r="F5" s="86"/>
      <c r="G5" s="86"/>
      <c r="H5" s="86"/>
      <c r="I5" s="86"/>
      <c r="J5" s="86"/>
      <c r="K5" s="86"/>
      <c r="L5" s="86"/>
      <c r="M5" s="86"/>
      <c r="N5" s="86"/>
      <c r="O5" s="86"/>
      <c r="P5" s="86"/>
      <c r="Q5" s="86"/>
      <c r="R5" s="86"/>
      <c r="S5" s="86"/>
      <c r="T5" s="86"/>
      <c r="U5" s="86"/>
      <c r="V5" s="86"/>
      <c r="W5" s="86"/>
      <c r="X5" s="86"/>
      <c r="Y5" s="86"/>
      <c r="Z5" s="86"/>
      <c r="AA5" s="86"/>
      <c r="AB5" s="86"/>
      <c r="AC5" s="10"/>
      <c r="AD5" s="10"/>
      <c r="AE5" s="10"/>
      <c r="AF5" s="10"/>
      <c r="AG5" s="10"/>
      <c r="AH5" s="10"/>
      <c r="AI5" s="10"/>
      <c r="AJ5" s="10"/>
      <c r="AK5" s="10"/>
      <c r="AL5" s="10"/>
      <c r="AM5" s="10"/>
    </row>
    <row r="6" spans="1:39" x14ac:dyDescent="0.2">
      <c r="A6" s="861"/>
      <c r="B6" s="86"/>
      <c r="C6" s="792" t="s">
        <v>507</v>
      </c>
      <c r="D6" s="86" t="s">
        <v>508</v>
      </c>
      <c r="E6" s="86"/>
      <c r="F6" s="86"/>
      <c r="G6" s="86"/>
      <c r="H6" s="86"/>
      <c r="I6" s="86"/>
      <c r="J6" s="86"/>
      <c r="K6" s="86"/>
      <c r="L6" s="86"/>
      <c r="M6" s="86"/>
      <c r="N6" s="86"/>
      <c r="O6" s="86"/>
      <c r="P6" s="86"/>
      <c r="Q6" s="86"/>
      <c r="R6" s="86"/>
      <c r="S6" s="86"/>
      <c r="T6" s="86"/>
      <c r="U6" s="86"/>
      <c r="V6" s="86"/>
      <c r="W6" s="86"/>
      <c r="X6" s="86"/>
      <c r="Y6" s="86"/>
      <c r="Z6" s="86"/>
      <c r="AA6" s="86"/>
      <c r="AB6" s="86"/>
      <c r="AC6" s="10"/>
      <c r="AD6" s="10"/>
      <c r="AE6" s="10"/>
      <c r="AF6" s="10"/>
      <c r="AG6" s="10"/>
      <c r="AH6" s="10"/>
      <c r="AI6" s="10"/>
      <c r="AJ6" s="10"/>
      <c r="AK6" s="10"/>
      <c r="AL6" s="10"/>
      <c r="AM6" s="10"/>
    </row>
    <row r="7" spans="1:39" x14ac:dyDescent="0.2">
      <c r="A7" s="861"/>
      <c r="B7" s="86"/>
      <c r="C7" s="793" t="s">
        <v>510</v>
      </c>
      <c r="D7" s="86" t="s">
        <v>511</v>
      </c>
      <c r="E7" s="86"/>
      <c r="F7" s="86"/>
      <c r="G7" s="86"/>
      <c r="H7" s="86"/>
      <c r="I7" s="86"/>
      <c r="J7" s="86"/>
      <c r="K7" s="86"/>
      <c r="L7" s="86"/>
      <c r="M7" s="86"/>
      <c r="N7" s="86"/>
      <c r="O7" s="86"/>
      <c r="P7" s="86"/>
      <c r="Q7" s="86"/>
      <c r="R7" s="86"/>
      <c r="S7" s="86"/>
      <c r="T7" s="86"/>
      <c r="U7" s="86"/>
      <c r="V7" s="86"/>
      <c r="W7" s="86"/>
      <c r="X7" s="86"/>
      <c r="Y7" s="86"/>
      <c r="Z7" s="86"/>
      <c r="AA7" s="86"/>
      <c r="AB7" s="86"/>
      <c r="AC7" s="10"/>
      <c r="AD7" s="10"/>
      <c r="AE7" s="10"/>
      <c r="AF7" s="10"/>
      <c r="AG7" s="10"/>
      <c r="AH7" s="10"/>
      <c r="AI7" s="10"/>
      <c r="AJ7" s="10"/>
      <c r="AK7" s="10"/>
      <c r="AL7" s="10"/>
      <c r="AM7" s="10"/>
    </row>
    <row r="8" spans="1:39" ht="12.75" customHeight="1" x14ac:dyDescent="0.2">
      <c r="A8" s="861"/>
      <c r="B8" s="86"/>
      <c r="C8" s="99"/>
      <c r="D8" s="86"/>
      <c r="E8" s="86"/>
      <c r="F8" s="86"/>
      <c r="G8" s="86"/>
      <c r="H8" s="86"/>
      <c r="I8" s="86"/>
      <c r="J8" s="86"/>
      <c r="K8" s="86"/>
      <c r="L8" s="86"/>
      <c r="M8" s="86"/>
      <c r="N8" s="86"/>
      <c r="O8" s="86"/>
      <c r="P8" s="86"/>
      <c r="Q8" s="86"/>
      <c r="R8" s="86"/>
      <c r="S8" s="86"/>
      <c r="T8" s="86"/>
      <c r="U8" s="86"/>
      <c r="V8" s="86"/>
      <c r="W8" s="86"/>
      <c r="X8" s="86"/>
      <c r="Y8" s="86"/>
      <c r="Z8" s="86"/>
      <c r="AA8" s="86"/>
      <c r="AB8" s="86"/>
      <c r="AC8" s="10"/>
      <c r="AD8" s="10"/>
      <c r="AE8" s="10"/>
      <c r="AF8" s="10"/>
      <c r="AG8" s="10"/>
      <c r="AH8" s="10"/>
      <c r="AI8" s="10"/>
      <c r="AJ8" s="10"/>
      <c r="AK8" s="10"/>
      <c r="AL8" s="10"/>
      <c r="AM8" s="10"/>
    </row>
    <row r="9" spans="1:39" ht="12.75" customHeight="1" x14ac:dyDescent="0.25">
      <c r="A9" s="860" t="s">
        <v>574</v>
      </c>
      <c r="B9" s="86" t="s">
        <v>735</v>
      </c>
      <c r="C9" s="99"/>
      <c r="D9" s="86"/>
      <c r="E9" s="86"/>
      <c r="F9" s="86"/>
      <c r="G9" s="86"/>
      <c r="H9" s="86"/>
      <c r="I9" s="86"/>
      <c r="J9" s="86"/>
      <c r="K9" s="86"/>
      <c r="L9" s="86"/>
      <c r="M9" s="86"/>
      <c r="N9" s="86"/>
      <c r="O9" s="86"/>
      <c r="P9" s="86"/>
      <c r="Q9" s="86"/>
      <c r="R9" s="86"/>
      <c r="S9" s="86"/>
      <c r="T9" s="86"/>
      <c r="U9" s="86"/>
      <c r="V9" s="86"/>
      <c r="W9" s="86"/>
      <c r="X9" s="86"/>
      <c r="Y9" s="86"/>
      <c r="Z9" s="86"/>
      <c r="AA9" s="86"/>
      <c r="AB9" s="86"/>
      <c r="AC9" s="10"/>
      <c r="AD9" s="10"/>
      <c r="AE9" s="10"/>
      <c r="AF9" s="10"/>
      <c r="AG9" s="10"/>
      <c r="AH9" s="10"/>
      <c r="AI9" s="10"/>
      <c r="AJ9" s="10"/>
      <c r="AK9" s="10"/>
      <c r="AL9" s="10"/>
      <c r="AM9" s="10"/>
    </row>
    <row r="10" spans="1:39" x14ac:dyDescent="0.2">
      <c r="A10" s="861"/>
      <c r="B10" s="86"/>
      <c r="C10" s="99"/>
      <c r="D10" s="86"/>
      <c r="E10" s="86"/>
      <c r="F10" s="86"/>
      <c r="G10" s="86"/>
      <c r="H10" s="86"/>
      <c r="I10" s="86"/>
      <c r="J10" s="86"/>
      <c r="K10" s="86"/>
      <c r="L10" s="86"/>
      <c r="M10" s="86"/>
      <c r="N10" s="86"/>
      <c r="O10" s="86"/>
      <c r="P10" s="86"/>
      <c r="Q10" s="86"/>
      <c r="R10" s="86"/>
      <c r="S10" s="86"/>
      <c r="T10" s="86"/>
      <c r="U10" s="86"/>
      <c r="V10" s="86"/>
      <c r="W10" s="86"/>
      <c r="X10" s="86"/>
      <c r="Y10" s="86"/>
      <c r="Z10" s="86"/>
      <c r="AA10" s="86"/>
      <c r="AB10" s="86"/>
      <c r="AC10" s="10"/>
      <c r="AD10" s="10"/>
      <c r="AE10" s="10"/>
      <c r="AF10" s="10"/>
      <c r="AG10" s="10"/>
      <c r="AH10" s="10"/>
      <c r="AI10" s="10"/>
      <c r="AJ10" s="10"/>
      <c r="AK10" s="10"/>
      <c r="AL10" s="10"/>
      <c r="AM10" s="10"/>
    </row>
    <row r="11" spans="1:39" ht="13.5" x14ac:dyDescent="0.25">
      <c r="A11" s="860" t="s">
        <v>574</v>
      </c>
      <c r="B11" s="86" t="s">
        <v>501</v>
      </c>
      <c r="C11" s="99"/>
      <c r="D11" s="86"/>
      <c r="E11" s="86"/>
      <c r="F11" s="86"/>
      <c r="G11" s="86"/>
      <c r="H11" s="86"/>
      <c r="I11" s="86"/>
      <c r="J11" s="86"/>
      <c r="K11" s="86"/>
      <c r="L11" s="86"/>
      <c r="M11" s="86"/>
      <c r="N11" s="86"/>
      <c r="O11" s="86"/>
      <c r="P11" s="86"/>
      <c r="Q11" s="86"/>
      <c r="R11" s="86"/>
      <c r="S11" s="86"/>
      <c r="T11" s="86"/>
      <c r="U11" s="86"/>
      <c r="V11" s="86"/>
      <c r="W11" s="86"/>
      <c r="X11" s="86"/>
      <c r="Y11" s="86"/>
      <c r="Z11" s="86"/>
      <c r="AA11" s="86"/>
      <c r="AB11" s="86"/>
      <c r="AC11" s="10"/>
      <c r="AD11" s="10"/>
      <c r="AE11" s="10"/>
      <c r="AF11" s="10"/>
      <c r="AG11" s="10"/>
      <c r="AH11" s="10"/>
      <c r="AI11" s="10"/>
      <c r="AJ11" s="10"/>
      <c r="AK11" s="10"/>
      <c r="AL11" s="10"/>
      <c r="AM11" s="10"/>
    </row>
    <row r="12" spans="1:39" x14ac:dyDescent="0.2">
      <c r="A12" s="861"/>
      <c r="B12" s="86"/>
      <c r="C12" s="86"/>
      <c r="D12" s="86"/>
      <c r="E12" s="86"/>
      <c r="F12" s="86"/>
      <c r="G12" s="86"/>
      <c r="H12" s="86"/>
      <c r="I12" s="86"/>
      <c r="J12" s="86"/>
      <c r="K12" s="86"/>
      <c r="L12" s="86"/>
      <c r="M12" s="86"/>
      <c r="N12" s="86"/>
      <c r="O12" s="86"/>
      <c r="P12" s="86"/>
      <c r="Q12" s="86"/>
      <c r="R12" s="86"/>
      <c r="S12" s="86"/>
      <c r="T12" s="86"/>
      <c r="U12" s="86"/>
      <c r="V12" s="86"/>
      <c r="W12" s="86"/>
      <c r="X12" s="86"/>
      <c r="Y12" s="86"/>
      <c r="Z12" s="86"/>
      <c r="AA12" s="86"/>
      <c r="AB12" s="86"/>
      <c r="AC12" s="10"/>
      <c r="AD12" s="10"/>
      <c r="AE12" s="10"/>
      <c r="AF12" s="10"/>
      <c r="AG12" s="10"/>
      <c r="AH12" s="10"/>
      <c r="AI12" s="10"/>
      <c r="AJ12" s="10"/>
      <c r="AK12" s="10"/>
      <c r="AL12" s="10"/>
      <c r="AM12" s="10"/>
    </row>
    <row r="13" spans="1:39" ht="13.5" x14ac:dyDescent="0.25">
      <c r="A13" s="860" t="s">
        <v>574</v>
      </c>
      <c r="B13" s="86" t="s">
        <v>502</v>
      </c>
      <c r="C13" s="86"/>
      <c r="D13" s="86"/>
      <c r="E13" s="86"/>
      <c r="F13" s="86"/>
      <c r="G13" s="86"/>
      <c r="H13" s="86"/>
      <c r="I13" s="86"/>
      <c r="J13" s="86"/>
      <c r="K13" s="86"/>
      <c r="L13" s="86"/>
      <c r="M13" s="86"/>
      <c r="N13" s="86"/>
      <c r="O13" s="86"/>
      <c r="P13" s="86"/>
      <c r="Q13" s="86"/>
      <c r="R13" s="86"/>
      <c r="S13" s="86"/>
      <c r="T13" s="86"/>
      <c r="U13" s="86"/>
      <c r="V13" s="86"/>
      <c r="W13" s="86"/>
      <c r="X13" s="86"/>
      <c r="Y13" s="86"/>
      <c r="Z13" s="86"/>
      <c r="AA13" s="86"/>
      <c r="AB13" s="86"/>
      <c r="AC13" s="10"/>
      <c r="AD13" s="10"/>
      <c r="AE13" s="10"/>
      <c r="AF13" s="10"/>
      <c r="AG13" s="10"/>
      <c r="AH13" s="10"/>
      <c r="AI13" s="10"/>
      <c r="AJ13" s="10"/>
      <c r="AK13" s="10"/>
      <c r="AL13" s="10"/>
      <c r="AM13" s="10"/>
    </row>
    <row r="14" spans="1:39" x14ac:dyDescent="0.2">
      <c r="A14" s="861"/>
      <c r="B14" s="86"/>
      <c r="C14" s="86"/>
      <c r="D14" s="86"/>
      <c r="E14" s="86"/>
      <c r="F14" s="86"/>
      <c r="G14" s="86"/>
      <c r="H14" s="86"/>
      <c r="I14" s="86"/>
      <c r="J14" s="86"/>
      <c r="K14" s="86"/>
      <c r="L14" s="86"/>
      <c r="M14" s="86"/>
      <c r="N14" s="86"/>
      <c r="O14" s="86"/>
      <c r="P14" s="86"/>
      <c r="Q14" s="86"/>
      <c r="R14" s="86"/>
      <c r="S14" s="86"/>
      <c r="T14" s="86"/>
      <c r="U14" s="86"/>
      <c r="V14" s="86"/>
      <c r="W14" s="86"/>
      <c r="X14" s="86"/>
      <c r="Y14" s="86"/>
      <c r="Z14" s="86"/>
      <c r="AA14" s="86"/>
      <c r="AB14" s="86"/>
      <c r="AC14" s="10"/>
      <c r="AD14" s="10"/>
      <c r="AE14" s="10"/>
      <c r="AF14" s="10"/>
      <c r="AG14" s="10"/>
      <c r="AH14" s="10"/>
      <c r="AI14" s="10"/>
      <c r="AJ14" s="10"/>
      <c r="AK14" s="10"/>
      <c r="AL14" s="10"/>
      <c r="AM14" s="10"/>
    </row>
    <row r="15" spans="1:39" ht="13.5" x14ac:dyDescent="0.25">
      <c r="A15" s="860" t="s">
        <v>574</v>
      </c>
      <c r="B15" s="86" t="s">
        <v>526</v>
      </c>
      <c r="C15" s="86"/>
      <c r="D15" s="86"/>
      <c r="E15" s="86"/>
      <c r="F15" s="86"/>
      <c r="G15" s="86"/>
      <c r="H15" s="86"/>
      <c r="I15" s="86"/>
      <c r="J15" s="86"/>
      <c r="K15" s="86"/>
      <c r="L15" s="86"/>
      <c r="M15" s="86"/>
      <c r="N15" s="86"/>
      <c r="O15" s="86"/>
      <c r="P15" s="86"/>
      <c r="Q15" s="86"/>
      <c r="R15" s="86"/>
      <c r="S15" s="86"/>
      <c r="T15" s="86"/>
      <c r="U15" s="86"/>
      <c r="V15" s="86"/>
      <c r="W15" s="86"/>
      <c r="X15" s="86"/>
      <c r="Y15" s="86"/>
      <c r="Z15" s="86"/>
      <c r="AA15" s="86"/>
      <c r="AB15" s="86"/>
      <c r="AC15" s="10"/>
      <c r="AD15" s="10"/>
      <c r="AE15" s="10"/>
      <c r="AF15" s="10"/>
      <c r="AG15" s="10"/>
      <c r="AH15" s="10"/>
      <c r="AI15" s="10"/>
      <c r="AJ15" s="10"/>
      <c r="AK15" s="10"/>
      <c r="AL15" s="10"/>
      <c r="AM15" s="10"/>
    </row>
    <row r="16" spans="1:39" x14ac:dyDescent="0.2">
      <c r="A16" s="861"/>
      <c r="B16" s="86"/>
      <c r="C16" s="86"/>
      <c r="D16" s="86"/>
      <c r="E16" s="86"/>
      <c r="F16" s="86"/>
      <c r="G16" s="86"/>
      <c r="H16" s="86"/>
      <c r="I16" s="86"/>
      <c r="J16" s="86"/>
      <c r="K16" s="86"/>
      <c r="L16" s="86"/>
      <c r="M16" s="86"/>
      <c r="N16" s="86"/>
      <c r="O16" s="86"/>
      <c r="P16" s="86"/>
      <c r="Q16" s="86"/>
      <c r="R16" s="86"/>
      <c r="S16" s="86"/>
      <c r="T16" s="86"/>
      <c r="U16" s="86"/>
      <c r="V16" s="86"/>
      <c r="W16" s="86"/>
      <c r="X16" s="86"/>
      <c r="Y16" s="86"/>
      <c r="Z16" s="86"/>
      <c r="AA16" s="86"/>
      <c r="AB16" s="86"/>
      <c r="AC16" s="10"/>
      <c r="AD16" s="10"/>
      <c r="AE16" s="10"/>
      <c r="AF16" s="10"/>
      <c r="AG16" s="10"/>
      <c r="AH16" s="10"/>
      <c r="AI16" s="10"/>
      <c r="AJ16" s="10"/>
      <c r="AK16" s="10"/>
      <c r="AL16" s="10"/>
      <c r="AM16" s="10"/>
    </row>
    <row r="17" spans="1:39" ht="38.25" customHeight="1" x14ac:dyDescent="0.2">
      <c r="A17" s="862" t="s">
        <v>574</v>
      </c>
      <c r="B17" s="1141" t="s">
        <v>847</v>
      </c>
      <c r="C17" s="1141"/>
      <c r="D17" s="1141"/>
      <c r="E17" s="1141"/>
      <c r="F17" s="86"/>
      <c r="G17" s="86"/>
      <c r="H17" s="86"/>
      <c r="I17" s="86"/>
      <c r="J17" s="86"/>
      <c r="K17" s="86"/>
      <c r="L17" s="86"/>
      <c r="M17" s="86"/>
      <c r="N17" s="86"/>
      <c r="O17" s="86"/>
      <c r="P17" s="86"/>
      <c r="Q17" s="86"/>
      <c r="R17" s="86"/>
      <c r="S17" s="86"/>
      <c r="T17" s="86"/>
      <c r="U17" s="86"/>
      <c r="V17" s="86"/>
      <c r="W17" s="86"/>
      <c r="X17" s="86"/>
      <c r="Y17" s="86"/>
      <c r="Z17" s="86"/>
      <c r="AA17" s="86"/>
      <c r="AB17" s="86"/>
      <c r="AC17" s="10"/>
      <c r="AD17" s="10"/>
      <c r="AE17" s="10"/>
      <c r="AF17" s="10"/>
      <c r="AG17" s="10"/>
      <c r="AH17" s="10"/>
      <c r="AI17" s="10"/>
      <c r="AJ17" s="10"/>
      <c r="AK17" s="10"/>
      <c r="AL17" s="10"/>
      <c r="AM17" s="10"/>
    </row>
    <row r="18" spans="1:39" x14ac:dyDescent="0.2">
      <c r="A18" s="861"/>
      <c r="C18" s="86"/>
      <c r="D18" s="86"/>
      <c r="E18" s="86"/>
      <c r="F18" s="86"/>
      <c r="G18" s="86"/>
      <c r="H18" s="86"/>
      <c r="I18" s="86"/>
      <c r="J18" s="86"/>
      <c r="K18" s="86"/>
      <c r="L18" s="86"/>
      <c r="M18" s="86"/>
      <c r="N18" s="86"/>
      <c r="O18" s="86"/>
      <c r="P18" s="86"/>
      <c r="Q18" s="86"/>
      <c r="R18" s="86"/>
      <c r="S18" s="86"/>
      <c r="T18" s="86"/>
      <c r="U18" s="86"/>
      <c r="V18" s="86"/>
      <c r="W18" s="86"/>
      <c r="X18" s="86"/>
      <c r="Y18" s="86"/>
      <c r="Z18" s="86"/>
      <c r="AA18" s="86"/>
      <c r="AB18" s="86"/>
      <c r="AC18" s="10"/>
      <c r="AD18" s="10"/>
      <c r="AE18" s="10"/>
      <c r="AF18" s="10"/>
      <c r="AG18" s="10"/>
      <c r="AH18" s="10"/>
      <c r="AI18" s="10"/>
      <c r="AJ18" s="10"/>
      <c r="AK18" s="10"/>
      <c r="AL18" s="10"/>
      <c r="AM18" s="10"/>
    </row>
    <row r="19" spans="1:39" ht="25.5" customHeight="1" x14ac:dyDescent="0.2">
      <c r="A19" s="862" t="s">
        <v>574</v>
      </c>
      <c r="B19" s="1143" t="s">
        <v>573</v>
      </c>
      <c r="C19" s="1143"/>
      <c r="D19" s="1143"/>
      <c r="E19" s="1143"/>
      <c r="F19" s="127"/>
      <c r="G19" s="127"/>
      <c r="H19" s="127"/>
      <c r="I19" s="127"/>
      <c r="J19" s="127"/>
      <c r="K19" s="86"/>
      <c r="L19" s="86"/>
      <c r="M19" s="86"/>
      <c r="N19" s="86"/>
      <c r="O19" s="86"/>
      <c r="P19" s="86"/>
      <c r="Q19" s="86"/>
      <c r="R19" s="86"/>
      <c r="S19" s="86"/>
      <c r="T19" s="86"/>
      <c r="U19" s="86"/>
      <c r="V19" s="86"/>
      <c r="W19" s="86"/>
      <c r="X19" s="86"/>
      <c r="Y19" s="86"/>
      <c r="Z19" s="86"/>
      <c r="AA19" s="86"/>
      <c r="AB19" s="86"/>
      <c r="AC19" s="10"/>
      <c r="AD19" s="10"/>
      <c r="AE19" s="10"/>
      <c r="AF19" s="10"/>
      <c r="AG19" s="10"/>
      <c r="AH19" s="10"/>
      <c r="AI19" s="10"/>
      <c r="AJ19" s="10"/>
      <c r="AK19" s="10"/>
      <c r="AL19" s="10"/>
      <c r="AM19" s="10"/>
    </row>
    <row r="20" spans="1:39" x14ac:dyDescent="0.2">
      <c r="A20" s="861"/>
      <c r="B20" s="86"/>
      <c r="C20" s="86"/>
      <c r="D20" s="86"/>
      <c r="E20" s="86"/>
      <c r="F20" s="86"/>
      <c r="G20" s="86"/>
      <c r="H20" s="86"/>
      <c r="I20" s="86"/>
      <c r="J20" s="86"/>
      <c r="K20" s="86"/>
      <c r="L20" s="86"/>
      <c r="M20" s="86"/>
      <c r="N20" s="86"/>
      <c r="O20" s="86"/>
      <c r="P20" s="86"/>
      <c r="Q20" s="86"/>
      <c r="R20" s="86"/>
      <c r="S20" s="86"/>
      <c r="T20" s="86"/>
      <c r="U20" s="86"/>
      <c r="V20" s="86"/>
      <c r="W20" s="86"/>
      <c r="X20" s="86"/>
      <c r="Y20" s="86"/>
      <c r="Z20" s="86"/>
      <c r="AA20" s="86"/>
      <c r="AB20" s="86"/>
      <c r="AC20" s="10"/>
      <c r="AD20" s="10"/>
      <c r="AE20" s="10"/>
      <c r="AF20" s="10"/>
      <c r="AG20" s="10"/>
      <c r="AH20" s="10"/>
      <c r="AI20" s="10"/>
      <c r="AJ20" s="10"/>
      <c r="AK20" s="10"/>
      <c r="AL20" s="10"/>
      <c r="AM20" s="10"/>
    </row>
    <row r="21" spans="1:39" ht="13.5" x14ac:dyDescent="0.25">
      <c r="A21" s="860" t="s">
        <v>574</v>
      </c>
      <c r="B21" s="86" t="s">
        <v>512</v>
      </c>
      <c r="C21" s="86"/>
      <c r="D21" s="86"/>
      <c r="E21" s="86"/>
      <c r="F21" s="86"/>
      <c r="G21" s="86"/>
      <c r="H21" s="86"/>
      <c r="I21" s="86"/>
      <c r="J21" s="86"/>
      <c r="K21" s="86"/>
      <c r="L21" s="86"/>
      <c r="M21" s="86"/>
      <c r="N21" s="86"/>
      <c r="O21" s="86"/>
      <c r="P21" s="86"/>
      <c r="Q21" s="86"/>
      <c r="R21" s="86"/>
      <c r="S21" s="86"/>
      <c r="T21" s="86"/>
      <c r="U21" s="86"/>
      <c r="V21" s="86"/>
      <c r="W21" s="86"/>
      <c r="X21" s="86"/>
      <c r="Y21" s="86"/>
      <c r="Z21" s="86"/>
      <c r="AA21" s="86"/>
      <c r="AB21" s="86"/>
      <c r="AC21" s="10"/>
      <c r="AD21" s="10"/>
      <c r="AE21" s="10"/>
      <c r="AF21" s="10"/>
      <c r="AG21" s="10"/>
      <c r="AH21" s="10"/>
      <c r="AI21" s="10"/>
      <c r="AJ21" s="10"/>
      <c r="AK21" s="10"/>
      <c r="AL21" s="10"/>
      <c r="AM21" s="10"/>
    </row>
    <row r="22" spans="1:39" x14ac:dyDescent="0.2">
      <c r="B22" s="86"/>
      <c r="C22" s="86"/>
      <c r="D22" s="790" t="s">
        <v>504</v>
      </c>
      <c r="E22" s="86" t="s">
        <v>514</v>
      </c>
      <c r="F22" s="86"/>
      <c r="G22" s="86"/>
      <c r="H22" s="86"/>
      <c r="I22" s="86"/>
      <c r="J22" s="86"/>
      <c r="K22" s="86"/>
      <c r="L22" s="86"/>
      <c r="M22" s="86"/>
      <c r="N22" s="86"/>
      <c r="O22" s="86"/>
      <c r="P22" s="86"/>
      <c r="Q22" s="86"/>
      <c r="R22" s="86"/>
      <c r="S22" s="86"/>
      <c r="T22" s="86"/>
      <c r="U22" s="86"/>
      <c r="V22" s="86"/>
      <c r="W22" s="86"/>
      <c r="X22" s="86"/>
      <c r="Y22" s="86"/>
      <c r="Z22" s="86"/>
      <c r="AA22" s="86"/>
      <c r="AB22" s="86"/>
      <c r="AC22" s="10"/>
      <c r="AD22" s="10"/>
      <c r="AE22" s="10"/>
      <c r="AF22" s="10"/>
      <c r="AG22" s="10"/>
      <c r="AH22" s="10"/>
      <c r="AI22" s="10"/>
      <c r="AJ22" s="10"/>
      <c r="AK22" s="10"/>
      <c r="AL22" s="10"/>
      <c r="AM22" s="10"/>
    </row>
    <row r="23" spans="1:39" x14ac:dyDescent="0.2">
      <c r="B23" s="86"/>
      <c r="C23" s="86"/>
      <c r="D23" s="791" t="s">
        <v>506</v>
      </c>
      <c r="E23" s="86" t="s">
        <v>513</v>
      </c>
      <c r="F23" s="86"/>
      <c r="G23" s="86"/>
      <c r="H23" s="86"/>
      <c r="I23" s="86"/>
      <c r="J23" s="86"/>
      <c r="K23" s="86"/>
      <c r="L23" s="86"/>
      <c r="M23" s="86"/>
      <c r="N23" s="86"/>
      <c r="O23" s="86"/>
      <c r="P23" s="86"/>
      <c r="Q23" s="86"/>
      <c r="R23" s="86"/>
      <c r="S23" s="86"/>
      <c r="T23" s="86"/>
      <c r="U23" s="86"/>
      <c r="V23" s="86"/>
      <c r="W23" s="86"/>
      <c r="X23" s="86"/>
      <c r="Y23" s="86"/>
      <c r="Z23" s="86"/>
      <c r="AA23" s="86"/>
      <c r="AB23" s="86"/>
      <c r="AC23" s="10"/>
      <c r="AD23" s="10"/>
      <c r="AE23" s="10"/>
      <c r="AF23" s="10"/>
      <c r="AG23" s="10"/>
      <c r="AH23" s="10"/>
      <c r="AI23" s="10"/>
      <c r="AJ23" s="10"/>
      <c r="AK23" s="10"/>
      <c r="AL23" s="10"/>
      <c r="AM23" s="10"/>
    </row>
    <row r="24" spans="1:39" x14ac:dyDescent="0.2">
      <c r="B24" s="86"/>
      <c r="C24" s="86"/>
      <c r="D24" s="793" t="s">
        <v>510</v>
      </c>
      <c r="E24" s="86" t="s">
        <v>524</v>
      </c>
      <c r="F24" s="86"/>
      <c r="G24" s="86"/>
      <c r="H24" s="86"/>
      <c r="I24" s="86"/>
      <c r="J24" s="86"/>
      <c r="K24" s="86"/>
      <c r="L24" s="86"/>
      <c r="M24" s="86"/>
      <c r="N24" s="86"/>
      <c r="O24" s="86"/>
      <c r="P24" s="86"/>
      <c r="Q24" s="86"/>
      <c r="R24" s="86"/>
      <c r="S24" s="86"/>
      <c r="T24" s="86"/>
      <c r="U24" s="86"/>
      <c r="V24" s="86"/>
      <c r="W24" s="86"/>
      <c r="X24" s="86"/>
      <c r="Y24" s="86"/>
      <c r="Z24" s="86"/>
      <c r="AA24" s="86"/>
      <c r="AB24" s="86"/>
      <c r="AC24" s="10"/>
      <c r="AD24" s="10"/>
      <c r="AE24" s="10"/>
      <c r="AF24" s="10"/>
      <c r="AG24" s="10"/>
      <c r="AH24" s="10"/>
      <c r="AI24" s="10"/>
      <c r="AJ24" s="10"/>
      <c r="AK24" s="10"/>
      <c r="AL24" s="10"/>
      <c r="AM24" s="10"/>
    </row>
    <row r="25" spans="1:39" x14ac:dyDescent="0.2">
      <c r="B25" s="86"/>
      <c r="C25" s="86"/>
      <c r="D25" s="957" t="s">
        <v>661</v>
      </c>
      <c r="E25" s="86" t="s">
        <v>662</v>
      </c>
      <c r="F25" s="86"/>
      <c r="G25" s="86"/>
      <c r="H25" s="86"/>
      <c r="I25" s="86"/>
      <c r="J25" s="86"/>
      <c r="K25" s="86"/>
      <c r="L25" s="86"/>
      <c r="M25" s="86"/>
      <c r="N25" s="86"/>
      <c r="O25" s="86"/>
      <c r="P25" s="86"/>
      <c r="Q25" s="86"/>
      <c r="R25" s="86"/>
      <c r="S25" s="86"/>
      <c r="T25" s="86"/>
      <c r="U25" s="86"/>
      <c r="V25" s="86"/>
      <c r="W25" s="86"/>
      <c r="X25" s="86"/>
      <c r="Y25" s="86"/>
      <c r="Z25" s="86"/>
      <c r="AA25" s="86"/>
      <c r="AB25" s="86"/>
      <c r="AC25" s="10"/>
      <c r="AD25" s="10"/>
      <c r="AE25" s="10"/>
      <c r="AF25" s="10"/>
      <c r="AG25" s="10"/>
      <c r="AH25" s="10"/>
      <c r="AI25" s="10"/>
      <c r="AJ25" s="10"/>
      <c r="AK25" s="10"/>
      <c r="AL25" s="10"/>
      <c r="AM25" s="10"/>
    </row>
    <row r="26" spans="1:39" ht="6.75" customHeight="1" x14ac:dyDescent="0.2">
      <c r="B26" s="86"/>
      <c r="C26" s="86"/>
      <c r="D26" s="86"/>
      <c r="E26" s="86"/>
      <c r="F26" s="86"/>
      <c r="G26" s="86"/>
      <c r="H26" s="86"/>
      <c r="I26" s="86"/>
      <c r="J26" s="86"/>
      <c r="K26" s="86"/>
      <c r="L26" s="86"/>
      <c r="M26" s="86"/>
      <c r="N26" s="86"/>
      <c r="O26" s="86"/>
      <c r="P26" s="86"/>
      <c r="Q26" s="86"/>
      <c r="R26" s="86"/>
      <c r="S26" s="86"/>
      <c r="T26" s="86"/>
      <c r="U26" s="86"/>
      <c r="V26" s="86"/>
      <c r="W26" s="86"/>
      <c r="X26" s="86"/>
      <c r="Y26" s="86"/>
      <c r="Z26" s="86"/>
      <c r="AA26" s="86"/>
      <c r="AB26" s="86"/>
      <c r="AC26" s="10"/>
      <c r="AD26" s="10"/>
      <c r="AE26" s="10"/>
      <c r="AF26" s="10"/>
      <c r="AG26" s="10"/>
      <c r="AH26" s="10"/>
      <c r="AI26" s="10"/>
      <c r="AJ26" s="10"/>
      <c r="AK26" s="10"/>
      <c r="AL26" s="10"/>
      <c r="AM26" s="10"/>
    </row>
    <row r="27" spans="1:39" x14ac:dyDescent="0.2">
      <c r="B27" s="86"/>
      <c r="C27" s="86"/>
      <c r="D27" s="86"/>
      <c r="E27" s="86"/>
      <c r="F27" s="86"/>
      <c r="G27" s="86"/>
      <c r="H27" s="86"/>
      <c r="I27" s="86"/>
      <c r="J27" s="86"/>
      <c r="K27" s="86"/>
      <c r="L27" s="86"/>
      <c r="M27" s="86"/>
      <c r="N27" s="86"/>
      <c r="O27" s="86"/>
      <c r="P27" s="86"/>
      <c r="Q27" s="86"/>
      <c r="R27" s="86"/>
      <c r="S27" s="86"/>
      <c r="T27" s="86"/>
      <c r="U27" s="86"/>
      <c r="V27" s="86"/>
      <c r="W27" s="86"/>
      <c r="X27" s="86"/>
      <c r="Y27" s="86"/>
      <c r="Z27" s="86"/>
      <c r="AA27" s="86"/>
      <c r="AB27" s="86"/>
      <c r="AC27" s="10"/>
      <c r="AD27" s="10"/>
      <c r="AE27" s="10"/>
      <c r="AF27" s="10"/>
      <c r="AG27" s="10"/>
      <c r="AH27" s="10"/>
      <c r="AI27" s="10"/>
      <c r="AJ27" s="10"/>
      <c r="AK27" s="10"/>
      <c r="AL27" s="10"/>
      <c r="AM27" s="10"/>
    </row>
    <row r="28" spans="1:39" x14ac:dyDescent="0.2">
      <c r="B28" s="86"/>
      <c r="C28" s="86"/>
      <c r="D28" s="86"/>
      <c r="E28" s="86"/>
      <c r="F28" s="86"/>
      <c r="G28" s="86"/>
      <c r="H28" s="86"/>
      <c r="I28" s="86"/>
      <c r="J28" s="86"/>
      <c r="K28" s="86"/>
      <c r="L28" s="86"/>
      <c r="M28" s="86"/>
      <c r="N28" s="86"/>
      <c r="O28" s="86"/>
      <c r="P28" s="86"/>
      <c r="Q28" s="86"/>
      <c r="R28" s="86"/>
      <c r="S28" s="86"/>
      <c r="T28" s="86"/>
      <c r="U28" s="86"/>
      <c r="V28" s="86"/>
      <c r="W28" s="86"/>
      <c r="X28" s="86"/>
      <c r="Y28" s="86"/>
      <c r="Z28" s="86"/>
      <c r="AA28" s="86"/>
      <c r="AB28" s="86"/>
      <c r="AC28" s="10"/>
      <c r="AD28" s="10"/>
      <c r="AE28" s="10"/>
      <c r="AF28" s="10"/>
      <c r="AG28" s="10"/>
      <c r="AH28" s="10"/>
      <c r="AI28" s="10"/>
      <c r="AJ28" s="10"/>
      <c r="AK28" s="10"/>
      <c r="AL28" s="10"/>
      <c r="AM28" s="10"/>
    </row>
    <row r="29" spans="1:39" x14ac:dyDescent="0.2">
      <c r="B29" s="86"/>
      <c r="C29" s="86"/>
      <c r="D29" s="86"/>
      <c r="E29" s="86"/>
      <c r="F29" s="86"/>
      <c r="G29" s="86"/>
      <c r="H29" s="86"/>
      <c r="I29" s="86"/>
      <c r="J29" s="86"/>
      <c r="K29" s="86"/>
      <c r="L29" s="86"/>
      <c r="M29" s="86"/>
      <c r="N29" s="86"/>
      <c r="O29" s="86"/>
      <c r="P29" s="86"/>
      <c r="Q29" s="86"/>
      <c r="R29" s="86"/>
      <c r="S29" s="86"/>
      <c r="T29" s="86"/>
      <c r="U29" s="86"/>
      <c r="V29" s="86"/>
      <c r="W29" s="86"/>
      <c r="X29" s="86"/>
      <c r="Y29" s="86"/>
      <c r="Z29" s="86"/>
      <c r="AA29" s="86"/>
      <c r="AB29" s="86"/>
      <c r="AC29" s="10"/>
      <c r="AD29" s="10"/>
      <c r="AE29" s="10"/>
      <c r="AF29" s="10"/>
      <c r="AG29" s="10"/>
      <c r="AH29" s="10"/>
      <c r="AI29" s="10"/>
      <c r="AJ29" s="10"/>
      <c r="AK29" s="10"/>
      <c r="AL29" s="10"/>
      <c r="AM29" s="10"/>
    </row>
    <row r="30" spans="1:39" x14ac:dyDescent="0.2">
      <c r="B30" s="86"/>
      <c r="C30" s="86"/>
      <c r="D30" s="86"/>
      <c r="E30" s="86"/>
      <c r="F30" s="86"/>
      <c r="G30" s="86"/>
      <c r="H30" s="86"/>
      <c r="I30" s="86"/>
      <c r="J30" s="86"/>
      <c r="K30" s="86"/>
      <c r="L30" s="86"/>
      <c r="M30" s="86"/>
      <c r="N30" s="86"/>
      <c r="O30" s="86"/>
      <c r="P30" s="86"/>
      <c r="Q30" s="86"/>
      <c r="R30" s="86"/>
      <c r="S30" s="86"/>
      <c r="T30" s="86"/>
      <c r="U30" s="86"/>
      <c r="V30" s="86"/>
      <c r="W30" s="86"/>
      <c r="X30" s="86"/>
      <c r="Y30" s="86"/>
      <c r="Z30" s="86"/>
      <c r="AA30" s="86"/>
      <c r="AB30" s="86"/>
      <c r="AC30" s="10"/>
      <c r="AD30" s="10"/>
      <c r="AE30" s="10"/>
      <c r="AF30" s="10"/>
      <c r="AG30" s="10"/>
      <c r="AH30" s="10"/>
      <c r="AI30" s="10"/>
      <c r="AJ30" s="10"/>
      <c r="AK30" s="10"/>
      <c r="AL30" s="10"/>
      <c r="AM30" s="10"/>
    </row>
    <row r="31" spans="1:39" x14ac:dyDescent="0.2">
      <c r="B31" s="86"/>
      <c r="C31" s="86"/>
      <c r="D31" s="86"/>
      <c r="E31" s="86"/>
      <c r="F31" s="86"/>
      <c r="G31" s="86"/>
      <c r="H31" s="86"/>
      <c r="I31" s="86"/>
      <c r="J31" s="86"/>
      <c r="K31" s="86"/>
      <c r="L31" s="86"/>
      <c r="M31" s="86"/>
      <c r="N31" s="86"/>
      <c r="O31" s="86"/>
      <c r="P31" s="86"/>
      <c r="Q31" s="86"/>
      <c r="R31" s="86"/>
      <c r="S31" s="86"/>
      <c r="T31" s="86"/>
      <c r="U31" s="86"/>
      <c r="V31" s="86"/>
      <c r="W31" s="86"/>
      <c r="X31" s="86"/>
      <c r="Y31" s="86"/>
      <c r="Z31" s="86"/>
      <c r="AA31" s="86"/>
      <c r="AB31" s="86"/>
      <c r="AC31" s="10"/>
      <c r="AD31" s="10"/>
      <c r="AE31" s="10"/>
      <c r="AF31" s="10"/>
      <c r="AG31" s="10"/>
      <c r="AH31" s="10"/>
      <c r="AI31" s="10"/>
      <c r="AJ31" s="10"/>
      <c r="AK31" s="10"/>
      <c r="AL31" s="10"/>
      <c r="AM31" s="10"/>
    </row>
    <row r="32" spans="1:39" x14ac:dyDescent="0.2">
      <c r="B32" s="86"/>
      <c r="C32" s="86"/>
      <c r="D32" s="86"/>
      <c r="E32" s="86"/>
      <c r="F32" s="86"/>
      <c r="G32" s="86"/>
      <c r="H32" s="86"/>
      <c r="I32" s="86"/>
      <c r="J32" s="86"/>
      <c r="K32" s="86"/>
      <c r="L32" s="86"/>
      <c r="M32" s="86"/>
      <c r="N32" s="86"/>
      <c r="O32" s="86"/>
      <c r="P32" s="86"/>
      <c r="Q32" s="86"/>
      <c r="R32" s="86"/>
      <c r="S32" s="86"/>
      <c r="T32" s="86"/>
      <c r="U32" s="86"/>
      <c r="V32" s="86"/>
      <c r="W32" s="86"/>
      <c r="X32" s="86"/>
      <c r="Y32" s="86"/>
      <c r="Z32" s="86"/>
      <c r="AA32" s="86"/>
      <c r="AB32" s="86"/>
      <c r="AC32" s="10"/>
      <c r="AD32" s="10"/>
      <c r="AE32" s="10"/>
      <c r="AF32" s="10"/>
      <c r="AG32" s="10"/>
      <c r="AH32" s="10"/>
      <c r="AI32" s="10"/>
      <c r="AJ32" s="10"/>
      <c r="AK32" s="10"/>
      <c r="AL32" s="10"/>
      <c r="AM32" s="10"/>
    </row>
    <row r="33" spans="2:39" x14ac:dyDescent="0.2">
      <c r="B33" s="86"/>
      <c r="C33" s="86"/>
      <c r="D33" s="86"/>
      <c r="E33" s="86"/>
      <c r="F33" s="86"/>
      <c r="G33" s="86"/>
      <c r="H33" s="86"/>
      <c r="I33" s="86"/>
      <c r="J33" s="86"/>
      <c r="K33" s="86"/>
      <c r="L33" s="86"/>
      <c r="M33" s="86"/>
      <c r="N33" s="86"/>
      <c r="O33" s="86"/>
      <c r="P33" s="86"/>
      <c r="Q33" s="86"/>
      <c r="R33" s="86"/>
      <c r="S33" s="86"/>
      <c r="T33" s="86"/>
      <c r="U33" s="86"/>
      <c r="V33" s="86"/>
      <c r="W33" s="86"/>
      <c r="X33" s="86"/>
      <c r="Y33" s="86"/>
      <c r="Z33" s="86"/>
      <c r="AA33" s="86"/>
      <c r="AB33" s="86"/>
      <c r="AC33" s="10"/>
      <c r="AD33" s="10"/>
      <c r="AE33" s="10"/>
      <c r="AF33" s="10"/>
      <c r="AG33" s="10"/>
      <c r="AH33" s="10"/>
      <c r="AI33" s="10"/>
      <c r="AJ33" s="10"/>
      <c r="AK33" s="10"/>
      <c r="AL33" s="10"/>
      <c r="AM33" s="10"/>
    </row>
    <row r="34" spans="2:39" x14ac:dyDescent="0.2">
      <c r="B34" s="86"/>
      <c r="C34" s="86"/>
      <c r="D34" s="86"/>
      <c r="E34" s="86"/>
      <c r="F34" s="86"/>
      <c r="G34" s="86"/>
      <c r="H34" s="86"/>
      <c r="I34" s="86"/>
      <c r="J34" s="86"/>
      <c r="K34" s="86"/>
      <c r="L34" s="86"/>
      <c r="M34" s="86"/>
      <c r="N34" s="86"/>
      <c r="O34" s="86"/>
      <c r="P34" s="86"/>
      <c r="Q34" s="86"/>
      <c r="R34" s="86"/>
      <c r="S34" s="86"/>
      <c r="T34" s="86"/>
      <c r="U34" s="86"/>
      <c r="V34" s="86"/>
      <c r="W34" s="86"/>
      <c r="X34" s="86"/>
      <c r="Y34" s="86"/>
      <c r="Z34" s="86"/>
      <c r="AA34" s="86"/>
      <c r="AB34" s="86"/>
      <c r="AC34" s="10"/>
      <c r="AD34" s="10"/>
      <c r="AE34" s="10"/>
      <c r="AF34" s="10"/>
      <c r="AG34" s="10"/>
      <c r="AH34" s="10"/>
      <c r="AI34" s="10"/>
      <c r="AJ34" s="10"/>
      <c r="AK34" s="10"/>
      <c r="AL34" s="10"/>
      <c r="AM34" s="10"/>
    </row>
    <row r="35" spans="2:39" x14ac:dyDescent="0.2">
      <c r="B35" s="86"/>
      <c r="C35" s="86"/>
      <c r="D35" s="86"/>
      <c r="E35" s="86"/>
      <c r="F35" s="86"/>
      <c r="G35" s="86"/>
      <c r="H35" s="86"/>
      <c r="I35" s="86"/>
      <c r="J35" s="86"/>
      <c r="K35" s="86"/>
      <c r="L35" s="86"/>
      <c r="M35" s="86"/>
      <c r="N35" s="86"/>
      <c r="O35" s="86"/>
      <c r="P35" s="86"/>
      <c r="Q35" s="86"/>
      <c r="R35" s="86"/>
      <c r="S35" s="86"/>
      <c r="T35" s="86"/>
      <c r="U35" s="86"/>
      <c r="V35" s="86"/>
      <c r="W35" s="86"/>
      <c r="X35" s="86"/>
      <c r="Y35" s="86"/>
      <c r="Z35" s="86"/>
      <c r="AA35" s="86"/>
      <c r="AB35" s="86"/>
      <c r="AC35" s="10"/>
      <c r="AD35" s="10"/>
      <c r="AE35" s="10"/>
      <c r="AF35" s="10"/>
      <c r="AG35" s="10"/>
      <c r="AH35" s="10"/>
      <c r="AI35" s="10"/>
      <c r="AJ35" s="10"/>
      <c r="AK35" s="10"/>
      <c r="AL35" s="10"/>
      <c r="AM35" s="10"/>
    </row>
    <row r="36" spans="2:39" x14ac:dyDescent="0.2">
      <c r="B36" s="86"/>
      <c r="C36" s="86"/>
      <c r="D36" s="86"/>
      <c r="E36" s="86"/>
      <c r="F36" s="86"/>
      <c r="G36" s="86"/>
      <c r="H36" s="86"/>
      <c r="I36" s="86"/>
      <c r="J36" s="86"/>
      <c r="K36" s="86"/>
      <c r="L36" s="86"/>
      <c r="M36" s="86"/>
      <c r="N36" s="86"/>
      <c r="O36" s="86"/>
      <c r="P36" s="86"/>
      <c r="Q36" s="86"/>
      <c r="R36" s="86"/>
      <c r="S36" s="86"/>
      <c r="T36" s="86"/>
      <c r="U36" s="86"/>
      <c r="V36" s="86"/>
      <c r="W36" s="86"/>
      <c r="X36" s="86"/>
      <c r="Y36" s="86"/>
      <c r="Z36" s="86"/>
      <c r="AA36" s="86"/>
      <c r="AB36" s="86"/>
      <c r="AC36" s="10"/>
      <c r="AD36" s="10"/>
      <c r="AE36" s="10"/>
      <c r="AF36" s="10"/>
      <c r="AG36" s="10"/>
      <c r="AH36" s="10"/>
      <c r="AI36" s="10"/>
      <c r="AJ36" s="10"/>
      <c r="AK36" s="10"/>
      <c r="AL36" s="10"/>
      <c r="AM36" s="10"/>
    </row>
    <row r="37" spans="2:39" x14ac:dyDescent="0.2">
      <c r="B37" s="86"/>
      <c r="C37" s="86"/>
      <c r="D37" s="86"/>
      <c r="E37" s="86"/>
      <c r="F37" s="86"/>
      <c r="G37" s="86"/>
      <c r="H37" s="86"/>
      <c r="I37" s="86"/>
      <c r="J37" s="86"/>
      <c r="K37" s="86"/>
      <c r="L37" s="86"/>
      <c r="M37" s="86"/>
      <c r="N37" s="86"/>
      <c r="O37" s="86"/>
      <c r="P37" s="86"/>
      <c r="Q37" s="86"/>
      <c r="R37" s="86"/>
      <c r="S37" s="86"/>
      <c r="T37" s="86"/>
      <c r="U37" s="86"/>
      <c r="V37" s="86"/>
      <c r="W37" s="86"/>
      <c r="X37" s="86"/>
      <c r="Y37" s="86"/>
      <c r="Z37" s="86"/>
      <c r="AA37" s="86"/>
      <c r="AB37" s="86"/>
      <c r="AC37" s="10"/>
      <c r="AD37" s="10"/>
      <c r="AE37" s="10"/>
      <c r="AF37" s="10"/>
      <c r="AG37" s="10"/>
      <c r="AH37" s="10"/>
      <c r="AI37" s="10"/>
      <c r="AJ37" s="10"/>
      <c r="AK37" s="10"/>
      <c r="AL37" s="10"/>
      <c r="AM37" s="10"/>
    </row>
    <row r="38" spans="2:39" x14ac:dyDescent="0.2">
      <c r="B38" s="86"/>
      <c r="C38" s="86"/>
      <c r="D38" s="86"/>
      <c r="E38" s="86"/>
      <c r="F38" s="86"/>
      <c r="G38" s="86"/>
      <c r="H38" s="86"/>
      <c r="I38" s="86"/>
      <c r="J38" s="86"/>
      <c r="K38" s="86"/>
      <c r="L38" s="86"/>
      <c r="M38" s="86"/>
      <c r="N38" s="86"/>
      <c r="O38" s="86"/>
      <c r="P38" s="86"/>
      <c r="Q38" s="86"/>
      <c r="R38" s="86"/>
      <c r="S38" s="86"/>
      <c r="T38" s="86"/>
      <c r="U38" s="86"/>
      <c r="V38" s="86"/>
      <c r="W38" s="86"/>
      <c r="X38" s="86"/>
      <c r="Y38" s="86"/>
      <c r="Z38" s="86"/>
      <c r="AA38" s="86"/>
      <c r="AB38" s="86"/>
      <c r="AC38" s="10"/>
      <c r="AD38" s="10"/>
      <c r="AE38" s="10"/>
      <c r="AF38" s="10"/>
      <c r="AG38" s="10"/>
      <c r="AH38" s="10"/>
      <c r="AI38" s="10"/>
      <c r="AJ38" s="10"/>
      <c r="AK38" s="10"/>
      <c r="AL38" s="10"/>
      <c r="AM38" s="10"/>
    </row>
    <row r="39" spans="2:39" x14ac:dyDescent="0.2">
      <c r="B39" s="86"/>
      <c r="C39" s="86"/>
      <c r="D39" s="86"/>
      <c r="E39" s="86"/>
      <c r="F39" s="86"/>
      <c r="G39" s="86"/>
      <c r="H39" s="86"/>
      <c r="I39" s="86"/>
      <c r="J39" s="86"/>
      <c r="K39" s="86"/>
      <c r="L39" s="86"/>
      <c r="M39" s="86"/>
      <c r="N39" s="86"/>
      <c r="O39" s="86"/>
      <c r="P39" s="86"/>
      <c r="Q39" s="86"/>
      <c r="R39" s="86"/>
      <c r="S39" s="86"/>
      <c r="T39" s="86"/>
      <c r="U39" s="86"/>
      <c r="V39" s="86"/>
      <c r="W39" s="86"/>
      <c r="X39" s="86"/>
      <c r="Y39" s="86"/>
      <c r="Z39" s="86"/>
      <c r="AA39" s="86"/>
      <c r="AB39" s="86"/>
      <c r="AC39" s="10"/>
      <c r="AD39" s="10"/>
      <c r="AE39" s="10"/>
      <c r="AF39" s="10"/>
      <c r="AG39" s="10"/>
      <c r="AH39" s="10"/>
      <c r="AI39" s="10"/>
      <c r="AJ39" s="10"/>
      <c r="AK39" s="10"/>
      <c r="AL39" s="10"/>
      <c r="AM39" s="10"/>
    </row>
    <row r="40" spans="2:39" x14ac:dyDescent="0.2">
      <c r="B40" s="86"/>
      <c r="C40" s="86"/>
      <c r="D40" s="86"/>
      <c r="E40" s="86"/>
      <c r="F40" s="86"/>
      <c r="G40" s="86"/>
      <c r="H40" s="86"/>
      <c r="I40" s="86"/>
      <c r="J40" s="86"/>
      <c r="K40" s="86"/>
      <c r="L40" s="86"/>
      <c r="M40" s="86"/>
      <c r="N40" s="86"/>
      <c r="O40" s="86"/>
      <c r="P40" s="86"/>
      <c r="Q40" s="86"/>
      <c r="R40" s="86"/>
      <c r="S40" s="86"/>
      <c r="T40" s="86"/>
      <c r="U40" s="86"/>
      <c r="V40" s="86"/>
      <c r="W40" s="86"/>
      <c r="X40" s="86"/>
      <c r="Y40" s="86"/>
      <c r="Z40" s="86"/>
      <c r="AA40" s="86"/>
      <c r="AB40" s="86"/>
      <c r="AC40" s="10"/>
      <c r="AD40" s="10"/>
      <c r="AE40" s="10"/>
      <c r="AF40" s="10"/>
      <c r="AG40" s="10"/>
      <c r="AH40" s="10"/>
      <c r="AI40" s="10"/>
      <c r="AJ40" s="10"/>
      <c r="AK40" s="10"/>
      <c r="AL40" s="10"/>
      <c r="AM40" s="10"/>
    </row>
    <row r="41" spans="2:39" x14ac:dyDescent="0.2">
      <c r="B41" s="86"/>
      <c r="C41" s="86"/>
      <c r="D41" s="86"/>
      <c r="E41" s="86"/>
      <c r="F41" s="86"/>
      <c r="G41" s="86"/>
      <c r="H41" s="86"/>
      <c r="I41" s="86"/>
      <c r="J41" s="86"/>
      <c r="K41" s="86"/>
      <c r="L41" s="86"/>
      <c r="M41" s="86"/>
      <c r="N41" s="86"/>
      <c r="O41" s="86"/>
      <c r="P41" s="86"/>
      <c r="Q41" s="86"/>
      <c r="R41" s="86"/>
      <c r="S41" s="86"/>
      <c r="T41" s="86"/>
      <c r="U41" s="86"/>
      <c r="V41" s="86"/>
      <c r="W41" s="86"/>
      <c r="X41" s="86"/>
      <c r="Y41" s="86"/>
      <c r="Z41" s="86"/>
      <c r="AA41" s="86"/>
      <c r="AB41" s="86"/>
      <c r="AC41" s="10"/>
      <c r="AD41" s="10"/>
      <c r="AE41" s="10"/>
      <c r="AF41" s="10"/>
      <c r="AG41" s="10"/>
      <c r="AH41" s="10"/>
      <c r="AI41" s="10"/>
      <c r="AJ41" s="10"/>
      <c r="AK41" s="10"/>
      <c r="AL41" s="10"/>
      <c r="AM41" s="10"/>
    </row>
    <row r="42" spans="2:39" x14ac:dyDescent="0.2">
      <c r="B42" s="86"/>
      <c r="C42" s="86"/>
      <c r="D42" s="86"/>
      <c r="E42" s="86"/>
      <c r="F42" s="86"/>
      <c r="G42" s="86"/>
      <c r="H42" s="86"/>
      <c r="I42" s="86"/>
      <c r="J42" s="86"/>
      <c r="K42" s="86"/>
      <c r="L42" s="86"/>
      <c r="M42" s="86"/>
      <c r="N42" s="86"/>
      <c r="O42" s="86"/>
      <c r="P42" s="86"/>
      <c r="Q42" s="86"/>
      <c r="R42" s="86"/>
      <c r="S42" s="86"/>
      <c r="T42" s="86"/>
      <c r="U42" s="86"/>
      <c r="V42" s="86"/>
      <c r="W42" s="86"/>
      <c r="X42" s="86"/>
      <c r="Y42" s="86"/>
      <c r="Z42" s="86"/>
      <c r="AA42" s="86"/>
      <c r="AB42" s="86"/>
      <c r="AC42" s="10"/>
      <c r="AD42" s="10"/>
      <c r="AE42" s="10"/>
      <c r="AF42" s="10"/>
      <c r="AG42" s="10"/>
      <c r="AH42" s="10"/>
      <c r="AI42" s="10"/>
      <c r="AJ42" s="10"/>
      <c r="AK42" s="10"/>
      <c r="AL42" s="10"/>
      <c r="AM42" s="10"/>
    </row>
    <row r="43" spans="2:39" x14ac:dyDescent="0.2">
      <c r="B43" s="86"/>
      <c r="C43" s="86"/>
      <c r="D43" s="86"/>
      <c r="E43" s="86"/>
      <c r="F43" s="86"/>
      <c r="G43" s="86"/>
      <c r="H43" s="86"/>
      <c r="I43" s="86"/>
      <c r="J43" s="86"/>
      <c r="K43" s="86"/>
      <c r="L43" s="86"/>
      <c r="M43" s="86"/>
      <c r="N43" s="86"/>
      <c r="O43" s="86"/>
      <c r="P43" s="86"/>
      <c r="Q43" s="86"/>
      <c r="R43" s="86"/>
      <c r="S43" s="86"/>
      <c r="T43" s="86"/>
      <c r="U43" s="86"/>
      <c r="V43" s="86"/>
      <c r="W43" s="86"/>
      <c r="X43" s="86"/>
      <c r="Y43" s="86"/>
      <c r="Z43" s="86"/>
      <c r="AA43" s="86"/>
      <c r="AB43" s="86"/>
      <c r="AC43" s="10"/>
      <c r="AD43" s="10"/>
      <c r="AE43" s="10"/>
      <c r="AF43" s="10"/>
      <c r="AG43" s="10"/>
      <c r="AH43" s="10"/>
      <c r="AI43" s="10"/>
      <c r="AJ43" s="10"/>
      <c r="AK43" s="10"/>
      <c r="AL43" s="10"/>
      <c r="AM43" s="10"/>
    </row>
    <row r="44" spans="2:39" x14ac:dyDescent="0.2">
      <c r="B44" s="86"/>
      <c r="C44" s="86"/>
      <c r="D44" s="86"/>
      <c r="E44" s="86"/>
      <c r="F44" s="86"/>
      <c r="G44" s="86"/>
      <c r="H44" s="86"/>
      <c r="I44" s="86"/>
      <c r="J44" s="86"/>
      <c r="K44" s="86"/>
      <c r="L44" s="86"/>
      <c r="M44" s="86"/>
      <c r="N44" s="86"/>
      <c r="O44" s="86"/>
      <c r="P44" s="86"/>
      <c r="Q44" s="86"/>
      <c r="R44" s="86"/>
      <c r="S44" s="86"/>
      <c r="T44" s="86"/>
      <c r="U44" s="86"/>
      <c r="V44" s="86"/>
      <c r="W44" s="86"/>
      <c r="X44" s="86"/>
      <c r="Y44" s="86"/>
      <c r="Z44" s="86"/>
      <c r="AA44" s="86"/>
      <c r="AB44" s="86"/>
      <c r="AC44" s="10"/>
      <c r="AD44" s="10"/>
      <c r="AE44" s="10"/>
      <c r="AF44" s="10"/>
      <c r="AG44" s="10"/>
      <c r="AH44" s="10"/>
      <c r="AI44" s="10"/>
      <c r="AJ44" s="10"/>
      <c r="AK44" s="10"/>
      <c r="AL44" s="10"/>
      <c r="AM44" s="10"/>
    </row>
    <row r="45" spans="2:39" x14ac:dyDescent="0.2">
      <c r="B45" s="86"/>
      <c r="C45" s="86"/>
      <c r="D45" s="86"/>
      <c r="E45" s="86"/>
      <c r="F45" s="86"/>
      <c r="G45" s="86"/>
      <c r="H45" s="86"/>
      <c r="I45" s="86"/>
      <c r="J45" s="86"/>
      <c r="K45" s="86"/>
      <c r="L45" s="86"/>
      <c r="M45" s="86"/>
      <c r="N45" s="86"/>
      <c r="O45" s="86"/>
      <c r="P45" s="86"/>
      <c r="Q45" s="86"/>
      <c r="R45" s="86"/>
      <c r="S45" s="86"/>
      <c r="T45" s="86"/>
      <c r="U45" s="86"/>
      <c r="V45" s="86"/>
      <c r="W45" s="86"/>
      <c r="X45" s="86"/>
      <c r="Y45" s="86"/>
      <c r="Z45" s="86"/>
      <c r="AA45" s="86"/>
      <c r="AB45" s="86"/>
      <c r="AC45" s="10"/>
      <c r="AD45" s="10"/>
      <c r="AE45" s="10"/>
      <c r="AF45" s="10"/>
      <c r="AG45" s="10"/>
      <c r="AH45" s="10"/>
      <c r="AI45" s="10"/>
      <c r="AJ45" s="10"/>
      <c r="AK45" s="10"/>
      <c r="AL45" s="10"/>
      <c r="AM45" s="10"/>
    </row>
    <row r="46" spans="2:39" x14ac:dyDescent="0.2">
      <c r="B46" s="86"/>
      <c r="C46" s="86"/>
      <c r="D46" s="86"/>
      <c r="E46" s="86"/>
      <c r="F46" s="86"/>
      <c r="G46" s="86"/>
      <c r="H46" s="86"/>
      <c r="I46" s="86"/>
      <c r="J46" s="86"/>
      <c r="K46" s="86"/>
      <c r="L46" s="86"/>
      <c r="M46" s="86"/>
      <c r="N46" s="86"/>
      <c r="O46" s="86"/>
      <c r="P46" s="86"/>
      <c r="Q46" s="86"/>
      <c r="R46" s="86"/>
      <c r="S46" s="86"/>
      <c r="T46" s="86"/>
      <c r="U46" s="86"/>
      <c r="V46" s="86"/>
      <c r="W46" s="86"/>
      <c r="X46" s="86"/>
      <c r="Y46" s="86"/>
      <c r="Z46" s="86"/>
      <c r="AA46" s="86"/>
      <c r="AB46" s="86"/>
      <c r="AC46" s="10"/>
      <c r="AD46" s="10"/>
      <c r="AE46" s="10"/>
      <c r="AF46" s="10"/>
      <c r="AG46" s="10"/>
      <c r="AH46" s="10"/>
      <c r="AI46" s="10"/>
      <c r="AJ46" s="10"/>
      <c r="AK46" s="10"/>
      <c r="AL46" s="10"/>
      <c r="AM46" s="10"/>
    </row>
    <row r="47" spans="2:39" x14ac:dyDescent="0.2">
      <c r="B47" s="86"/>
      <c r="C47" s="86"/>
      <c r="D47" s="86"/>
      <c r="E47" s="86"/>
      <c r="F47" s="86"/>
      <c r="G47" s="86"/>
      <c r="H47" s="86"/>
      <c r="I47" s="86"/>
      <c r="J47" s="86"/>
      <c r="K47" s="86"/>
      <c r="L47" s="86"/>
      <c r="M47" s="86"/>
      <c r="N47" s="86"/>
      <c r="O47" s="86"/>
      <c r="P47" s="86"/>
      <c r="Q47" s="86"/>
      <c r="R47" s="86"/>
      <c r="S47" s="86"/>
      <c r="T47" s="86"/>
      <c r="U47" s="86"/>
      <c r="V47" s="86"/>
      <c r="W47" s="86"/>
      <c r="X47" s="86"/>
      <c r="Y47" s="86"/>
      <c r="Z47" s="86"/>
      <c r="AA47" s="86"/>
      <c r="AB47" s="86"/>
      <c r="AC47" s="10"/>
      <c r="AD47" s="10"/>
      <c r="AE47" s="10"/>
      <c r="AF47" s="10"/>
      <c r="AG47" s="10"/>
      <c r="AH47" s="10"/>
      <c r="AI47" s="10"/>
      <c r="AJ47" s="10"/>
      <c r="AK47" s="10"/>
      <c r="AL47" s="10"/>
      <c r="AM47" s="10"/>
    </row>
    <row r="48" spans="2:39" x14ac:dyDescent="0.2">
      <c r="B48" s="86"/>
      <c r="C48" s="86"/>
      <c r="D48" s="86"/>
      <c r="E48" s="86"/>
      <c r="F48" s="86"/>
      <c r="G48" s="86"/>
      <c r="H48" s="86"/>
      <c r="I48" s="86"/>
      <c r="J48" s="86"/>
      <c r="K48" s="86"/>
      <c r="L48" s="86"/>
      <c r="M48" s="86"/>
      <c r="N48" s="86"/>
      <c r="O48" s="86"/>
      <c r="P48" s="86"/>
      <c r="Q48" s="86"/>
      <c r="R48" s="86"/>
      <c r="S48" s="86"/>
      <c r="T48" s="86"/>
      <c r="U48" s="86"/>
      <c r="V48" s="86"/>
      <c r="W48" s="86"/>
      <c r="X48" s="86"/>
      <c r="Y48" s="86"/>
      <c r="Z48" s="86"/>
      <c r="AA48" s="86"/>
      <c r="AB48" s="86"/>
      <c r="AC48" s="10"/>
      <c r="AD48" s="10"/>
      <c r="AE48" s="10"/>
      <c r="AF48" s="10"/>
      <c r="AG48" s="10"/>
      <c r="AH48" s="10"/>
      <c r="AI48" s="10"/>
      <c r="AJ48" s="10"/>
      <c r="AK48" s="10"/>
      <c r="AL48" s="10"/>
      <c r="AM48" s="10"/>
    </row>
    <row r="49" spans="2:39" x14ac:dyDescent="0.2">
      <c r="B49" s="86"/>
      <c r="C49" s="86"/>
      <c r="D49" s="86"/>
      <c r="E49" s="86"/>
      <c r="F49" s="86"/>
      <c r="G49" s="86"/>
      <c r="H49" s="86"/>
      <c r="I49" s="86"/>
      <c r="J49" s="86"/>
      <c r="K49" s="86"/>
      <c r="L49" s="86"/>
      <c r="M49" s="86"/>
      <c r="N49" s="86"/>
      <c r="O49" s="86"/>
      <c r="P49" s="86"/>
      <c r="Q49" s="86"/>
      <c r="R49" s="86"/>
      <c r="S49" s="86"/>
      <c r="T49" s="86"/>
      <c r="U49" s="86"/>
      <c r="V49" s="86"/>
      <c r="W49" s="86"/>
      <c r="X49" s="86"/>
      <c r="Y49" s="86"/>
      <c r="Z49" s="86"/>
      <c r="AA49" s="86"/>
      <c r="AB49" s="86"/>
      <c r="AC49" s="10"/>
      <c r="AD49" s="10"/>
      <c r="AE49" s="10"/>
      <c r="AF49" s="10"/>
      <c r="AG49" s="10"/>
      <c r="AH49" s="10"/>
      <c r="AI49" s="10"/>
      <c r="AJ49" s="10"/>
      <c r="AK49" s="10"/>
      <c r="AL49" s="10"/>
      <c r="AM49" s="10"/>
    </row>
    <row r="50" spans="2:39" x14ac:dyDescent="0.2">
      <c r="B50" s="86"/>
      <c r="C50" s="86"/>
      <c r="D50" s="86"/>
      <c r="E50" s="86"/>
      <c r="F50" s="86"/>
      <c r="G50" s="86"/>
      <c r="H50" s="86"/>
      <c r="I50" s="86"/>
      <c r="J50" s="86"/>
      <c r="K50" s="86"/>
      <c r="L50" s="86"/>
      <c r="M50" s="86"/>
      <c r="N50" s="86"/>
      <c r="O50" s="86"/>
      <c r="P50" s="86"/>
      <c r="Q50" s="86"/>
      <c r="R50" s="86"/>
      <c r="S50" s="86"/>
      <c r="T50" s="86"/>
      <c r="U50" s="86"/>
      <c r="V50" s="86"/>
      <c r="W50" s="86"/>
      <c r="X50" s="86"/>
      <c r="Y50" s="86"/>
      <c r="Z50" s="86"/>
      <c r="AA50" s="86"/>
      <c r="AB50" s="86"/>
      <c r="AC50" s="10"/>
      <c r="AD50" s="10"/>
      <c r="AE50" s="10"/>
      <c r="AF50" s="10"/>
      <c r="AG50" s="10"/>
      <c r="AH50" s="10"/>
      <c r="AI50" s="10"/>
      <c r="AJ50" s="10"/>
      <c r="AK50" s="10"/>
      <c r="AL50" s="10"/>
      <c r="AM50" s="10"/>
    </row>
    <row r="51" spans="2:39" x14ac:dyDescent="0.2">
      <c r="B51" s="86"/>
      <c r="C51" s="86"/>
      <c r="D51" s="86"/>
      <c r="E51" s="86"/>
      <c r="F51" s="86"/>
      <c r="G51" s="86"/>
      <c r="H51" s="86"/>
      <c r="I51" s="86"/>
      <c r="J51" s="86"/>
      <c r="K51" s="86"/>
      <c r="L51" s="86"/>
      <c r="M51" s="86"/>
      <c r="N51" s="86"/>
      <c r="O51" s="86"/>
      <c r="P51" s="86"/>
      <c r="Q51" s="86"/>
      <c r="R51" s="86"/>
      <c r="S51" s="86"/>
      <c r="T51" s="86"/>
      <c r="U51" s="86"/>
      <c r="V51" s="86"/>
      <c r="W51" s="86"/>
      <c r="X51" s="86"/>
      <c r="Y51" s="86"/>
      <c r="Z51" s="86"/>
      <c r="AA51" s="86"/>
      <c r="AB51" s="86"/>
      <c r="AC51" s="10"/>
      <c r="AD51" s="10"/>
      <c r="AE51" s="10"/>
      <c r="AF51" s="10"/>
      <c r="AG51" s="10"/>
      <c r="AH51" s="10"/>
      <c r="AI51" s="10"/>
      <c r="AJ51" s="10"/>
      <c r="AK51" s="10"/>
      <c r="AL51" s="10"/>
      <c r="AM51" s="10"/>
    </row>
    <row r="52" spans="2:39" x14ac:dyDescent="0.2">
      <c r="B52" s="86"/>
      <c r="C52" s="86"/>
      <c r="D52" s="86"/>
      <c r="E52" s="86"/>
      <c r="F52" s="86"/>
      <c r="G52" s="86"/>
      <c r="H52" s="86"/>
      <c r="I52" s="86"/>
      <c r="J52" s="86"/>
      <c r="K52" s="86"/>
      <c r="L52" s="86"/>
      <c r="M52" s="86"/>
      <c r="N52" s="86"/>
      <c r="O52" s="86"/>
      <c r="P52" s="86"/>
      <c r="Q52" s="86"/>
      <c r="R52" s="86"/>
      <c r="S52" s="86"/>
      <c r="T52" s="86"/>
      <c r="U52" s="86"/>
      <c r="V52" s="86"/>
      <c r="W52" s="86"/>
      <c r="X52" s="86"/>
      <c r="Y52" s="86"/>
      <c r="Z52" s="86"/>
      <c r="AA52" s="86"/>
      <c r="AB52" s="86"/>
      <c r="AC52" s="10"/>
      <c r="AD52" s="10"/>
      <c r="AE52" s="10"/>
      <c r="AF52" s="10"/>
      <c r="AG52" s="10"/>
      <c r="AH52" s="10"/>
      <c r="AI52" s="10"/>
      <c r="AJ52" s="10"/>
      <c r="AK52" s="10"/>
      <c r="AL52" s="10"/>
      <c r="AM52" s="10"/>
    </row>
    <row r="53" spans="2:39" x14ac:dyDescent="0.2">
      <c r="B53" s="86"/>
      <c r="C53" s="86"/>
      <c r="D53" s="86"/>
      <c r="E53" s="86"/>
      <c r="F53" s="86"/>
      <c r="G53" s="86"/>
      <c r="H53" s="86"/>
      <c r="I53" s="86"/>
      <c r="J53" s="86"/>
      <c r="K53" s="86"/>
      <c r="L53" s="86"/>
      <c r="M53" s="86"/>
      <c r="N53" s="86"/>
      <c r="O53" s="86"/>
      <c r="P53" s="86"/>
      <c r="Q53" s="86"/>
      <c r="R53" s="86"/>
      <c r="S53" s="86"/>
      <c r="T53" s="86"/>
      <c r="U53" s="86"/>
      <c r="V53" s="86"/>
      <c r="W53" s="86"/>
      <c r="X53" s="86"/>
      <c r="Y53" s="86"/>
      <c r="Z53" s="86"/>
      <c r="AA53" s="86"/>
      <c r="AB53" s="86"/>
      <c r="AC53" s="10"/>
      <c r="AD53" s="10"/>
      <c r="AE53" s="10"/>
      <c r="AF53" s="10"/>
      <c r="AG53" s="10"/>
      <c r="AH53" s="10"/>
      <c r="AI53" s="10"/>
      <c r="AJ53" s="10"/>
      <c r="AK53" s="10"/>
      <c r="AL53" s="10"/>
      <c r="AM53" s="10"/>
    </row>
    <row r="54" spans="2:39" x14ac:dyDescent="0.2">
      <c r="B54" s="86"/>
      <c r="C54" s="86"/>
      <c r="D54" s="86"/>
      <c r="E54" s="86"/>
      <c r="F54" s="86"/>
      <c r="G54" s="86"/>
      <c r="H54" s="86"/>
      <c r="I54" s="86"/>
      <c r="J54" s="86"/>
      <c r="K54" s="86"/>
      <c r="L54" s="86"/>
      <c r="M54" s="86"/>
      <c r="N54" s="86"/>
      <c r="O54" s="86"/>
      <c r="P54" s="86"/>
      <c r="Q54" s="86"/>
      <c r="R54" s="86"/>
      <c r="S54" s="86"/>
      <c r="T54" s="86"/>
      <c r="U54" s="86"/>
      <c r="V54" s="86"/>
      <c r="W54" s="86"/>
      <c r="X54" s="86"/>
      <c r="Y54" s="86"/>
      <c r="Z54" s="86"/>
      <c r="AA54" s="86"/>
      <c r="AB54" s="86"/>
      <c r="AC54" s="10"/>
      <c r="AD54" s="10"/>
      <c r="AE54" s="10"/>
      <c r="AF54" s="10"/>
      <c r="AG54" s="10"/>
      <c r="AH54" s="10"/>
      <c r="AI54" s="10"/>
      <c r="AJ54" s="10"/>
      <c r="AK54" s="10"/>
      <c r="AL54" s="10"/>
      <c r="AM54" s="10"/>
    </row>
    <row r="55" spans="2:39" x14ac:dyDescent="0.2">
      <c r="B55" s="86"/>
      <c r="C55" s="86"/>
      <c r="D55" s="86"/>
      <c r="E55" s="86"/>
      <c r="F55" s="86"/>
      <c r="G55" s="86"/>
      <c r="H55" s="86"/>
      <c r="I55" s="86"/>
      <c r="J55" s="86"/>
      <c r="K55" s="86"/>
      <c r="L55" s="86"/>
      <c r="M55" s="86"/>
      <c r="N55" s="86"/>
      <c r="O55" s="86"/>
      <c r="P55" s="86"/>
      <c r="Q55" s="86"/>
      <c r="R55" s="86"/>
      <c r="S55" s="86"/>
      <c r="T55" s="86"/>
      <c r="U55" s="86"/>
      <c r="V55" s="86"/>
      <c r="W55" s="86"/>
      <c r="X55" s="86"/>
      <c r="Y55" s="86"/>
      <c r="Z55" s="86"/>
      <c r="AA55" s="86"/>
      <c r="AB55" s="86"/>
      <c r="AC55" s="10"/>
      <c r="AD55" s="10"/>
      <c r="AE55" s="10"/>
      <c r="AF55" s="10"/>
      <c r="AG55" s="10"/>
      <c r="AH55" s="10"/>
      <c r="AI55" s="10"/>
      <c r="AJ55" s="10"/>
      <c r="AK55" s="10"/>
      <c r="AL55" s="10"/>
      <c r="AM55" s="10"/>
    </row>
    <row r="56" spans="2:39" x14ac:dyDescent="0.2">
      <c r="B56" s="86"/>
      <c r="C56" s="86"/>
      <c r="D56" s="86"/>
      <c r="E56" s="86"/>
      <c r="F56" s="86"/>
      <c r="G56" s="86"/>
      <c r="H56" s="86"/>
      <c r="I56" s="86"/>
      <c r="J56" s="86"/>
      <c r="K56" s="86"/>
      <c r="L56" s="86"/>
      <c r="M56" s="86"/>
      <c r="N56" s="86"/>
      <c r="O56" s="86"/>
      <c r="P56" s="86"/>
      <c r="Q56" s="86"/>
      <c r="R56" s="86"/>
      <c r="S56" s="86"/>
      <c r="T56" s="86"/>
      <c r="U56" s="86"/>
      <c r="V56" s="86"/>
      <c r="W56" s="86"/>
      <c r="X56" s="86"/>
      <c r="Y56" s="86"/>
      <c r="Z56" s="86"/>
      <c r="AA56" s="86"/>
      <c r="AB56" s="86"/>
      <c r="AC56" s="10"/>
      <c r="AD56" s="10"/>
      <c r="AE56" s="10"/>
      <c r="AF56" s="10"/>
      <c r="AG56" s="10"/>
      <c r="AH56" s="10"/>
      <c r="AI56" s="10"/>
      <c r="AJ56" s="10"/>
      <c r="AK56" s="10"/>
      <c r="AL56" s="10"/>
      <c r="AM56" s="10"/>
    </row>
    <row r="57" spans="2:39" x14ac:dyDescent="0.2">
      <c r="B57" s="86"/>
      <c r="C57" s="86"/>
      <c r="D57" s="86"/>
      <c r="E57" s="86"/>
      <c r="F57" s="86"/>
      <c r="G57" s="86"/>
      <c r="H57" s="86"/>
      <c r="I57" s="86"/>
      <c r="J57" s="86"/>
      <c r="K57" s="86"/>
      <c r="L57" s="86"/>
      <c r="M57" s="86"/>
      <c r="N57" s="86"/>
      <c r="O57" s="86"/>
      <c r="P57" s="86"/>
      <c r="Q57" s="86"/>
      <c r="R57" s="86"/>
      <c r="S57" s="86"/>
      <c r="T57" s="86"/>
      <c r="U57" s="86"/>
      <c r="V57" s="86"/>
      <c r="W57" s="86"/>
      <c r="X57" s="86"/>
      <c r="Y57" s="86"/>
      <c r="Z57" s="86"/>
      <c r="AA57" s="86"/>
      <c r="AB57" s="86"/>
      <c r="AC57" s="10"/>
      <c r="AD57" s="10"/>
      <c r="AE57" s="10"/>
      <c r="AF57" s="10"/>
      <c r="AG57" s="10"/>
      <c r="AH57" s="10"/>
      <c r="AI57" s="10"/>
      <c r="AJ57" s="10"/>
      <c r="AK57" s="10"/>
      <c r="AL57" s="10"/>
      <c r="AM57" s="10"/>
    </row>
    <row r="58" spans="2:39" x14ac:dyDescent="0.2">
      <c r="B58" s="86"/>
      <c r="C58" s="86"/>
      <c r="D58" s="86"/>
      <c r="E58" s="86"/>
      <c r="F58" s="86"/>
      <c r="G58" s="86"/>
      <c r="H58" s="86"/>
      <c r="I58" s="86"/>
      <c r="J58" s="86"/>
      <c r="K58" s="86"/>
      <c r="L58" s="86"/>
      <c r="M58" s="86"/>
      <c r="N58" s="86"/>
      <c r="O58" s="86"/>
      <c r="P58" s="86"/>
      <c r="Q58" s="86"/>
      <c r="R58" s="86"/>
      <c r="S58" s="86"/>
      <c r="T58" s="86"/>
      <c r="U58" s="86"/>
      <c r="V58" s="86"/>
      <c r="W58" s="86"/>
      <c r="X58" s="86"/>
      <c r="Y58" s="86"/>
      <c r="Z58" s="86"/>
      <c r="AA58" s="86"/>
      <c r="AB58" s="86"/>
      <c r="AC58" s="10"/>
      <c r="AD58" s="10"/>
      <c r="AE58" s="10"/>
      <c r="AF58" s="10"/>
      <c r="AG58" s="10"/>
      <c r="AH58" s="10"/>
      <c r="AI58" s="10"/>
      <c r="AJ58" s="10"/>
      <c r="AK58" s="10"/>
      <c r="AL58" s="10"/>
      <c r="AM58" s="10"/>
    </row>
    <row r="59" spans="2:39" x14ac:dyDescent="0.2">
      <c r="B59" s="86"/>
      <c r="C59" s="86"/>
      <c r="D59" s="86"/>
      <c r="E59" s="86"/>
      <c r="F59" s="86"/>
      <c r="G59" s="86"/>
      <c r="H59" s="86"/>
      <c r="I59" s="86"/>
      <c r="J59" s="86"/>
      <c r="K59" s="86"/>
      <c r="L59" s="86"/>
      <c r="M59" s="86"/>
      <c r="N59" s="86"/>
      <c r="O59" s="86"/>
      <c r="P59" s="86"/>
      <c r="Q59" s="86"/>
      <c r="R59" s="86"/>
      <c r="S59" s="86"/>
      <c r="T59" s="86"/>
      <c r="U59" s="86"/>
      <c r="V59" s="86"/>
      <c r="W59" s="86"/>
      <c r="X59" s="86"/>
      <c r="Y59" s="86"/>
      <c r="Z59" s="86"/>
      <c r="AA59" s="86"/>
      <c r="AB59" s="86"/>
      <c r="AC59" s="10"/>
      <c r="AD59" s="10"/>
      <c r="AE59" s="10"/>
      <c r="AF59" s="10"/>
      <c r="AG59" s="10"/>
      <c r="AH59" s="10"/>
      <c r="AI59" s="10"/>
      <c r="AJ59" s="10"/>
      <c r="AK59" s="10"/>
      <c r="AL59" s="10"/>
      <c r="AM59" s="10"/>
    </row>
    <row r="60" spans="2:39" x14ac:dyDescent="0.2">
      <c r="B60" s="86"/>
      <c r="C60" s="86"/>
      <c r="D60" s="86"/>
      <c r="E60" s="86"/>
      <c r="F60" s="86"/>
      <c r="G60" s="86"/>
      <c r="H60" s="86"/>
      <c r="I60" s="86"/>
      <c r="J60" s="86"/>
      <c r="K60" s="86"/>
      <c r="L60" s="86"/>
      <c r="M60" s="86"/>
      <c r="N60" s="86"/>
      <c r="O60" s="86"/>
      <c r="P60" s="86"/>
      <c r="Q60" s="86"/>
      <c r="R60" s="86"/>
      <c r="S60" s="86"/>
      <c r="T60" s="86"/>
      <c r="U60" s="86"/>
      <c r="V60" s="86"/>
      <c r="W60" s="86"/>
      <c r="X60" s="86"/>
      <c r="Y60" s="86"/>
      <c r="Z60" s="86"/>
      <c r="AA60" s="86"/>
      <c r="AB60" s="86"/>
      <c r="AC60" s="10"/>
      <c r="AD60" s="10"/>
      <c r="AE60" s="10"/>
      <c r="AF60" s="10"/>
      <c r="AG60" s="10"/>
      <c r="AH60" s="10"/>
      <c r="AI60" s="10"/>
      <c r="AJ60" s="10"/>
      <c r="AK60" s="10"/>
      <c r="AL60" s="10"/>
      <c r="AM60" s="10"/>
    </row>
    <row r="61" spans="2:39" x14ac:dyDescent="0.2">
      <c r="B61" s="86"/>
      <c r="C61" s="86"/>
      <c r="D61" s="86"/>
      <c r="E61" s="86"/>
      <c r="F61" s="86"/>
      <c r="G61" s="86"/>
      <c r="H61" s="86"/>
      <c r="I61" s="86"/>
      <c r="J61" s="86"/>
      <c r="K61" s="86"/>
      <c r="L61" s="86"/>
      <c r="M61" s="86"/>
      <c r="N61" s="86"/>
      <c r="O61" s="86"/>
      <c r="P61" s="86"/>
      <c r="Q61" s="86"/>
      <c r="R61" s="86"/>
      <c r="S61" s="86"/>
      <c r="T61" s="86"/>
      <c r="U61" s="86"/>
      <c r="V61" s="86"/>
      <c r="W61" s="86"/>
      <c r="X61" s="86"/>
      <c r="Y61" s="86"/>
      <c r="Z61" s="86"/>
      <c r="AA61" s="86"/>
      <c r="AB61" s="86"/>
      <c r="AC61" s="10"/>
      <c r="AD61" s="10"/>
      <c r="AE61" s="10"/>
      <c r="AF61" s="10"/>
      <c r="AG61" s="10"/>
      <c r="AH61" s="10"/>
      <c r="AI61" s="10"/>
      <c r="AJ61" s="10"/>
      <c r="AK61" s="10"/>
      <c r="AL61" s="10"/>
      <c r="AM61" s="10"/>
    </row>
    <row r="62" spans="2:39" x14ac:dyDescent="0.2">
      <c r="B62" s="86"/>
      <c r="C62" s="86"/>
      <c r="D62" s="86"/>
      <c r="E62" s="86"/>
      <c r="F62" s="86"/>
      <c r="G62" s="86"/>
      <c r="H62" s="86"/>
      <c r="I62" s="86"/>
      <c r="J62" s="86"/>
      <c r="K62" s="86"/>
      <c r="L62" s="86"/>
      <c r="M62" s="86"/>
      <c r="N62" s="86"/>
      <c r="O62" s="86"/>
      <c r="P62" s="86"/>
      <c r="Q62" s="86"/>
      <c r="R62" s="86"/>
      <c r="S62" s="86"/>
      <c r="T62" s="86"/>
      <c r="U62" s="86"/>
      <c r="V62" s="86"/>
      <c r="W62" s="86"/>
      <c r="X62" s="86"/>
      <c r="Y62" s="86"/>
      <c r="Z62" s="86"/>
      <c r="AA62" s="86"/>
      <c r="AB62" s="86"/>
      <c r="AC62" s="10"/>
      <c r="AD62" s="10"/>
      <c r="AE62" s="10"/>
      <c r="AF62" s="10"/>
      <c r="AG62" s="10"/>
      <c r="AH62" s="10"/>
      <c r="AI62" s="10"/>
      <c r="AJ62" s="10"/>
      <c r="AK62" s="10"/>
      <c r="AL62" s="10"/>
      <c r="AM62" s="10"/>
    </row>
    <row r="63" spans="2:39" x14ac:dyDescent="0.2">
      <c r="B63" s="86"/>
      <c r="C63" s="86"/>
      <c r="D63" s="86"/>
      <c r="E63" s="86"/>
      <c r="F63" s="86"/>
      <c r="G63" s="86"/>
      <c r="H63" s="86"/>
      <c r="I63" s="86"/>
      <c r="J63" s="86"/>
      <c r="K63" s="86"/>
      <c r="L63" s="86"/>
      <c r="M63" s="86"/>
      <c r="N63" s="86"/>
      <c r="O63" s="86"/>
      <c r="P63" s="86"/>
      <c r="Q63" s="86"/>
      <c r="R63" s="86"/>
      <c r="S63" s="86"/>
      <c r="T63" s="86"/>
      <c r="U63" s="86"/>
      <c r="V63" s="86"/>
      <c r="W63" s="86"/>
      <c r="X63" s="86"/>
      <c r="Y63" s="86"/>
      <c r="Z63" s="86"/>
      <c r="AA63" s="86"/>
      <c r="AB63" s="86"/>
      <c r="AC63" s="10"/>
      <c r="AD63" s="10"/>
      <c r="AE63" s="10"/>
      <c r="AF63" s="10"/>
      <c r="AG63" s="10"/>
      <c r="AH63" s="10"/>
      <c r="AI63" s="10"/>
      <c r="AJ63" s="10"/>
      <c r="AK63" s="10"/>
      <c r="AL63" s="10"/>
      <c r="AM63" s="10"/>
    </row>
    <row r="64" spans="2:39" x14ac:dyDescent="0.2">
      <c r="B64" s="86"/>
      <c r="C64" s="86"/>
      <c r="D64" s="86"/>
      <c r="E64" s="86"/>
      <c r="F64" s="86"/>
      <c r="G64" s="86"/>
      <c r="H64" s="86"/>
      <c r="I64" s="86"/>
      <c r="J64" s="86"/>
      <c r="K64" s="86"/>
      <c r="L64" s="86"/>
      <c r="M64" s="86"/>
      <c r="N64" s="86"/>
      <c r="O64" s="86"/>
      <c r="P64" s="86"/>
      <c r="Q64" s="86"/>
      <c r="R64" s="86"/>
      <c r="S64" s="86"/>
      <c r="T64" s="86"/>
      <c r="U64" s="86"/>
      <c r="V64" s="86"/>
      <c r="W64" s="86"/>
      <c r="X64" s="86"/>
      <c r="Y64" s="86"/>
      <c r="Z64" s="86"/>
      <c r="AA64" s="86"/>
      <c r="AB64" s="86"/>
      <c r="AC64" s="10"/>
      <c r="AD64" s="10"/>
      <c r="AE64" s="10"/>
      <c r="AF64" s="10"/>
      <c r="AG64" s="10"/>
      <c r="AH64" s="10"/>
      <c r="AI64" s="10"/>
      <c r="AJ64" s="10"/>
      <c r="AK64" s="10"/>
      <c r="AL64" s="10"/>
      <c r="AM64" s="10"/>
    </row>
    <row r="65" spans="2:39" x14ac:dyDescent="0.2">
      <c r="B65" s="86"/>
      <c r="C65" s="86"/>
      <c r="D65" s="86"/>
      <c r="E65" s="86"/>
      <c r="F65" s="86"/>
      <c r="G65" s="86"/>
      <c r="H65" s="86"/>
      <c r="I65" s="86"/>
      <c r="J65" s="86"/>
      <c r="K65" s="86"/>
      <c r="L65" s="86"/>
      <c r="M65" s="86"/>
      <c r="N65" s="86"/>
      <c r="O65" s="86"/>
      <c r="P65" s="86"/>
      <c r="Q65" s="86"/>
      <c r="R65" s="86"/>
      <c r="S65" s="86"/>
      <c r="T65" s="86"/>
      <c r="U65" s="86"/>
      <c r="V65" s="86"/>
      <c r="W65" s="86"/>
      <c r="X65" s="86"/>
      <c r="Y65" s="86"/>
      <c r="Z65" s="86"/>
      <c r="AA65" s="86"/>
      <c r="AB65" s="86"/>
      <c r="AC65" s="10"/>
      <c r="AD65" s="10"/>
      <c r="AE65" s="10"/>
      <c r="AF65" s="10"/>
      <c r="AG65" s="10"/>
      <c r="AH65" s="10"/>
      <c r="AI65" s="10"/>
      <c r="AJ65" s="10"/>
      <c r="AK65" s="10"/>
      <c r="AL65" s="10"/>
      <c r="AM65" s="10"/>
    </row>
    <row r="66" spans="2:39" x14ac:dyDescent="0.2">
      <c r="B66" s="86"/>
      <c r="C66" s="86"/>
      <c r="D66" s="86"/>
      <c r="E66" s="86"/>
      <c r="F66" s="86"/>
      <c r="G66" s="86"/>
      <c r="H66" s="86"/>
      <c r="I66" s="86"/>
      <c r="J66" s="86"/>
      <c r="K66" s="86"/>
      <c r="L66" s="86"/>
      <c r="M66" s="86"/>
      <c r="N66" s="86"/>
      <c r="O66" s="86"/>
      <c r="P66" s="86"/>
      <c r="Q66" s="86"/>
      <c r="R66" s="86"/>
      <c r="S66" s="86"/>
      <c r="T66" s="86"/>
      <c r="U66" s="86"/>
      <c r="V66" s="86"/>
      <c r="W66" s="86"/>
      <c r="X66" s="86"/>
      <c r="Y66" s="86"/>
      <c r="Z66" s="86"/>
      <c r="AA66" s="86"/>
      <c r="AB66" s="86"/>
      <c r="AC66" s="10"/>
      <c r="AD66" s="10"/>
      <c r="AE66" s="10"/>
      <c r="AF66" s="10"/>
      <c r="AG66" s="10"/>
      <c r="AH66" s="10"/>
      <c r="AI66" s="10"/>
      <c r="AJ66" s="10"/>
      <c r="AK66" s="10"/>
      <c r="AL66" s="10"/>
      <c r="AM66" s="10"/>
    </row>
    <row r="67" spans="2:39" x14ac:dyDescent="0.2">
      <c r="B67" s="86"/>
      <c r="C67" s="86"/>
      <c r="D67" s="86"/>
      <c r="E67" s="86"/>
      <c r="F67" s="86"/>
      <c r="G67" s="86"/>
      <c r="H67" s="86"/>
      <c r="I67" s="86"/>
      <c r="J67" s="86"/>
      <c r="K67" s="86"/>
      <c r="L67" s="86"/>
      <c r="M67" s="86"/>
      <c r="N67" s="86"/>
      <c r="O67" s="86"/>
      <c r="P67" s="86"/>
      <c r="Q67" s="86"/>
      <c r="R67" s="86"/>
      <c r="S67" s="86"/>
      <c r="T67" s="86"/>
      <c r="U67" s="86"/>
      <c r="V67" s="86"/>
      <c r="W67" s="86"/>
      <c r="X67" s="86"/>
      <c r="Y67" s="86"/>
      <c r="Z67" s="86"/>
      <c r="AA67" s="86"/>
      <c r="AB67" s="86"/>
      <c r="AC67" s="10"/>
      <c r="AD67" s="10"/>
      <c r="AE67" s="10"/>
      <c r="AF67" s="10"/>
      <c r="AG67" s="10"/>
      <c r="AH67" s="10"/>
      <c r="AI67" s="10"/>
      <c r="AJ67" s="10"/>
      <c r="AK67" s="10"/>
      <c r="AL67" s="10"/>
      <c r="AM67" s="10"/>
    </row>
    <row r="68" spans="2:39" x14ac:dyDescent="0.2">
      <c r="B68" s="86"/>
      <c r="C68" s="86"/>
      <c r="D68" s="86"/>
      <c r="E68" s="86"/>
      <c r="F68" s="86"/>
      <c r="G68" s="86"/>
      <c r="H68" s="86"/>
      <c r="I68" s="86"/>
      <c r="J68" s="86"/>
      <c r="K68" s="86"/>
      <c r="L68" s="86"/>
      <c r="M68" s="86"/>
      <c r="N68" s="86"/>
      <c r="O68" s="86"/>
      <c r="P68" s="86"/>
      <c r="Q68" s="86"/>
      <c r="R68" s="86"/>
      <c r="S68" s="86"/>
      <c r="T68" s="86"/>
      <c r="U68" s="86"/>
      <c r="V68" s="86"/>
      <c r="W68" s="86"/>
      <c r="X68" s="86"/>
      <c r="Y68" s="86"/>
      <c r="Z68" s="86"/>
      <c r="AA68" s="86"/>
      <c r="AB68" s="86"/>
      <c r="AC68" s="10"/>
      <c r="AD68" s="10"/>
      <c r="AE68" s="10"/>
      <c r="AF68" s="10"/>
      <c r="AG68" s="10"/>
      <c r="AH68" s="10"/>
      <c r="AI68" s="10"/>
      <c r="AJ68" s="10"/>
      <c r="AK68" s="10"/>
      <c r="AL68" s="10"/>
      <c r="AM68" s="10"/>
    </row>
    <row r="69" spans="2:39" x14ac:dyDescent="0.2">
      <c r="B69" s="86"/>
      <c r="C69" s="86"/>
      <c r="D69" s="86"/>
      <c r="E69" s="86"/>
      <c r="F69" s="86"/>
      <c r="G69" s="86"/>
      <c r="H69" s="86"/>
      <c r="I69" s="86"/>
      <c r="J69" s="86"/>
      <c r="K69" s="86"/>
      <c r="L69" s="86"/>
      <c r="M69" s="86"/>
      <c r="N69" s="86"/>
      <c r="O69" s="86"/>
      <c r="P69" s="86"/>
      <c r="Q69" s="86"/>
      <c r="R69" s="86"/>
      <c r="S69" s="86"/>
      <c r="T69" s="86"/>
      <c r="U69" s="86"/>
      <c r="V69" s="86"/>
      <c r="W69" s="86"/>
      <c r="X69" s="86"/>
      <c r="Y69" s="86"/>
      <c r="Z69" s="86"/>
      <c r="AA69" s="86"/>
      <c r="AB69" s="86"/>
      <c r="AC69" s="10"/>
      <c r="AD69" s="10"/>
      <c r="AE69" s="10"/>
      <c r="AF69" s="10"/>
      <c r="AG69" s="10"/>
      <c r="AH69" s="10"/>
      <c r="AI69" s="10"/>
      <c r="AJ69" s="10"/>
      <c r="AK69" s="10"/>
      <c r="AL69" s="10"/>
      <c r="AM69" s="10"/>
    </row>
    <row r="70" spans="2:39" x14ac:dyDescent="0.2">
      <c r="B70" s="86"/>
      <c r="C70" s="86"/>
      <c r="D70" s="86"/>
      <c r="E70" s="86"/>
      <c r="F70" s="86"/>
      <c r="G70" s="86"/>
      <c r="H70" s="86"/>
      <c r="I70" s="86"/>
      <c r="J70" s="86"/>
      <c r="K70" s="86"/>
      <c r="L70" s="86"/>
      <c r="M70" s="86"/>
      <c r="N70" s="86"/>
      <c r="O70" s="86"/>
      <c r="P70" s="86"/>
      <c r="Q70" s="86"/>
      <c r="R70" s="86"/>
      <c r="S70" s="86"/>
      <c r="T70" s="86"/>
      <c r="U70" s="86"/>
      <c r="V70" s="86"/>
      <c r="W70" s="86"/>
      <c r="X70" s="86"/>
      <c r="Y70" s="86"/>
      <c r="Z70" s="86"/>
      <c r="AA70" s="86"/>
      <c r="AB70" s="86"/>
      <c r="AC70" s="10"/>
      <c r="AD70" s="10"/>
      <c r="AE70" s="10"/>
      <c r="AF70" s="10"/>
      <c r="AG70" s="10"/>
      <c r="AH70" s="10"/>
      <c r="AI70" s="10"/>
      <c r="AJ70" s="10"/>
      <c r="AK70" s="10"/>
      <c r="AL70" s="10"/>
      <c r="AM70" s="10"/>
    </row>
    <row r="71" spans="2:39" x14ac:dyDescent="0.2">
      <c r="B71" s="86"/>
      <c r="C71" s="86"/>
      <c r="D71" s="86"/>
      <c r="E71" s="86"/>
      <c r="F71" s="86"/>
      <c r="G71" s="86"/>
      <c r="H71" s="86"/>
      <c r="I71" s="86"/>
      <c r="J71" s="86"/>
      <c r="K71" s="86"/>
      <c r="L71" s="86"/>
      <c r="M71" s="86"/>
      <c r="N71" s="86"/>
      <c r="O71" s="86"/>
      <c r="P71" s="86"/>
      <c r="Q71" s="86"/>
      <c r="R71" s="86"/>
      <c r="S71" s="86"/>
      <c r="T71" s="86"/>
      <c r="U71" s="86"/>
      <c r="V71" s="86"/>
      <c r="W71" s="86"/>
      <c r="X71" s="86"/>
      <c r="Y71" s="86"/>
      <c r="Z71" s="86"/>
      <c r="AA71" s="86"/>
      <c r="AB71" s="86"/>
      <c r="AC71" s="10"/>
      <c r="AD71" s="10"/>
      <c r="AE71" s="10"/>
      <c r="AF71" s="10"/>
      <c r="AG71" s="10"/>
      <c r="AH71" s="10"/>
      <c r="AI71" s="10"/>
      <c r="AJ71" s="10"/>
      <c r="AK71" s="10"/>
      <c r="AL71" s="10"/>
      <c r="AM71" s="10"/>
    </row>
    <row r="72" spans="2:39" x14ac:dyDescent="0.2">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row>
    <row r="73" spans="2:39" x14ac:dyDescent="0.2">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row>
    <row r="74" spans="2:39" x14ac:dyDescent="0.2">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row>
    <row r="75" spans="2:39" x14ac:dyDescent="0.2">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row>
    <row r="76" spans="2:39" x14ac:dyDescent="0.2">
      <c r="B76" s="30"/>
      <c r="C76" s="30"/>
      <c r="D76" s="30"/>
      <c r="E76" s="30"/>
      <c r="F76" s="30"/>
      <c r="G76" s="30"/>
      <c r="H76" s="30"/>
      <c r="I76" s="30"/>
      <c r="J76" s="30"/>
      <c r="K76" s="30"/>
      <c r="L76" s="30"/>
      <c r="M76" s="30"/>
      <c r="N76" s="30"/>
      <c r="O76" s="30"/>
      <c r="P76" s="30"/>
      <c r="Q76" s="30"/>
      <c r="R76" s="30"/>
      <c r="S76" s="30"/>
      <c r="T76" s="30"/>
      <c r="U76" s="30"/>
      <c r="V76" s="30"/>
      <c r="W76" s="30"/>
      <c r="X76" s="30"/>
      <c r="Y76" s="30"/>
      <c r="Z76" s="30"/>
      <c r="AA76" s="30"/>
      <c r="AB76" s="30"/>
    </row>
    <row r="77" spans="2:39" x14ac:dyDescent="0.2">
      <c r="B77" s="30"/>
      <c r="C77" s="30"/>
      <c r="D77" s="30"/>
      <c r="E77" s="30"/>
      <c r="F77" s="30"/>
      <c r="G77" s="30"/>
      <c r="H77" s="30"/>
      <c r="I77" s="30"/>
      <c r="J77" s="30"/>
      <c r="K77" s="30"/>
      <c r="L77" s="30"/>
      <c r="M77" s="30"/>
      <c r="N77" s="30"/>
      <c r="O77" s="30"/>
      <c r="P77" s="30"/>
      <c r="Q77" s="30"/>
      <c r="R77" s="30"/>
      <c r="S77" s="30"/>
      <c r="T77" s="30"/>
      <c r="U77" s="30"/>
      <c r="V77" s="30"/>
      <c r="W77" s="30"/>
      <c r="X77" s="30"/>
      <c r="Y77" s="30"/>
      <c r="Z77" s="30"/>
      <c r="AA77" s="30"/>
      <c r="AB77" s="30"/>
    </row>
    <row r="78" spans="2:39" x14ac:dyDescent="0.2">
      <c r="B78" s="30"/>
      <c r="C78" s="30"/>
      <c r="D78" s="30"/>
      <c r="E78" s="30"/>
      <c r="F78" s="30"/>
      <c r="G78" s="30"/>
      <c r="H78" s="30"/>
      <c r="I78" s="30"/>
      <c r="J78" s="30"/>
      <c r="K78" s="30"/>
      <c r="L78" s="30"/>
      <c r="M78" s="30"/>
      <c r="N78" s="30"/>
      <c r="O78" s="30"/>
      <c r="P78" s="30"/>
      <c r="Q78" s="30"/>
      <c r="R78" s="30"/>
      <c r="S78" s="30"/>
      <c r="T78" s="30"/>
      <c r="U78" s="30"/>
      <c r="V78" s="30"/>
      <c r="W78" s="30"/>
      <c r="X78" s="30"/>
      <c r="Y78" s="30"/>
      <c r="Z78" s="30"/>
      <c r="AA78" s="30"/>
      <c r="AB78" s="30"/>
    </row>
    <row r="79" spans="2:39" x14ac:dyDescent="0.2">
      <c r="B79" s="30"/>
      <c r="C79" s="30"/>
      <c r="D79" s="30"/>
      <c r="E79" s="30"/>
      <c r="F79" s="30"/>
      <c r="G79" s="30"/>
      <c r="H79" s="30"/>
      <c r="I79" s="30"/>
      <c r="J79" s="30"/>
      <c r="K79" s="30"/>
      <c r="L79" s="30"/>
      <c r="M79" s="30"/>
      <c r="N79" s="30"/>
      <c r="O79" s="30"/>
      <c r="P79" s="30"/>
      <c r="Q79" s="30"/>
      <c r="R79" s="30"/>
      <c r="S79" s="30"/>
      <c r="T79" s="30"/>
      <c r="U79" s="30"/>
      <c r="V79" s="30"/>
      <c r="W79" s="30"/>
      <c r="X79" s="30"/>
      <c r="Y79" s="30"/>
      <c r="Z79" s="30"/>
      <c r="AA79" s="30"/>
      <c r="AB79" s="30"/>
    </row>
    <row r="80" spans="2:39" x14ac:dyDescent="0.2">
      <c r="B80" s="30"/>
      <c r="C80" s="30"/>
      <c r="D80" s="30"/>
      <c r="E80" s="30"/>
      <c r="F80" s="30"/>
      <c r="G80" s="30"/>
      <c r="H80" s="30"/>
      <c r="I80" s="30"/>
      <c r="J80" s="30"/>
      <c r="K80" s="30"/>
      <c r="L80" s="30"/>
      <c r="M80" s="30"/>
      <c r="N80" s="30"/>
      <c r="O80" s="30"/>
      <c r="P80" s="30"/>
      <c r="Q80" s="30"/>
      <c r="R80" s="30"/>
      <c r="S80" s="30"/>
      <c r="T80" s="30"/>
      <c r="U80" s="30"/>
      <c r="V80" s="30"/>
      <c r="W80" s="30"/>
      <c r="X80" s="30"/>
      <c r="Y80" s="30"/>
      <c r="Z80" s="30"/>
      <c r="AA80" s="30"/>
      <c r="AB80" s="30"/>
    </row>
    <row r="81" spans="2:28" x14ac:dyDescent="0.2">
      <c r="B81" s="30"/>
      <c r="C81" s="30"/>
      <c r="D81" s="30"/>
      <c r="E81" s="30"/>
      <c r="F81" s="30"/>
      <c r="G81" s="30"/>
      <c r="H81" s="30"/>
      <c r="I81" s="30"/>
      <c r="J81" s="30"/>
      <c r="K81" s="30"/>
      <c r="L81" s="30"/>
      <c r="M81" s="30"/>
      <c r="N81" s="30"/>
      <c r="O81" s="30"/>
      <c r="P81" s="30"/>
      <c r="Q81" s="30"/>
      <c r="R81" s="30"/>
      <c r="S81" s="30"/>
      <c r="T81" s="30"/>
      <c r="U81" s="30"/>
      <c r="V81" s="30"/>
      <c r="W81" s="30"/>
      <c r="X81" s="30"/>
      <c r="Y81" s="30"/>
      <c r="Z81" s="30"/>
      <c r="AA81" s="30"/>
      <c r="AB81" s="30"/>
    </row>
    <row r="82" spans="2:28" x14ac:dyDescent="0.2">
      <c r="B82" s="30"/>
      <c r="C82" s="30"/>
      <c r="D82" s="30"/>
      <c r="E82" s="30"/>
      <c r="F82" s="30"/>
      <c r="G82" s="30"/>
      <c r="H82" s="30"/>
      <c r="I82" s="30"/>
      <c r="J82" s="30"/>
      <c r="K82" s="30"/>
      <c r="L82" s="30"/>
      <c r="M82" s="30"/>
      <c r="N82" s="30"/>
      <c r="O82" s="30"/>
      <c r="P82" s="30"/>
      <c r="Q82" s="30"/>
      <c r="R82" s="30"/>
      <c r="S82" s="30"/>
      <c r="T82" s="30"/>
      <c r="U82" s="30"/>
      <c r="V82" s="30"/>
      <c r="W82" s="30"/>
      <c r="X82" s="30"/>
      <c r="Y82" s="30"/>
      <c r="Z82" s="30"/>
      <c r="AA82" s="30"/>
      <c r="AB82" s="30"/>
    </row>
    <row r="83" spans="2:28" x14ac:dyDescent="0.2">
      <c r="B83" s="30"/>
      <c r="C83" s="30"/>
      <c r="D83" s="30"/>
      <c r="E83" s="30"/>
      <c r="F83" s="30"/>
      <c r="G83" s="30"/>
      <c r="H83" s="30"/>
      <c r="I83" s="30"/>
      <c r="J83" s="30"/>
      <c r="K83" s="30"/>
      <c r="L83" s="30"/>
      <c r="M83" s="30"/>
      <c r="N83" s="30"/>
      <c r="O83" s="30"/>
      <c r="P83" s="30"/>
      <c r="Q83" s="30"/>
      <c r="R83" s="30"/>
      <c r="S83" s="30"/>
      <c r="T83" s="30"/>
      <c r="U83" s="30"/>
      <c r="V83" s="30"/>
      <c r="W83" s="30"/>
      <c r="X83" s="30"/>
      <c r="Y83" s="30"/>
      <c r="Z83" s="30"/>
      <c r="AA83" s="30"/>
      <c r="AB83" s="30"/>
    </row>
    <row r="84" spans="2:28" x14ac:dyDescent="0.2">
      <c r="B84" s="30"/>
      <c r="C84" s="30"/>
      <c r="D84" s="30"/>
      <c r="E84" s="30"/>
      <c r="F84" s="30"/>
      <c r="G84" s="30"/>
      <c r="H84" s="30"/>
      <c r="I84" s="30"/>
      <c r="J84" s="30"/>
      <c r="K84" s="30"/>
      <c r="L84" s="30"/>
      <c r="M84" s="30"/>
      <c r="N84" s="30"/>
      <c r="O84" s="30"/>
      <c r="P84" s="30"/>
      <c r="Q84" s="30"/>
      <c r="R84" s="30"/>
      <c r="S84" s="30"/>
      <c r="T84" s="30"/>
      <c r="U84" s="30"/>
      <c r="V84" s="30"/>
      <c r="W84" s="30"/>
      <c r="X84" s="30"/>
      <c r="Y84" s="30"/>
      <c r="Z84" s="30"/>
      <c r="AA84" s="30"/>
      <c r="AB84" s="30"/>
    </row>
    <row r="85" spans="2:28" x14ac:dyDescent="0.2">
      <c r="B85" s="30"/>
      <c r="C85" s="30"/>
      <c r="D85" s="30"/>
      <c r="E85" s="30"/>
      <c r="F85" s="30"/>
      <c r="G85" s="30"/>
      <c r="H85" s="30"/>
      <c r="I85" s="30"/>
      <c r="J85" s="30"/>
      <c r="K85" s="30"/>
      <c r="L85" s="30"/>
      <c r="M85" s="30"/>
      <c r="N85" s="30"/>
      <c r="O85" s="30"/>
      <c r="P85" s="30"/>
      <c r="Q85" s="30"/>
      <c r="R85" s="30"/>
      <c r="S85" s="30"/>
      <c r="T85" s="30"/>
      <c r="U85" s="30"/>
      <c r="V85" s="30"/>
      <c r="W85" s="30"/>
      <c r="X85" s="30"/>
      <c r="Y85" s="30"/>
      <c r="Z85" s="30"/>
      <c r="AA85" s="30"/>
      <c r="AB85" s="30"/>
    </row>
    <row r="86" spans="2:28" x14ac:dyDescent="0.2">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row>
    <row r="87" spans="2:28" x14ac:dyDescent="0.2">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row>
    <row r="88" spans="2:28" x14ac:dyDescent="0.2">
      <c r="B88" s="30"/>
      <c r="C88" s="30"/>
      <c r="D88" s="30"/>
      <c r="E88" s="30"/>
      <c r="F88" s="30"/>
      <c r="G88" s="30"/>
      <c r="H88" s="30"/>
      <c r="I88" s="30"/>
      <c r="J88" s="30"/>
      <c r="K88" s="30"/>
      <c r="L88" s="30"/>
      <c r="M88" s="30"/>
      <c r="N88" s="30"/>
      <c r="O88" s="30"/>
      <c r="P88" s="30"/>
      <c r="Q88" s="30"/>
      <c r="R88" s="30"/>
      <c r="S88" s="30"/>
      <c r="T88" s="30"/>
      <c r="U88" s="30"/>
      <c r="V88" s="30"/>
      <c r="W88" s="30"/>
      <c r="X88" s="30"/>
      <c r="Y88" s="30"/>
      <c r="Z88" s="30"/>
      <c r="AA88" s="30"/>
      <c r="AB88" s="30"/>
    </row>
    <row r="89" spans="2:28" x14ac:dyDescent="0.2">
      <c r="B89" s="30"/>
      <c r="C89" s="30"/>
      <c r="D89" s="30"/>
      <c r="E89" s="30"/>
      <c r="F89" s="30"/>
      <c r="G89" s="30"/>
      <c r="H89" s="30"/>
      <c r="I89" s="30"/>
      <c r="J89" s="30"/>
      <c r="K89" s="30"/>
      <c r="L89" s="30"/>
      <c r="M89" s="30"/>
      <c r="N89" s="30"/>
      <c r="O89" s="30"/>
      <c r="P89" s="30"/>
      <c r="Q89" s="30"/>
      <c r="R89" s="30"/>
      <c r="S89" s="30"/>
      <c r="T89" s="30"/>
      <c r="U89" s="30"/>
      <c r="V89" s="30"/>
      <c r="W89" s="30"/>
      <c r="X89" s="30"/>
      <c r="Y89" s="30"/>
      <c r="Z89" s="30"/>
      <c r="AA89" s="30"/>
      <c r="AB89" s="30"/>
    </row>
    <row r="90" spans="2:28" x14ac:dyDescent="0.2">
      <c r="B90" s="30"/>
      <c r="C90" s="30"/>
      <c r="D90" s="30"/>
      <c r="E90" s="30"/>
      <c r="F90" s="30"/>
      <c r="G90" s="30"/>
      <c r="H90" s="30"/>
      <c r="I90" s="30"/>
      <c r="J90" s="30"/>
      <c r="K90" s="30"/>
      <c r="L90" s="30"/>
      <c r="M90" s="30"/>
      <c r="N90" s="30"/>
      <c r="O90" s="30"/>
      <c r="P90" s="30"/>
      <c r="Q90" s="30"/>
      <c r="R90" s="30"/>
      <c r="S90" s="30"/>
      <c r="T90" s="30"/>
      <c r="U90" s="30"/>
      <c r="V90" s="30"/>
      <c r="W90" s="30"/>
      <c r="X90" s="30"/>
      <c r="Y90" s="30"/>
      <c r="Z90" s="30"/>
      <c r="AA90" s="30"/>
      <c r="AB90" s="30"/>
    </row>
    <row r="91" spans="2:28" x14ac:dyDescent="0.2">
      <c r="B91" s="30"/>
      <c r="C91" s="30"/>
      <c r="D91" s="30"/>
      <c r="E91" s="30"/>
      <c r="F91" s="30"/>
      <c r="G91" s="30"/>
      <c r="H91" s="30"/>
      <c r="I91" s="30"/>
      <c r="J91" s="30"/>
      <c r="K91" s="30"/>
      <c r="L91" s="30"/>
      <c r="M91" s="30"/>
      <c r="N91" s="30"/>
      <c r="O91" s="30"/>
      <c r="P91" s="30"/>
      <c r="Q91" s="30"/>
      <c r="R91" s="30"/>
      <c r="S91" s="30"/>
      <c r="T91" s="30"/>
      <c r="U91" s="30"/>
      <c r="V91" s="30"/>
      <c r="W91" s="30"/>
      <c r="X91" s="30"/>
      <c r="Y91" s="30"/>
      <c r="Z91" s="30"/>
      <c r="AA91" s="30"/>
      <c r="AB91" s="30"/>
    </row>
    <row r="92" spans="2:28" x14ac:dyDescent="0.2">
      <c r="B92" s="30"/>
      <c r="C92" s="30"/>
      <c r="D92" s="30"/>
      <c r="E92" s="30"/>
      <c r="F92" s="30"/>
      <c r="G92" s="30"/>
      <c r="H92" s="30"/>
      <c r="I92" s="30"/>
      <c r="J92" s="30"/>
      <c r="K92" s="30"/>
      <c r="L92" s="30"/>
      <c r="M92" s="30"/>
      <c r="N92" s="30"/>
      <c r="O92" s="30"/>
      <c r="P92" s="30"/>
      <c r="Q92" s="30"/>
      <c r="R92" s="30"/>
      <c r="S92" s="30"/>
      <c r="T92" s="30"/>
      <c r="U92" s="30"/>
      <c r="V92" s="30"/>
      <c r="W92" s="30"/>
      <c r="X92" s="30"/>
      <c r="Y92" s="30"/>
      <c r="Z92" s="30"/>
      <c r="AA92" s="30"/>
      <c r="AB92" s="30"/>
    </row>
    <row r="93" spans="2:28" x14ac:dyDescent="0.2">
      <c r="B93" s="30"/>
      <c r="C93" s="30"/>
      <c r="D93" s="30"/>
      <c r="E93" s="30"/>
      <c r="F93" s="30"/>
      <c r="G93" s="30"/>
      <c r="H93" s="30"/>
      <c r="I93" s="30"/>
      <c r="J93" s="30"/>
      <c r="K93" s="30"/>
      <c r="L93" s="30"/>
      <c r="M93" s="30"/>
      <c r="N93" s="30"/>
      <c r="O93" s="30"/>
      <c r="P93" s="30"/>
      <c r="Q93" s="30"/>
      <c r="R93" s="30"/>
      <c r="S93" s="30"/>
      <c r="T93" s="30"/>
      <c r="U93" s="30"/>
      <c r="V93" s="30"/>
      <c r="W93" s="30"/>
      <c r="X93" s="30"/>
      <c r="Y93" s="30"/>
      <c r="Z93" s="30"/>
      <c r="AA93" s="30"/>
      <c r="AB93" s="30"/>
    </row>
    <row r="94" spans="2:28" x14ac:dyDescent="0.2">
      <c r="B94" s="30"/>
      <c r="C94" s="30"/>
      <c r="D94" s="30"/>
      <c r="E94" s="30"/>
      <c r="F94" s="30"/>
      <c r="G94" s="30"/>
      <c r="H94" s="30"/>
      <c r="I94" s="30"/>
      <c r="J94" s="30"/>
      <c r="K94" s="30"/>
      <c r="L94" s="30"/>
      <c r="M94" s="30"/>
      <c r="N94" s="30"/>
      <c r="O94" s="30"/>
      <c r="P94" s="30"/>
      <c r="Q94" s="30"/>
      <c r="R94" s="30"/>
      <c r="S94" s="30"/>
      <c r="T94" s="30"/>
      <c r="U94" s="30"/>
      <c r="V94" s="30"/>
      <c r="W94" s="30"/>
      <c r="X94" s="30"/>
      <c r="Y94" s="30"/>
      <c r="Z94" s="30"/>
      <c r="AA94" s="30"/>
      <c r="AB94" s="30"/>
    </row>
    <row r="95" spans="2:28" x14ac:dyDescent="0.2">
      <c r="B95" s="30"/>
      <c r="C95" s="30"/>
      <c r="D95" s="30"/>
      <c r="E95" s="30"/>
      <c r="F95" s="30"/>
      <c r="G95" s="30"/>
      <c r="H95" s="30"/>
      <c r="I95" s="30"/>
      <c r="J95" s="30"/>
      <c r="K95" s="30"/>
      <c r="L95" s="30"/>
      <c r="M95" s="30"/>
      <c r="N95" s="30"/>
      <c r="O95" s="30"/>
      <c r="P95" s="30"/>
      <c r="Q95" s="30"/>
      <c r="R95" s="30"/>
      <c r="S95" s="30"/>
      <c r="T95" s="30"/>
      <c r="U95" s="30"/>
      <c r="V95" s="30"/>
      <c r="W95" s="30"/>
      <c r="X95" s="30"/>
      <c r="Y95" s="30"/>
      <c r="Z95" s="30"/>
      <c r="AA95" s="30"/>
      <c r="AB95" s="30"/>
    </row>
    <row r="96" spans="2:28" x14ac:dyDescent="0.2">
      <c r="B96" s="30"/>
      <c r="C96" s="30"/>
      <c r="D96" s="30"/>
      <c r="E96" s="30"/>
      <c r="F96" s="30"/>
      <c r="G96" s="30"/>
      <c r="H96" s="30"/>
      <c r="I96" s="30"/>
      <c r="J96" s="30"/>
      <c r="K96" s="30"/>
      <c r="L96" s="30"/>
      <c r="M96" s="30"/>
      <c r="N96" s="30"/>
      <c r="O96" s="30"/>
      <c r="P96" s="30"/>
      <c r="Q96" s="30"/>
      <c r="R96" s="30"/>
      <c r="S96" s="30"/>
      <c r="T96" s="30"/>
      <c r="U96" s="30"/>
      <c r="V96" s="30"/>
      <c r="W96" s="30"/>
      <c r="X96" s="30"/>
      <c r="Y96" s="30"/>
      <c r="Z96" s="30"/>
      <c r="AA96" s="30"/>
      <c r="AB96" s="30"/>
    </row>
    <row r="97" spans="2:28" x14ac:dyDescent="0.2">
      <c r="B97" s="30"/>
      <c r="C97" s="30"/>
      <c r="D97" s="30"/>
      <c r="E97" s="30"/>
      <c r="F97" s="30"/>
      <c r="G97" s="30"/>
      <c r="H97" s="30"/>
      <c r="I97" s="30"/>
      <c r="J97" s="30"/>
      <c r="K97" s="30"/>
      <c r="L97" s="30"/>
      <c r="M97" s="30"/>
      <c r="N97" s="30"/>
      <c r="O97" s="30"/>
      <c r="P97" s="30"/>
      <c r="Q97" s="30"/>
      <c r="R97" s="30"/>
      <c r="S97" s="30"/>
      <c r="T97" s="30"/>
      <c r="U97" s="30"/>
      <c r="V97" s="30"/>
      <c r="W97" s="30"/>
      <c r="X97" s="30"/>
      <c r="Y97" s="30"/>
      <c r="Z97" s="30"/>
      <c r="AA97" s="30"/>
      <c r="AB97" s="30"/>
    </row>
    <row r="98" spans="2:28" x14ac:dyDescent="0.2">
      <c r="B98" s="30"/>
      <c r="C98" s="30"/>
      <c r="D98" s="30"/>
      <c r="E98" s="30"/>
      <c r="F98" s="30"/>
      <c r="G98" s="30"/>
      <c r="H98" s="30"/>
      <c r="I98" s="30"/>
      <c r="J98" s="30"/>
      <c r="K98" s="30"/>
      <c r="L98" s="30"/>
      <c r="M98" s="30"/>
      <c r="N98" s="30"/>
      <c r="O98" s="30"/>
      <c r="P98" s="30"/>
      <c r="Q98" s="30"/>
      <c r="R98" s="30"/>
      <c r="S98" s="30"/>
      <c r="T98" s="30"/>
      <c r="U98" s="30"/>
      <c r="V98" s="30"/>
      <c r="W98" s="30"/>
      <c r="X98" s="30"/>
      <c r="Y98" s="30"/>
      <c r="Z98" s="30"/>
      <c r="AA98" s="30"/>
      <c r="AB98" s="30"/>
    </row>
    <row r="99" spans="2:28" x14ac:dyDescent="0.2">
      <c r="B99" s="30"/>
      <c r="C99" s="30"/>
      <c r="D99" s="30"/>
      <c r="E99" s="30"/>
      <c r="F99" s="30"/>
      <c r="G99" s="30"/>
      <c r="H99" s="30"/>
      <c r="I99" s="30"/>
      <c r="J99" s="30"/>
      <c r="K99" s="30"/>
      <c r="L99" s="30"/>
      <c r="M99" s="30"/>
      <c r="N99" s="30"/>
      <c r="O99" s="30"/>
      <c r="P99" s="30"/>
      <c r="Q99" s="30"/>
      <c r="R99" s="30"/>
      <c r="S99" s="30"/>
      <c r="T99" s="30"/>
      <c r="U99" s="30"/>
      <c r="V99" s="30"/>
      <c r="W99" s="30"/>
      <c r="X99" s="30"/>
      <c r="Y99" s="30"/>
      <c r="Z99" s="30"/>
      <c r="AA99" s="30"/>
      <c r="AB99" s="30"/>
    </row>
    <row r="100" spans="2:28" x14ac:dyDescent="0.2">
      <c r="B100" s="30"/>
      <c r="C100" s="30"/>
      <c r="D100" s="30"/>
      <c r="E100" s="30"/>
      <c r="F100" s="30"/>
      <c r="G100" s="30"/>
      <c r="H100" s="30"/>
      <c r="I100" s="30"/>
      <c r="J100" s="30"/>
      <c r="K100" s="30"/>
      <c r="L100" s="30"/>
      <c r="M100" s="30"/>
      <c r="N100" s="30"/>
      <c r="O100" s="30"/>
      <c r="P100" s="30"/>
      <c r="Q100" s="30"/>
      <c r="R100" s="30"/>
      <c r="S100" s="30"/>
      <c r="T100" s="30"/>
      <c r="U100" s="30"/>
      <c r="V100" s="30"/>
      <c r="W100" s="30"/>
      <c r="X100" s="30"/>
      <c r="Y100" s="30"/>
      <c r="Z100" s="30"/>
      <c r="AA100" s="30"/>
      <c r="AB100" s="30"/>
    </row>
    <row r="101" spans="2:28" x14ac:dyDescent="0.2">
      <c r="B101" s="30"/>
      <c r="C101" s="30"/>
      <c r="D101" s="30"/>
      <c r="E101" s="30"/>
      <c r="F101" s="30"/>
      <c r="G101" s="30"/>
      <c r="H101" s="30"/>
      <c r="I101" s="30"/>
      <c r="J101" s="30"/>
      <c r="K101" s="30"/>
      <c r="L101" s="30"/>
      <c r="M101" s="30"/>
      <c r="N101" s="30"/>
      <c r="O101" s="30"/>
      <c r="P101" s="30"/>
      <c r="Q101" s="30"/>
      <c r="R101" s="30"/>
      <c r="S101" s="30"/>
      <c r="T101" s="30"/>
      <c r="U101" s="30"/>
      <c r="V101" s="30"/>
      <c r="W101" s="30"/>
      <c r="X101" s="30"/>
      <c r="Y101" s="30"/>
      <c r="Z101" s="30"/>
      <c r="AA101" s="30"/>
      <c r="AB101" s="30"/>
    </row>
    <row r="102" spans="2:28" x14ac:dyDescent="0.2">
      <c r="B102" s="30"/>
      <c r="C102" s="30"/>
      <c r="D102" s="30"/>
      <c r="E102" s="30"/>
      <c r="F102" s="30"/>
      <c r="G102" s="30"/>
      <c r="H102" s="30"/>
      <c r="I102" s="30"/>
      <c r="J102" s="30"/>
      <c r="K102" s="30"/>
      <c r="L102" s="30"/>
      <c r="M102" s="30"/>
      <c r="N102" s="30"/>
      <c r="O102" s="30"/>
      <c r="P102" s="30"/>
      <c r="Q102" s="30"/>
      <c r="R102" s="30"/>
      <c r="S102" s="30"/>
      <c r="T102" s="30"/>
      <c r="U102" s="30"/>
      <c r="V102" s="30"/>
      <c r="W102" s="30"/>
      <c r="X102" s="30"/>
      <c r="Y102" s="30"/>
      <c r="Z102" s="30"/>
      <c r="AA102" s="30"/>
      <c r="AB102" s="30"/>
    </row>
    <row r="103" spans="2:28" x14ac:dyDescent="0.2">
      <c r="B103" s="30"/>
      <c r="C103" s="30"/>
      <c r="D103" s="30"/>
      <c r="E103" s="30"/>
      <c r="F103" s="30"/>
      <c r="G103" s="30"/>
      <c r="H103" s="30"/>
      <c r="I103" s="30"/>
      <c r="J103" s="30"/>
      <c r="K103" s="30"/>
      <c r="L103" s="30"/>
      <c r="M103" s="30"/>
      <c r="N103" s="30"/>
      <c r="O103" s="30"/>
      <c r="P103" s="30"/>
      <c r="Q103" s="30"/>
      <c r="R103" s="30"/>
      <c r="S103" s="30"/>
      <c r="T103" s="30"/>
      <c r="U103" s="30"/>
      <c r="V103" s="30"/>
      <c r="W103" s="30"/>
      <c r="X103" s="30"/>
      <c r="Y103" s="30"/>
      <c r="Z103" s="30"/>
      <c r="AA103" s="30"/>
      <c r="AB103" s="30"/>
    </row>
    <row r="104" spans="2:28" x14ac:dyDescent="0.2">
      <c r="B104" s="30"/>
      <c r="C104" s="30"/>
      <c r="D104" s="30"/>
      <c r="E104" s="30"/>
      <c r="F104" s="30"/>
      <c r="G104" s="30"/>
      <c r="H104" s="30"/>
      <c r="I104" s="30"/>
      <c r="J104" s="30"/>
      <c r="K104" s="30"/>
      <c r="L104" s="30"/>
      <c r="M104" s="30"/>
      <c r="N104" s="30"/>
      <c r="O104" s="30"/>
      <c r="P104" s="30"/>
      <c r="Q104" s="30"/>
      <c r="R104" s="30"/>
      <c r="S104" s="30"/>
      <c r="T104" s="30"/>
      <c r="U104" s="30"/>
      <c r="V104" s="30"/>
      <c r="W104" s="30"/>
      <c r="X104" s="30"/>
      <c r="Y104" s="30"/>
      <c r="Z104" s="30"/>
      <c r="AA104" s="30"/>
      <c r="AB104" s="30"/>
    </row>
    <row r="105" spans="2:28" x14ac:dyDescent="0.2">
      <c r="B105" s="30"/>
      <c r="C105" s="30"/>
      <c r="D105" s="30"/>
      <c r="E105" s="30"/>
      <c r="F105" s="30"/>
      <c r="G105" s="30"/>
      <c r="H105" s="30"/>
      <c r="I105" s="30"/>
      <c r="J105" s="30"/>
      <c r="K105" s="30"/>
      <c r="L105" s="30"/>
      <c r="M105" s="30"/>
      <c r="N105" s="30"/>
      <c r="O105" s="30"/>
      <c r="P105" s="30"/>
      <c r="Q105" s="30"/>
      <c r="R105" s="30"/>
      <c r="S105" s="30"/>
      <c r="T105" s="30"/>
      <c r="U105" s="30"/>
      <c r="V105" s="30"/>
      <c r="W105" s="30"/>
      <c r="X105" s="30"/>
      <c r="Y105" s="30"/>
      <c r="Z105" s="30"/>
      <c r="AA105" s="30"/>
      <c r="AB105" s="30"/>
    </row>
    <row r="106" spans="2:28" x14ac:dyDescent="0.2">
      <c r="B106" s="30"/>
      <c r="C106" s="30"/>
      <c r="D106" s="30"/>
      <c r="E106" s="30"/>
      <c r="F106" s="30"/>
      <c r="G106" s="30"/>
      <c r="H106" s="30"/>
      <c r="I106" s="30"/>
      <c r="J106" s="30"/>
      <c r="K106" s="30"/>
      <c r="L106" s="30"/>
      <c r="M106" s="30"/>
      <c r="N106" s="30"/>
      <c r="O106" s="30"/>
      <c r="P106" s="30"/>
      <c r="Q106" s="30"/>
      <c r="R106" s="30"/>
      <c r="S106" s="30"/>
      <c r="T106" s="30"/>
      <c r="U106" s="30"/>
      <c r="V106" s="30"/>
      <c r="W106" s="30"/>
      <c r="X106" s="30"/>
      <c r="Y106" s="30"/>
      <c r="Z106" s="30"/>
      <c r="AA106" s="30"/>
      <c r="AB106" s="30"/>
    </row>
    <row r="107" spans="2:28" x14ac:dyDescent="0.2">
      <c r="B107" s="30"/>
      <c r="C107" s="30"/>
      <c r="D107" s="30"/>
      <c r="E107" s="30"/>
      <c r="F107" s="30"/>
      <c r="G107" s="30"/>
      <c r="H107" s="30"/>
      <c r="I107" s="30"/>
      <c r="J107" s="30"/>
      <c r="K107" s="30"/>
      <c r="L107" s="30"/>
      <c r="M107" s="30"/>
      <c r="N107" s="30"/>
      <c r="O107" s="30"/>
      <c r="P107" s="30"/>
      <c r="Q107" s="30"/>
      <c r="R107" s="30"/>
      <c r="S107" s="30"/>
      <c r="T107" s="30"/>
      <c r="U107" s="30"/>
      <c r="V107" s="30"/>
      <c r="W107" s="30"/>
      <c r="X107" s="30"/>
      <c r="Y107" s="30"/>
      <c r="Z107" s="30"/>
      <c r="AA107" s="30"/>
      <c r="AB107" s="30"/>
    </row>
    <row r="108" spans="2:28" x14ac:dyDescent="0.2">
      <c r="B108" s="30"/>
      <c r="C108" s="30"/>
      <c r="D108" s="30"/>
      <c r="E108" s="30"/>
      <c r="F108" s="30"/>
      <c r="G108" s="30"/>
      <c r="H108" s="30"/>
      <c r="I108" s="30"/>
      <c r="J108" s="30"/>
      <c r="K108" s="30"/>
      <c r="L108" s="30"/>
      <c r="M108" s="30"/>
      <c r="N108" s="30"/>
      <c r="O108" s="30"/>
      <c r="P108" s="30"/>
      <c r="Q108" s="30"/>
      <c r="R108" s="30"/>
      <c r="S108" s="30"/>
      <c r="T108" s="30"/>
      <c r="U108" s="30"/>
      <c r="V108" s="30"/>
      <c r="W108" s="30"/>
      <c r="X108" s="30"/>
      <c r="Y108" s="30"/>
      <c r="Z108" s="30"/>
      <c r="AA108" s="30"/>
      <c r="AB108" s="30"/>
    </row>
    <row r="109" spans="2:28" x14ac:dyDescent="0.2">
      <c r="B109" s="30"/>
      <c r="C109" s="30"/>
      <c r="D109" s="30"/>
      <c r="E109" s="30"/>
      <c r="F109" s="30"/>
      <c r="G109" s="30"/>
      <c r="H109" s="30"/>
      <c r="I109" s="30"/>
      <c r="J109" s="30"/>
      <c r="K109" s="30"/>
      <c r="L109" s="30"/>
      <c r="M109" s="30"/>
      <c r="N109" s="30"/>
      <c r="O109" s="30"/>
      <c r="P109" s="30"/>
      <c r="Q109" s="30"/>
      <c r="R109" s="30"/>
      <c r="S109" s="30"/>
      <c r="T109" s="30"/>
      <c r="U109" s="30"/>
      <c r="V109" s="30"/>
      <c r="W109" s="30"/>
      <c r="X109" s="30"/>
      <c r="Y109" s="30"/>
      <c r="Z109" s="30"/>
      <c r="AA109" s="30"/>
      <c r="AB109" s="30"/>
    </row>
    <row r="110" spans="2:28" x14ac:dyDescent="0.2">
      <c r="B110" s="30"/>
      <c r="C110" s="30"/>
      <c r="D110" s="30"/>
      <c r="E110" s="30"/>
      <c r="F110" s="30"/>
      <c r="G110" s="30"/>
      <c r="H110" s="30"/>
      <c r="I110" s="30"/>
      <c r="J110" s="30"/>
      <c r="K110" s="30"/>
      <c r="L110" s="30"/>
      <c r="M110" s="30"/>
      <c r="N110" s="30"/>
      <c r="O110" s="30"/>
      <c r="P110" s="30"/>
      <c r="Q110" s="30"/>
      <c r="R110" s="30"/>
      <c r="S110" s="30"/>
      <c r="T110" s="30"/>
      <c r="U110" s="30"/>
      <c r="V110" s="30"/>
      <c r="W110" s="30"/>
      <c r="X110" s="30"/>
      <c r="Y110" s="30"/>
      <c r="Z110" s="30"/>
      <c r="AA110" s="30"/>
      <c r="AB110" s="30"/>
    </row>
    <row r="111" spans="2:28" x14ac:dyDescent="0.2">
      <c r="B111" s="30"/>
      <c r="C111" s="30"/>
      <c r="D111" s="30"/>
      <c r="E111" s="30"/>
      <c r="F111" s="30"/>
      <c r="G111" s="30"/>
      <c r="H111" s="30"/>
      <c r="I111" s="30"/>
      <c r="J111" s="30"/>
      <c r="K111" s="30"/>
      <c r="L111" s="30"/>
      <c r="M111" s="30"/>
      <c r="N111" s="30"/>
      <c r="O111" s="30"/>
      <c r="P111" s="30"/>
      <c r="Q111" s="30"/>
      <c r="R111" s="30"/>
      <c r="S111" s="30"/>
      <c r="T111" s="30"/>
      <c r="U111" s="30"/>
      <c r="V111" s="30"/>
      <c r="W111" s="30"/>
      <c r="X111" s="30"/>
      <c r="Y111" s="30"/>
      <c r="Z111" s="30"/>
      <c r="AA111" s="30"/>
      <c r="AB111" s="30"/>
    </row>
    <row r="112" spans="2:28" x14ac:dyDescent="0.2">
      <c r="B112" s="30"/>
      <c r="C112" s="30"/>
      <c r="D112" s="30"/>
      <c r="E112" s="30"/>
      <c r="F112" s="30"/>
      <c r="G112" s="30"/>
      <c r="H112" s="30"/>
      <c r="I112" s="30"/>
      <c r="J112" s="30"/>
      <c r="K112" s="30"/>
      <c r="L112" s="30"/>
      <c r="M112" s="30"/>
      <c r="N112" s="30"/>
      <c r="O112" s="30"/>
      <c r="P112" s="30"/>
      <c r="Q112" s="30"/>
      <c r="R112" s="30"/>
      <c r="S112" s="30"/>
      <c r="T112" s="30"/>
      <c r="U112" s="30"/>
      <c r="V112" s="30"/>
      <c r="W112" s="30"/>
      <c r="X112" s="30"/>
      <c r="Y112" s="30"/>
      <c r="Z112" s="30"/>
      <c r="AA112" s="30"/>
      <c r="AB112" s="30"/>
    </row>
    <row r="113" spans="2:28" x14ac:dyDescent="0.2">
      <c r="B113" s="30"/>
      <c r="C113" s="30"/>
      <c r="D113" s="30"/>
      <c r="E113" s="30"/>
      <c r="F113" s="30"/>
      <c r="G113" s="30"/>
      <c r="H113" s="30"/>
      <c r="I113" s="30"/>
      <c r="J113" s="30"/>
      <c r="K113" s="30"/>
      <c r="L113" s="30"/>
      <c r="M113" s="30"/>
      <c r="N113" s="30"/>
      <c r="O113" s="30"/>
      <c r="P113" s="30"/>
      <c r="Q113" s="30"/>
      <c r="R113" s="30"/>
      <c r="S113" s="30"/>
      <c r="T113" s="30"/>
      <c r="U113" s="30"/>
      <c r="V113" s="30"/>
      <c r="W113" s="30"/>
      <c r="X113" s="30"/>
      <c r="Y113" s="30"/>
      <c r="Z113" s="30"/>
      <c r="AA113" s="30"/>
      <c r="AB113" s="30"/>
    </row>
    <row r="114" spans="2:28" x14ac:dyDescent="0.2">
      <c r="B114" s="30"/>
      <c r="C114" s="30"/>
      <c r="D114" s="30"/>
      <c r="E114" s="30"/>
      <c r="F114" s="30"/>
      <c r="G114" s="30"/>
      <c r="H114" s="30"/>
      <c r="I114" s="30"/>
      <c r="J114" s="30"/>
      <c r="K114" s="30"/>
      <c r="L114" s="30"/>
      <c r="M114" s="30"/>
      <c r="N114" s="30"/>
      <c r="O114" s="30"/>
      <c r="P114" s="30"/>
      <c r="Q114" s="30"/>
      <c r="R114" s="30"/>
      <c r="S114" s="30"/>
      <c r="T114" s="30"/>
      <c r="U114" s="30"/>
      <c r="V114" s="30"/>
      <c r="W114" s="30"/>
      <c r="X114" s="30"/>
      <c r="Y114" s="30"/>
      <c r="Z114" s="30"/>
      <c r="AA114" s="30"/>
      <c r="AB114" s="30"/>
    </row>
    <row r="115" spans="2:28" x14ac:dyDescent="0.2">
      <c r="B115" s="30"/>
      <c r="C115" s="30"/>
      <c r="D115" s="30"/>
      <c r="E115" s="30"/>
      <c r="F115" s="30"/>
      <c r="G115" s="30"/>
      <c r="H115" s="30"/>
      <c r="I115" s="30"/>
      <c r="J115" s="30"/>
      <c r="K115" s="30"/>
      <c r="L115" s="30"/>
      <c r="M115" s="30"/>
      <c r="N115" s="30"/>
      <c r="O115" s="30"/>
      <c r="P115" s="30"/>
      <c r="Q115" s="30"/>
      <c r="R115" s="30"/>
      <c r="S115" s="30"/>
      <c r="T115" s="30"/>
      <c r="U115" s="30"/>
      <c r="V115" s="30"/>
      <c r="W115" s="30"/>
      <c r="X115" s="30"/>
      <c r="Y115" s="30"/>
      <c r="Z115" s="30"/>
      <c r="AA115" s="30"/>
      <c r="AB115" s="30"/>
    </row>
    <row r="116" spans="2:28" x14ac:dyDescent="0.2">
      <c r="B116" s="30"/>
      <c r="C116" s="30"/>
      <c r="D116" s="30"/>
      <c r="E116" s="30"/>
      <c r="F116" s="30"/>
      <c r="G116" s="30"/>
      <c r="H116" s="30"/>
      <c r="I116" s="30"/>
      <c r="J116" s="30"/>
      <c r="K116" s="30"/>
      <c r="L116" s="30"/>
      <c r="M116" s="30"/>
      <c r="N116" s="30"/>
      <c r="O116" s="30"/>
      <c r="P116" s="30"/>
      <c r="Q116" s="30"/>
      <c r="R116" s="30"/>
      <c r="S116" s="30"/>
      <c r="T116" s="30"/>
      <c r="U116" s="30"/>
      <c r="V116" s="30"/>
      <c r="W116" s="30"/>
      <c r="X116" s="30"/>
      <c r="Y116" s="30"/>
      <c r="Z116" s="30"/>
      <c r="AA116" s="30"/>
      <c r="AB116" s="30"/>
    </row>
    <row r="117" spans="2:28" x14ac:dyDescent="0.2">
      <c r="B117" s="30"/>
      <c r="C117" s="30"/>
      <c r="D117" s="30"/>
      <c r="E117" s="30"/>
      <c r="F117" s="30"/>
      <c r="G117" s="30"/>
      <c r="H117" s="30"/>
      <c r="I117" s="30"/>
      <c r="J117" s="30"/>
      <c r="K117" s="30"/>
      <c r="L117" s="30"/>
      <c r="M117" s="30"/>
      <c r="N117" s="30"/>
      <c r="O117" s="30"/>
      <c r="P117" s="30"/>
      <c r="Q117" s="30"/>
      <c r="R117" s="30"/>
      <c r="S117" s="30"/>
      <c r="T117" s="30"/>
      <c r="U117" s="30"/>
      <c r="V117" s="30"/>
      <c r="W117" s="30"/>
      <c r="X117" s="30"/>
      <c r="Y117" s="30"/>
      <c r="Z117" s="30"/>
      <c r="AA117" s="30"/>
      <c r="AB117" s="30"/>
    </row>
    <row r="118" spans="2:28" x14ac:dyDescent="0.2">
      <c r="B118" s="30"/>
      <c r="C118" s="30"/>
      <c r="D118" s="30"/>
      <c r="E118" s="30"/>
      <c r="F118" s="30"/>
      <c r="G118" s="30"/>
      <c r="H118" s="30"/>
      <c r="I118" s="30"/>
      <c r="J118" s="30"/>
      <c r="K118" s="30"/>
      <c r="L118" s="30"/>
      <c r="M118" s="30"/>
      <c r="N118" s="30"/>
      <c r="O118" s="30"/>
      <c r="P118" s="30"/>
      <c r="Q118" s="30"/>
      <c r="R118" s="30"/>
      <c r="S118" s="30"/>
      <c r="T118" s="30"/>
      <c r="U118" s="30"/>
      <c r="V118" s="30"/>
      <c r="W118" s="30"/>
      <c r="X118" s="30"/>
      <c r="Y118" s="30"/>
      <c r="Z118" s="30"/>
      <c r="AA118" s="30"/>
      <c r="AB118" s="30"/>
    </row>
    <row r="119" spans="2:28" x14ac:dyDescent="0.2">
      <c r="B119" s="30"/>
      <c r="C119" s="30"/>
      <c r="D119" s="30"/>
      <c r="E119" s="30"/>
      <c r="F119" s="30"/>
      <c r="G119" s="30"/>
      <c r="H119" s="30"/>
      <c r="I119" s="30"/>
      <c r="J119" s="30"/>
      <c r="K119" s="30"/>
      <c r="L119" s="30"/>
      <c r="M119" s="30"/>
      <c r="N119" s="30"/>
      <c r="O119" s="30"/>
      <c r="P119" s="30"/>
      <c r="Q119" s="30"/>
      <c r="R119" s="30"/>
      <c r="S119" s="30"/>
      <c r="T119" s="30"/>
      <c r="U119" s="30"/>
      <c r="V119" s="30"/>
      <c r="W119" s="30"/>
      <c r="X119" s="30"/>
      <c r="Y119" s="30"/>
      <c r="Z119" s="30"/>
      <c r="AA119" s="30"/>
      <c r="AB119" s="30"/>
    </row>
    <row r="120" spans="2:28" x14ac:dyDescent="0.2">
      <c r="B120" s="30"/>
      <c r="C120" s="30"/>
      <c r="D120" s="30"/>
      <c r="E120" s="30"/>
      <c r="F120" s="30"/>
      <c r="G120" s="30"/>
      <c r="H120" s="30"/>
      <c r="I120" s="30"/>
      <c r="J120" s="30"/>
      <c r="K120" s="30"/>
      <c r="L120" s="30"/>
      <c r="M120" s="30"/>
      <c r="N120" s="30"/>
      <c r="O120" s="30"/>
      <c r="P120" s="30"/>
      <c r="Q120" s="30"/>
      <c r="R120" s="30"/>
      <c r="S120" s="30"/>
      <c r="T120" s="30"/>
      <c r="U120" s="30"/>
      <c r="V120" s="30"/>
      <c r="W120" s="30"/>
      <c r="X120" s="30"/>
      <c r="Y120" s="30"/>
      <c r="Z120" s="30"/>
      <c r="AA120" s="30"/>
      <c r="AB120" s="30"/>
    </row>
    <row r="121" spans="2:28" x14ac:dyDescent="0.2">
      <c r="B121" s="30"/>
      <c r="C121" s="30"/>
      <c r="D121" s="30"/>
      <c r="E121" s="30"/>
      <c r="F121" s="30"/>
      <c r="G121" s="30"/>
      <c r="H121" s="30"/>
      <c r="I121" s="30"/>
      <c r="J121" s="30"/>
      <c r="K121" s="30"/>
      <c r="L121" s="30"/>
      <c r="M121" s="30"/>
      <c r="N121" s="30"/>
      <c r="O121" s="30"/>
      <c r="P121" s="30"/>
      <c r="Q121" s="30"/>
      <c r="R121" s="30"/>
      <c r="S121" s="30"/>
      <c r="T121" s="30"/>
      <c r="U121" s="30"/>
      <c r="V121" s="30"/>
      <c r="W121" s="30"/>
      <c r="X121" s="30"/>
      <c r="Y121" s="30"/>
      <c r="Z121" s="30"/>
      <c r="AA121" s="30"/>
      <c r="AB121" s="30"/>
    </row>
    <row r="122" spans="2:28" x14ac:dyDescent="0.2">
      <c r="B122" s="30"/>
      <c r="C122" s="30"/>
      <c r="D122" s="30"/>
      <c r="E122" s="30"/>
      <c r="F122" s="30"/>
      <c r="G122" s="30"/>
      <c r="H122" s="30"/>
      <c r="I122" s="30"/>
      <c r="J122" s="30"/>
      <c r="K122" s="30"/>
      <c r="L122" s="30"/>
      <c r="M122" s="30"/>
      <c r="N122" s="30"/>
      <c r="O122" s="30"/>
      <c r="P122" s="30"/>
      <c r="Q122" s="30"/>
      <c r="R122" s="30"/>
      <c r="S122" s="30"/>
      <c r="T122" s="30"/>
      <c r="U122" s="30"/>
      <c r="V122" s="30"/>
      <c r="W122" s="30"/>
      <c r="X122" s="30"/>
      <c r="Y122" s="30"/>
      <c r="Z122" s="30"/>
      <c r="AA122" s="30"/>
      <c r="AB122" s="30"/>
    </row>
    <row r="123" spans="2:28" x14ac:dyDescent="0.2">
      <c r="B123" s="30"/>
      <c r="C123" s="30"/>
      <c r="D123" s="30"/>
      <c r="E123" s="30"/>
      <c r="F123" s="30"/>
      <c r="G123" s="30"/>
      <c r="H123" s="30"/>
      <c r="I123" s="30"/>
      <c r="J123" s="30"/>
      <c r="K123" s="30"/>
      <c r="L123" s="30"/>
      <c r="M123" s="30"/>
      <c r="N123" s="30"/>
      <c r="O123" s="30"/>
      <c r="P123" s="30"/>
      <c r="Q123" s="30"/>
      <c r="R123" s="30"/>
      <c r="S123" s="30"/>
      <c r="T123" s="30"/>
      <c r="U123" s="30"/>
      <c r="V123" s="30"/>
      <c r="W123" s="30"/>
      <c r="X123" s="30"/>
      <c r="Y123" s="30"/>
      <c r="Z123" s="30"/>
      <c r="AA123" s="30"/>
      <c r="AB123" s="30"/>
    </row>
    <row r="124" spans="2:28" x14ac:dyDescent="0.2">
      <c r="B124" s="30"/>
      <c r="C124" s="30"/>
      <c r="D124" s="30"/>
      <c r="E124" s="30"/>
      <c r="F124" s="30"/>
      <c r="G124" s="30"/>
      <c r="H124" s="30"/>
      <c r="I124" s="30"/>
      <c r="J124" s="30"/>
      <c r="K124" s="30"/>
      <c r="L124" s="30"/>
      <c r="M124" s="30"/>
      <c r="N124" s="30"/>
      <c r="O124" s="30"/>
      <c r="P124" s="30"/>
      <c r="Q124" s="30"/>
      <c r="R124" s="30"/>
      <c r="S124" s="30"/>
      <c r="T124" s="30"/>
      <c r="U124" s="30"/>
      <c r="V124" s="30"/>
      <c r="W124" s="30"/>
      <c r="X124" s="30"/>
      <c r="Y124" s="30"/>
      <c r="Z124" s="30"/>
      <c r="AA124" s="30"/>
      <c r="AB124" s="30"/>
    </row>
    <row r="125" spans="2:28" x14ac:dyDescent="0.2">
      <c r="B125" s="30"/>
      <c r="C125" s="30"/>
      <c r="D125" s="30"/>
      <c r="E125" s="30"/>
      <c r="F125" s="30"/>
      <c r="G125" s="30"/>
      <c r="H125" s="30"/>
      <c r="I125" s="30"/>
      <c r="J125" s="30"/>
      <c r="K125" s="30"/>
      <c r="L125" s="30"/>
      <c r="M125" s="30"/>
      <c r="N125" s="30"/>
      <c r="O125" s="30"/>
      <c r="P125" s="30"/>
      <c r="Q125" s="30"/>
      <c r="R125" s="30"/>
      <c r="S125" s="30"/>
      <c r="T125" s="30"/>
      <c r="U125" s="30"/>
      <c r="V125" s="30"/>
      <c r="W125" s="30"/>
      <c r="X125" s="30"/>
      <c r="Y125" s="30"/>
      <c r="Z125" s="30"/>
      <c r="AA125" s="30"/>
      <c r="AB125" s="30"/>
    </row>
    <row r="126" spans="2:28" x14ac:dyDescent="0.2">
      <c r="B126" s="30"/>
      <c r="C126" s="30"/>
      <c r="D126" s="30"/>
      <c r="E126" s="30"/>
      <c r="F126" s="30"/>
      <c r="G126" s="30"/>
      <c r="H126" s="30"/>
      <c r="I126" s="30"/>
      <c r="J126" s="30"/>
      <c r="K126" s="30"/>
      <c r="L126" s="30"/>
      <c r="M126" s="30"/>
      <c r="N126" s="30"/>
      <c r="O126" s="30"/>
      <c r="P126" s="30"/>
      <c r="Q126" s="30"/>
      <c r="R126" s="30"/>
      <c r="S126" s="30"/>
      <c r="T126" s="30"/>
      <c r="U126" s="30"/>
      <c r="V126" s="30"/>
      <c r="W126" s="30"/>
      <c r="X126" s="30"/>
      <c r="Y126" s="30"/>
      <c r="Z126" s="30"/>
      <c r="AA126" s="30"/>
      <c r="AB126" s="30"/>
    </row>
    <row r="127" spans="2:28" x14ac:dyDescent="0.2">
      <c r="B127" s="30"/>
      <c r="C127" s="30"/>
      <c r="D127" s="30"/>
      <c r="E127" s="30"/>
      <c r="F127" s="30"/>
      <c r="G127" s="30"/>
      <c r="H127" s="30"/>
      <c r="I127" s="30"/>
      <c r="J127" s="30"/>
      <c r="K127" s="30"/>
      <c r="L127" s="30"/>
      <c r="M127" s="30"/>
      <c r="N127" s="30"/>
      <c r="O127" s="30"/>
      <c r="P127" s="30"/>
      <c r="Q127" s="30"/>
      <c r="R127" s="30"/>
      <c r="S127" s="30"/>
      <c r="T127" s="30"/>
      <c r="U127" s="30"/>
      <c r="V127" s="30"/>
      <c r="W127" s="30"/>
      <c r="X127" s="30"/>
      <c r="Y127" s="30"/>
      <c r="Z127" s="30"/>
      <c r="AA127" s="30"/>
      <c r="AB127" s="30"/>
    </row>
    <row r="128" spans="2:28" x14ac:dyDescent="0.2">
      <c r="B128" s="30"/>
      <c r="C128" s="30"/>
      <c r="D128" s="30"/>
      <c r="E128" s="30"/>
      <c r="F128" s="30"/>
      <c r="G128" s="30"/>
      <c r="H128" s="30"/>
      <c r="I128" s="30"/>
      <c r="J128" s="30"/>
      <c r="K128" s="30"/>
      <c r="L128" s="30"/>
      <c r="M128" s="30"/>
      <c r="N128" s="30"/>
      <c r="O128" s="30"/>
      <c r="P128" s="30"/>
      <c r="Q128" s="30"/>
      <c r="R128" s="30"/>
      <c r="S128" s="30"/>
      <c r="T128" s="30"/>
      <c r="U128" s="30"/>
      <c r="V128" s="30"/>
      <c r="W128" s="30"/>
      <c r="X128" s="30"/>
      <c r="Y128" s="30"/>
      <c r="Z128" s="30"/>
      <c r="AA128" s="30"/>
      <c r="AB128" s="30"/>
    </row>
    <row r="129" spans="2:28" x14ac:dyDescent="0.2">
      <c r="B129" s="30"/>
      <c r="C129" s="30"/>
      <c r="D129" s="30"/>
      <c r="E129" s="30"/>
      <c r="F129" s="30"/>
      <c r="G129" s="30"/>
      <c r="H129" s="30"/>
      <c r="I129" s="30"/>
      <c r="J129" s="30"/>
      <c r="K129" s="30"/>
      <c r="L129" s="30"/>
      <c r="M129" s="30"/>
      <c r="N129" s="30"/>
      <c r="O129" s="30"/>
      <c r="P129" s="30"/>
      <c r="Q129" s="30"/>
      <c r="R129" s="30"/>
      <c r="S129" s="30"/>
      <c r="T129" s="30"/>
      <c r="U129" s="30"/>
      <c r="V129" s="30"/>
      <c r="W129" s="30"/>
      <c r="X129" s="30"/>
      <c r="Y129" s="30"/>
      <c r="Z129" s="30"/>
      <c r="AA129" s="30"/>
      <c r="AB129" s="30"/>
    </row>
    <row r="130" spans="2:28" x14ac:dyDescent="0.2">
      <c r="B130" s="30"/>
      <c r="C130" s="30"/>
      <c r="D130" s="30"/>
      <c r="E130" s="30"/>
      <c r="F130" s="30"/>
      <c r="G130" s="30"/>
      <c r="H130" s="30"/>
      <c r="I130" s="30"/>
      <c r="J130" s="30"/>
      <c r="K130" s="30"/>
      <c r="L130" s="30"/>
      <c r="M130" s="30"/>
      <c r="N130" s="30"/>
      <c r="O130" s="30"/>
      <c r="P130" s="30"/>
      <c r="Q130" s="30"/>
      <c r="R130" s="30"/>
      <c r="S130" s="30"/>
      <c r="T130" s="30"/>
      <c r="U130" s="30"/>
      <c r="V130" s="30"/>
      <c r="W130" s="30"/>
      <c r="X130" s="30"/>
      <c r="Y130" s="30"/>
      <c r="Z130" s="30"/>
      <c r="AA130" s="30"/>
      <c r="AB130" s="30"/>
    </row>
    <row r="131" spans="2:28" x14ac:dyDescent="0.2">
      <c r="B131" s="30"/>
      <c r="C131" s="30"/>
      <c r="D131" s="30"/>
      <c r="E131" s="30"/>
      <c r="F131" s="30"/>
      <c r="G131" s="30"/>
      <c r="H131" s="30"/>
      <c r="I131" s="30"/>
      <c r="J131" s="30"/>
      <c r="K131" s="30"/>
      <c r="L131" s="30"/>
      <c r="M131" s="30"/>
      <c r="N131" s="30"/>
      <c r="O131" s="30"/>
      <c r="P131" s="30"/>
      <c r="Q131" s="30"/>
      <c r="R131" s="30"/>
      <c r="S131" s="30"/>
      <c r="T131" s="30"/>
      <c r="U131" s="30"/>
      <c r="V131" s="30"/>
      <c r="W131" s="30"/>
      <c r="X131" s="30"/>
      <c r="Y131" s="30"/>
      <c r="Z131" s="30"/>
      <c r="AA131" s="30"/>
      <c r="AB131" s="30"/>
    </row>
    <row r="132" spans="2:28" x14ac:dyDescent="0.2">
      <c r="B132" s="30"/>
      <c r="C132" s="30"/>
      <c r="D132" s="30"/>
      <c r="E132" s="30"/>
      <c r="F132" s="30"/>
      <c r="G132" s="30"/>
      <c r="H132" s="30"/>
      <c r="I132" s="30"/>
      <c r="J132" s="30"/>
      <c r="K132" s="30"/>
      <c r="L132" s="30"/>
      <c r="M132" s="30"/>
      <c r="N132" s="30"/>
      <c r="O132" s="30"/>
      <c r="P132" s="30"/>
      <c r="Q132" s="30"/>
      <c r="R132" s="30"/>
      <c r="S132" s="30"/>
      <c r="T132" s="30"/>
      <c r="U132" s="30"/>
      <c r="V132" s="30"/>
      <c r="W132" s="30"/>
      <c r="X132" s="30"/>
      <c r="Y132" s="30"/>
      <c r="Z132" s="30"/>
      <c r="AA132" s="30"/>
      <c r="AB132" s="30"/>
    </row>
    <row r="133" spans="2:28" x14ac:dyDescent="0.2">
      <c r="B133" s="30"/>
      <c r="C133" s="30"/>
      <c r="D133" s="30"/>
      <c r="E133" s="30"/>
      <c r="F133" s="30"/>
      <c r="G133" s="30"/>
      <c r="H133" s="30"/>
      <c r="I133" s="30"/>
      <c r="J133" s="30"/>
      <c r="K133" s="30"/>
      <c r="L133" s="30"/>
      <c r="M133" s="30"/>
      <c r="N133" s="30"/>
      <c r="O133" s="30"/>
      <c r="P133" s="30"/>
      <c r="Q133" s="30"/>
      <c r="R133" s="30"/>
      <c r="S133" s="30"/>
      <c r="T133" s="30"/>
      <c r="U133" s="30"/>
      <c r="V133" s="30"/>
      <c r="W133" s="30"/>
      <c r="X133" s="30"/>
      <c r="Y133" s="30"/>
      <c r="Z133" s="30"/>
      <c r="AA133" s="30"/>
      <c r="AB133" s="30"/>
    </row>
    <row r="134" spans="2:28" x14ac:dyDescent="0.2">
      <c r="B134" s="30"/>
      <c r="C134" s="30"/>
      <c r="D134" s="30"/>
      <c r="E134" s="30"/>
      <c r="F134" s="30"/>
      <c r="G134" s="30"/>
      <c r="H134" s="30"/>
      <c r="I134" s="30"/>
      <c r="J134" s="30"/>
      <c r="K134" s="30"/>
      <c r="L134" s="30"/>
      <c r="M134" s="30"/>
      <c r="N134" s="30"/>
      <c r="O134" s="30"/>
      <c r="P134" s="30"/>
      <c r="Q134" s="30"/>
      <c r="R134" s="30"/>
      <c r="S134" s="30"/>
      <c r="T134" s="30"/>
      <c r="U134" s="30"/>
      <c r="V134" s="30"/>
      <c r="W134" s="30"/>
      <c r="X134" s="30"/>
      <c r="Y134" s="30"/>
      <c r="Z134" s="30"/>
      <c r="AA134" s="30"/>
      <c r="AB134" s="30"/>
    </row>
  </sheetData>
  <mergeCells count="3">
    <mergeCell ref="B17:E17"/>
    <mergeCell ref="A1:F1"/>
    <mergeCell ref="B19:E19"/>
  </mergeCells>
  <printOptions horizontalCentered="1"/>
  <pageMargins left="0.35" right="0.35" top="0.4" bottom="0.4" header="0.5" footer="0.5"/>
  <pageSetup orientation="landscape"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
  <dimension ref="A1:AS157"/>
  <sheetViews>
    <sheetView showGridLines="0" showZeros="0" zoomScale="75" zoomScaleNormal="75" workbookViewId="0">
      <pane xSplit="8" ySplit="5" topLeftCell="I6" activePane="bottomRight" state="frozen"/>
      <selection pane="topRight" activeCell="I1" sqref="I1"/>
      <selection pane="bottomLeft" activeCell="A6" sqref="A6"/>
      <selection pane="bottomRight" activeCell="V1" sqref="V1:AN1"/>
    </sheetView>
  </sheetViews>
  <sheetFormatPr defaultRowHeight="12.75" x14ac:dyDescent="0.2"/>
  <cols>
    <col min="1" max="1" width="1.7109375" customWidth="1"/>
    <col min="2" max="2" width="11.28515625" customWidth="1"/>
    <col min="3" max="5" width="8" customWidth="1"/>
    <col min="6" max="11" width="9" customWidth="1"/>
    <col min="12" max="14" width="8.5703125" customWidth="1"/>
    <col min="15" max="16" width="8" customWidth="1"/>
    <col min="17" max="18" width="8.5703125" customWidth="1"/>
    <col min="19" max="19" width="48.140625" customWidth="1"/>
    <col min="20" max="20" width="1.7109375" customWidth="1"/>
    <col min="21" max="21" width="3.28515625" customWidth="1"/>
    <col min="22" max="22" width="16.7109375" bestFit="1" customWidth="1"/>
    <col min="23" max="23" width="16.7109375" customWidth="1"/>
    <col min="24" max="24" width="17" bestFit="1" customWidth="1"/>
    <col min="25" max="26" width="16.7109375" customWidth="1"/>
    <col min="27" max="27" width="21.7109375" bestFit="1" customWidth="1"/>
    <col min="28" max="28" width="2" customWidth="1"/>
    <col min="29" max="29" width="16.5703125" bestFit="1" customWidth="1"/>
    <col min="30" max="30" width="2.28515625" customWidth="1"/>
    <col min="31" max="31" width="18.7109375" bestFit="1" customWidth="1"/>
    <col min="32" max="32" width="4" bestFit="1" customWidth="1"/>
    <col min="33" max="33" width="41.42578125" bestFit="1" customWidth="1"/>
    <col min="34" max="34" width="11.7109375" bestFit="1" customWidth="1"/>
    <col min="35" max="35" width="16.85546875" customWidth="1"/>
    <col min="36" max="36" width="9.7109375" bestFit="1" customWidth="1"/>
    <col min="37" max="37" width="3.42578125" bestFit="1" customWidth="1"/>
    <col min="38" max="38" width="3.7109375" bestFit="1" customWidth="1"/>
    <col min="39" max="39" width="5.28515625" bestFit="1" customWidth="1"/>
    <col min="40" max="40" width="10.7109375" customWidth="1"/>
    <col min="42" max="42" width="13.28515625" bestFit="1" customWidth="1"/>
    <col min="43" max="43" width="9.7109375" bestFit="1" customWidth="1"/>
    <col min="44" max="44" width="13.28515625" bestFit="1" customWidth="1"/>
    <col min="45" max="45" width="9.7109375" bestFit="1" customWidth="1"/>
  </cols>
  <sheetData>
    <row r="1" spans="1:45" ht="18" x14ac:dyDescent="0.25">
      <c r="A1" s="1224" t="str">
        <f>UPPER("Resurfacing, Milling &amp; Compacted Aggregate Summary Table")</f>
        <v>RESURFACING, MILLING &amp; COMPACTED AGGREGATE SUMMARY TABLE</v>
      </c>
      <c r="B1" s="1225"/>
      <c r="C1" s="1225"/>
      <c r="D1" s="1225"/>
      <c r="E1" s="1225"/>
      <c r="F1" s="1225"/>
      <c r="G1" s="1225"/>
      <c r="H1" s="1225"/>
      <c r="I1" s="1225"/>
      <c r="J1" s="1225"/>
      <c r="K1" s="1225"/>
      <c r="L1" s="1225"/>
      <c r="M1" s="1225"/>
      <c r="N1" s="1225"/>
      <c r="O1" s="1225"/>
      <c r="P1" s="1225"/>
      <c r="Q1" s="1225"/>
      <c r="R1" s="1225"/>
      <c r="S1" s="1225"/>
      <c r="T1" s="1225"/>
      <c r="U1" s="27"/>
      <c r="V1" s="1292" t="s">
        <v>567</v>
      </c>
      <c r="W1" s="1293"/>
      <c r="X1" s="1293"/>
      <c r="Y1" s="1293"/>
      <c r="Z1" s="1293"/>
      <c r="AA1" s="1293"/>
      <c r="AB1" s="1293"/>
      <c r="AC1" s="1293"/>
      <c r="AD1" s="1293"/>
      <c r="AE1" s="1293"/>
      <c r="AF1" s="1293"/>
      <c r="AG1" s="1293"/>
      <c r="AH1" s="1293"/>
      <c r="AI1" s="1293"/>
      <c r="AJ1" s="1293"/>
      <c r="AK1" s="1293"/>
      <c r="AL1" s="1293"/>
      <c r="AM1" s="1293"/>
      <c r="AN1" s="1293"/>
      <c r="AO1" s="326"/>
    </row>
    <row r="2" spans="1:45" ht="15" customHeight="1" thickBot="1" x14ac:dyDescent="0.25">
      <c r="A2" s="30"/>
      <c r="B2" s="1172">
        <f>IF(AND($F$65=$AA$63,$I$65=$AC$63),"Northbound",IF(AND($F$65=$AA$63,$I$65=$AC$64),"Eastbound",0))</f>
        <v>0</v>
      </c>
      <c r="C2" s="1228"/>
      <c r="D2" s="1228"/>
      <c r="E2" s="1228"/>
      <c r="F2" s="1228"/>
      <c r="G2" s="1228"/>
      <c r="H2" s="1228"/>
      <c r="I2" s="1228"/>
      <c r="J2" s="1228"/>
      <c r="K2" s="1228"/>
      <c r="L2" s="1228"/>
      <c r="M2" s="1228"/>
      <c r="N2" s="1228"/>
      <c r="O2" s="1228"/>
      <c r="P2" s="1228"/>
      <c r="Q2" s="1228"/>
      <c r="R2" s="1228"/>
      <c r="S2" s="1228"/>
      <c r="T2" s="31"/>
      <c r="U2" s="27"/>
      <c r="V2" s="1290" t="s">
        <v>366</v>
      </c>
      <c r="W2" s="1291"/>
      <c r="X2" s="1291"/>
      <c r="Y2" s="1291"/>
      <c r="Z2" s="1291"/>
      <c r="AA2" s="1291"/>
      <c r="AB2" s="1291"/>
      <c r="AC2" s="1291"/>
      <c r="AD2" s="1291"/>
      <c r="AE2" s="1291"/>
      <c r="AF2" s="8"/>
      <c r="AH2" s="1297" t="s">
        <v>331</v>
      </c>
      <c r="AI2" s="1297"/>
      <c r="AJ2" s="1297"/>
      <c r="AK2" s="1297"/>
      <c r="AL2" s="1297"/>
      <c r="AM2" s="1297"/>
      <c r="AN2" s="1297"/>
      <c r="AO2" s="32"/>
      <c r="AP2" s="32"/>
      <c r="AQ2" s="32"/>
      <c r="AR2" s="29"/>
      <c r="AS2" s="30"/>
    </row>
    <row r="3" spans="1:45" ht="15.75" customHeight="1" x14ac:dyDescent="0.2">
      <c r="A3" s="30"/>
      <c r="B3" s="1278" t="s">
        <v>0</v>
      </c>
      <c r="C3" s="1220" t="s">
        <v>213</v>
      </c>
      <c r="D3" s="1221"/>
      <c r="E3" s="1221"/>
      <c r="F3" s="1221"/>
      <c r="G3" s="1222"/>
      <c r="H3" s="1217" t="s">
        <v>352</v>
      </c>
      <c r="I3" s="1220" t="s">
        <v>211</v>
      </c>
      <c r="J3" s="1221"/>
      <c r="K3" s="1222"/>
      <c r="L3" s="1220" t="s">
        <v>212</v>
      </c>
      <c r="M3" s="1221"/>
      <c r="N3" s="1222"/>
      <c r="O3" s="1220" t="s">
        <v>330</v>
      </c>
      <c r="P3" s="1221"/>
      <c r="Q3" s="1223" t="s">
        <v>349</v>
      </c>
      <c r="R3" s="1255" t="s">
        <v>25</v>
      </c>
      <c r="S3" s="1256"/>
      <c r="T3" s="33"/>
      <c r="U3" s="27"/>
      <c r="V3" s="1248" t="s">
        <v>23</v>
      </c>
      <c r="W3" s="1249"/>
      <c r="X3" s="1249"/>
      <c r="Y3" s="1249"/>
      <c r="Z3" s="1250"/>
      <c r="AA3" s="1267" t="s">
        <v>368</v>
      </c>
      <c r="AB3" s="1268"/>
      <c r="AC3" s="1268"/>
      <c r="AD3" s="1268"/>
      <c r="AE3" s="1268"/>
      <c r="AF3" s="1268"/>
      <c r="AG3" s="1269"/>
      <c r="AH3" s="1248" t="s">
        <v>330</v>
      </c>
      <c r="AI3" s="1286"/>
      <c r="AJ3" s="1286"/>
      <c r="AK3" s="1286"/>
      <c r="AL3" s="1286"/>
      <c r="AM3" s="1286"/>
      <c r="AN3" s="1287"/>
      <c r="AO3" s="30"/>
      <c r="AP3" s="1236" t="s">
        <v>221</v>
      </c>
      <c r="AQ3" s="1237"/>
      <c r="AR3" s="1237"/>
      <c r="AS3" s="1238"/>
    </row>
    <row r="4" spans="1:45" ht="12.75" customHeight="1" x14ac:dyDescent="0.2">
      <c r="A4" s="30"/>
      <c r="B4" s="1279"/>
      <c r="C4" s="1281" t="str">
        <f>IF($F$65=$AA$63,"Inside Shoulder","Left Shoulder")</f>
        <v>Left Shoulder</v>
      </c>
      <c r="D4" s="1282"/>
      <c r="E4" s="1226" t="s">
        <v>26</v>
      </c>
      <c r="F4" s="1282" t="str">
        <f>IF($F$65=$AA$63,"Outside Shoulder","Right Shoulder")</f>
        <v>Right Shoulder</v>
      </c>
      <c r="G4" s="1283"/>
      <c r="H4" s="1218"/>
      <c r="I4" s="1284" t="s">
        <v>26</v>
      </c>
      <c r="J4" s="1282" t="s">
        <v>27</v>
      </c>
      <c r="K4" s="1283"/>
      <c r="L4" s="132" t="str">
        <f>IF($AC$6=$AA$63, "Asphalt",IF(AG6=AE63,AG6,IF(AG6=AE64,"Asphalt","Scarifi-")))</f>
        <v>Scarifi-</v>
      </c>
      <c r="M4" s="1226" t="s">
        <v>1</v>
      </c>
      <c r="N4" s="195" t="s">
        <v>24</v>
      </c>
      <c r="O4" s="34" t="s">
        <v>31</v>
      </c>
      <c r="P4" s="35" t="s">
        <v>33</v>
      </c>
      <c r="Q4" s="1200"/>
      <c r="R4" s="1257"/>
      <c r="S4" s="1258"/>
      <c r="T4" s="36"/>
      <c r="U4" s="27"/>
      <c r="V4" s="1230" t="str">
        <f>IF($AC$6=$AA$63, "Asphalt (2nd)",IF(AG6=AE63,AG6,IF(AG6=AE64,AG6,"Scarification")))</f>
        <v>Scarification</v>
      </c>
      <c r="W4" s="1231"/>
      <c r="X4" s="1232" t="s">
        <v>364</v>
      </c>
      <c r="Y4" s="1234" t="s">
        <v>24</v>
      </c>
      <c r="Z4" s="1235"/>
      <c r="AA4" s="1270"/>
      <c r="AB4" s="1271"/>
      <c r="AC4" s="1271"/>
      <c r="AD4" s="1271"/>
      <c r="AE4" s="1271"/>
      <c r="AF4" s="1271"/>
      <c r="AG4" s="1272"/>
      <c r="AH4" s="1264" t="s">
        <v>166</v>
      </c>
      <c r="AI4" s="1230" t="s">
        <v>332</v>
      </c>
      <c r="AJ4" s="1241" t="s">
        <v>333</v>
      </c>
      <c r="AK4" s="1243" t="s">
        <v>334</v>
      </c>
      <c r="AL4" s="1244"/>
      <c r="AM4" s="1245"/>
      <c r="AN4" s="1246" t="s">
        <v>335</v>
      </c>
      <c r="AO4" s="30"/>
      <c r="AP4" s="1229" t="s">
        <v>26</v>
      </c>
      <c r="AQ4" s="1229"/>
      <c r="AR4" s="1229" t="s">
        <v>27</v>
      </c>
      <c r="AS4" s="1229"/>
    </row>
    <row r="5" spans="1:45" ht="12.75" customHeight="1" thickBot="1" x14ac:dyDescent="0.25">
      <c r="A5" s="30"/>
      <c r="B5" s="1280"/>
      <c r="C5" s="23" t="s">
        <v>22</v>
      </c>
      <c r="D5" s="137" t="s">
        <v>21</v>
      </c>
      <c r="E5" s="1227"/>
      <c r="F5" s="137" t="s">
        <v>21</v>
      </c>
      <c r="G5" s="25" t="s">
        <v>22</v>
      </c>
      <c r="H5" s="1219"/>
      <c r="I5" s="1285"/>
      <c r="J5" s="137" t="str">
        <f>IF($W$56=$AA$59,$AA$59,"HMA")</f>
        <v>HMA</v>
      </c>
      <c r="K5" s="25" t="s">
        <v>22</v>
      </c>
      <c r="L5" s="133" t="str">
        <f>IF($AC$6=$AA$63,$AE$6&amp;" in.",IF(AG6=AE63,0,IF(AG6=AE64,"Removal","cation")))</f>
        <v>cation</v>
      </c>
      <c r="M5" s="1227"/>
      <c r="N5" s="1029">
        <f>$AA$6</f>
        <v>0</v>
      </c>
      <c r="O5" s="37" t="s">
        <v>19</v>
      </c>
      <c r="P5" s="38" t="s">
        <v>19</v>
      </c>
      <c r="Q5" s="39" t="s">
        <v>19</v>
      </c>
      <c r="R5" s="1259"/>
      <c r="S5" s="1260"/>
      <c r="T5" s="31"/>
      <c r="U5" s="27"/>
      <c r="V5" s="71" t="s">
        <v>26</v>
      </c>
      <c r="W5" s="72" t="s">
        <v>28</v>
      </c>
      <c r="X5" s="1233"/>
      <c r="Y5" s="72" t="s">
        <v>26</v>
      </c>
      <c r="Z5" s="70" t="s">
        <v>28</v>
      </c>
      <c r="AA5" s="134" t="s">
        <v>367</v>
      </c>
      <c r="AB5" s="40"/>
      <c r="AC5" s="810" t="s">
        <v>369</v>
      </c>
      <c r="AD5" s="810"/>
      <c r="AE5" s="164" t="s">
        <v>372</v>
      </c>
      <c r="AF5" s="164"/>
      <c r="AG5" s="30" t="s">
        <v>692</v>
      </c>
      <c r="AH5" s="1265"/>
      <c r="AI5" s="1266"/>
      <c r="AJ5" s="1242"/>
      <c r="AK5" s="41" t="s">
        <v>63</v>
      </c>
      <c r="AL5" s="42" t="s">
        <v>64</v>
      </c>
      <c r="AM5" s="43" t="s">
        <v>336</v>
      </c>
      <c r="AN5" s="1247"/>
      <c r="AO5" s="30"/>
      <c r="AP5" s="21" t="s">
        <v>225</v>
      </c>
      <c r="AQ5" s="22" t="s">
        <v>222</v>
      </c>
      <c r="AR5" s="21" t="s">
        <v>225</v>
      </c>
      <c r="AS5" s="22" t="s">
        <v>222</v>
      </c>
    </row>
    <row r="6" spans="1:45" ht="12.75" customHeight="1" thickBot="1" x14ac:dyDescent="0.25">
      <c r="A6" s="30"/>
      <c r="B6" s="121"/>
      <c r="C6" s="44"/>
      <c r="D6" s="45"/>
      <c r="E6" s="46"/>
      <c r="F6" s="45"/>
      <c r="G6" s="122"/>
      <c r="H6" s="123"/>
      <c r="I6" s="47"/>
      <c r="J6" s="48"/>
      <c r="K6" s="49"/>
      <c r="L6" s="47"/>
      <c r="M6" s="50"/>
      <c r="N6" s="49"/>
      <c r="O6" s="47"/>
      <c r="P6" s="48"/>
      <c r="Q6" s="49"/>
      <c r="R6" s="1288"/>
      <c r="S6" s="1289"/>
      <c r="T6" s="36"/>
      <c r="U6" s="27"/>
      <c r="V6" s="191" t="s">
        <v>30</v>
      </c>
      <c r="W6" s="192" t="s">
        <v>30</v>
      </c>
      <c r="X6" s="192" t="s">
        <v>29</v>
      </c>
      <c r="Y6" s="192" t="s">
        <v>30</v>
      </c>
      <c r="Z6" s="193" t="s">
        <v>30</v>
      </c>
      <c r="AA6" s="198"/>
      <c r="AB6" s="30"/>
      <c r="AC6" s="194"/>
      <c r="AD6" s="30"/>
      <c r="AE6" s="1010"/>
      <c r="AF6" s="798"/>
      <c r="AG6" s="1011"/>
      <c r="AH6" s="51">
        <f t="shared" ref="AH6:AH46" si="0">B6</f>
        <v>0</v>
      </c>
      <c r="AI6" s="52"/>
      <c r="AJ6" s="53"/>
      <c r="AK6" s="54">
        <f t="shared" ref="AK6:AK46" si="1">IF(D6&gt;4,1,IF(AND(D6=0,$X$49=$AA$63,$AA$49=$AA$64),1,0))</f>
        <v>0</v>
      </c>
      <c r="AL6" s="1046">
        <f t="shared" ref="AL6:AL46" si="2">IF(F6&gt;4,1,IF(AND(F6=0,$X$49=$AA$63,$AA$49=$AA$64),1,0))</f>
        <v>0</v>
      </c>
      <c r="AM6" s="53"/>
      <c r="AN6" s="55"/>
      <c r="AO6" s="30"/>
      <c r="AP6" s="41" t="s">
        <v>224</v>
      </c>
      <c r="AQ6" s="43" t="s">
        <v>223</v>
      </c>
      <c r="AR6" s="41" t="s">
        <v>224</v>
      </c>
      <c r="AS6" s="43" t="s">
        <v>223</v>
      </c>
    </row>
    <row r="7" spans="1:45" x14ac:dyDescent="0.2">
      <c r="A7" s="30"/>
      <c r="B7" s="56"/>
      <c r="C7" s="57"/>
      <c r="D7" s="58"/>
      <c r="E7" s="59"/>
      <c r="F7" s="58"/>
      <c r="G7" s="60"/>
      <c r="H7" s="123"/>
      <c r="I7" s="62">
        <f>((E6+E7)/2*($B7-$B6))/9</f>
        <v>0</v>
      </c>
      <c r="J7" s="63">
        <f>(((D6+D7)/2+(F6+F7)/2)*($B7-$B6))/9</f>
        <v>0</v>
      </c>
      <c r="K7" s="64">
        <f>(((C6+C7)/2+(G6+G7)/2)*($B7-$B6))/9</f>
        <v>0</v>
      </c>
      <c r="L7" s="62">
        <f>IF(V7="x",$I7,0)+IF(W7="x",$J7,0)-IF(AND($M7&gt;0,OR(V7="x",W7="x")),$M7,0)</f>
        <v>0</v>
      </c>
      <c r="M7" s="65">
        <f>X7</f>
        <v>0</v>
      </c>
      <c r="N7" s="64">
        <f>IF($Y7="x",$I7,0)+IF($Z7="x",$J7,0)-IF(AND($M7&gt;0,OR(Y7="x",Z7="x")),$M7,0)</f>
        <v>0</v>
      </c>
      <c r="O7" s="135">
        <f t="shared" ref="O7:O46" si="3">IF(AND(AI6&gt;0,OR($W$52=$AA$54,$W$52=$AA$55)),AN7*(B7-B6),IF(AND(AI6=0,OR($W$52=$AA$54,$W$52=$AA$55)),"see to RT",0))</f>
        <v>0</v>
      </c>
      <c r="P7" s="136">
        <f t="shared" ref="P7:P46" si="4">IF(H7=$AQ$6,O7,0)</f>
        <v>0</v>
      </c>
      <c r="Q7" s="64">
        <f>O7</f>
        <v>0</v>
      </c>
      <c r="R7" s="1273"/>
      <c r="S7" s="1274"/>
      <c r="T7" s="36"/>
      <c r="U7" s="27"/>
      <c r="V7" s="52"/>
      <c r="W7" s="66"/>
      <c r="X7" s="129"/>
      <c r="Y7" s="66"/>
      <c r="Z7" s="67"/>
      <c r="AA7" s="30">
        <f t="shared" ref="AA7:AA46" si="5">IF(OR(AND($AC$6=$AA$63,V7="x",Y7="x"),AND($AC$6=$AA$63,W7="x",Z7="x")),"pick only 1 type of milling",IF(OR(AND(V7="x",Y7="x"),AND(W7="x",Z7="x")),"pick only 1 type of milling",0))</f>
        <v>0</v>
      </c>
      <c r="AB7" s="30"/>
      <c r="AC7" s="30"/>
      <c r="AD7" s="30"/>
      <c r="AE7" s="30"/>
      <c r="AF7" s="30"/>
      <c r="AG7" s="30"/>
      <c r="AH7" s="68">
        <f t="shared" si="0"/>
        <v>0</v>
      </c>
      <c r="AI7" s="69"/>
      <c r="AJ7" s="70">
        <f>IF(ABS(AI6-AI7)&gt;0,MAX(AI6,AI7),AI6)</f>
        <v>0</v>
      </c>
      <c r="AK7" s="54">
        <f t="shared" si="1"/>
        <v>0</v>
      </c>
      <c r="AL7" s="1046">
        <f t="shared" si="2"/>
        <v>0</v>
      </c>
      <c r="AM7" s="70">
        <f>IF(ABS(AK6-AK7)&gt;0,MAX(AK6,AK7),AK6)+IF(ABS(AL6-AL7)&gt;0,MAX(AL6,AL7),AL6)</f>
        <v>0</v>
      </c>
      <c r="AN7" s="73">
        <f>AJ7+AM7-1</f>
        <v>-1</v>
      </c>
      <c r="AO7" s="30"/>
      <c r="AP7" s="196">
        <f t="shared" ref="AP7:AP46" si="6">IF(H7=$AP$6,I7,0)</f>
        <v>0</v>
      </c>
      <c r="AQ7" s="197">
        <f t="shared" ref="AQ7:AQ46" si="7">IF(H7=$AQ$6,I7,0)</f>
        <v>0</v>
      </c>
      <c r="AR7" s="196">
        <f t="shared" ref="AR7:AR46" si="8">IF(H7=$AR$6,J7,0)</f>
        <v>0</v>
      </c>
      <c r="AS7" s="197">
        <f t="shared" ref="AS7:AS46" si="9">IF(H7=$AS$6,J7,0)</f>
        <v>0</v>
      </c>
    </row>
    <row r="8" spans="1:45" x14ac:dyDescent="0.2">
      <c r="A8" s="30"/>
      <c r="B8" s="56"/>
      <c r="C8" s="57"/>
      <c r="D8" s="58"/>
      <c r="E8" s="59"/>
      <c r="F8" s="58"/>
      <c r="G8" s="60"/>
      <c r="H8" s="123"/>
      <c r="I8" s="62">
        <f t="shared" ref="I8:I46" si="10">((E7+E8)/2*($B8-$B7))/9</f>
        <v>0</v>
      </c>
      <c r="J8" s="63">
        <f t="shared" ref="J8:J46" si="11">(((D7+D8)/2+(F7+F8)/2)*($B8-$B7))/9</f>
        <v>0</v>
      </c>
      <c r="K8" s="64">
        <f t="shared" ref="K8:K46" si="12">(((C7+C8)/2+(G7+G8)/2)*($B8-$B7))/9</f>
        <v>0</v>
      </c>
      <c r="L8" s="62">
        <f t="shared" ref="L8:L46" si="13">IF(V8="x",$I8,0)+IF(W8="x",$J8,0)-IF(AND($M8&gt;0,OR(V8="x",W8="x")),$M8,0)</f>
        <v>0</v>
      </c>
      <c r="M8" s="65">
        <f t="shared" ref="M8:M46" si="14">X8</f>
        <v>0</v>
      </c>
      <c r="N8" s="64">
        <f t="shared" ref="N8:N46" si="15">IF($Y8="x",$I8,0)+IF($Z8="x",$J8,0)-IF(AND($M8&gt;0,OR(Y8="x",Z8="x")),$M8,0)</f>
        <v>0</v>
      </c>
      <c r="O8" s="135">
        <f t="shared" si="3"/>
        <v>0</v>
      </c>
      <c r="P8" s="136">
        <f t="shared" si="4"/>
        <v>0</v>
      </c>
      <c r="Q8" s="64">
        <f t="shared" ref="Q8:Q46" si="16">O8</f>
        <v>0</v>
      </c>
      <c r="R8" s="1273"/>
      <c r="S8" s="1274"/>
      <c r="T8" s="36"/>
      <c r="U8" s="27"/>
      <c r="V8" s="69"/>
      <c r="W8" s="74"/>
      <c r="X8" s="129"/>
      <c r="Y8" s="74"/>
      <c r="Z8" s="75"/>
      <c r="AA8" s="30">
        <f t="shared" si="5"/>
        <v>0</v>
      </c>
      <c r="AB8" s="30"/>
      <c r="AC8" s="30"/>
      <c r="AD8" s="30"/>
      <c r="AE8" s="30"/>
      <c r="AF8" s="30"/>
      <c r="AG8" s="30"/>
      <c r="AH8" s="68">
        <f t="shared" si="0"/>
        <v>0</v>
      </c>
      <c r="AI8" s="69"/>
      <c r="AJ8" s="70">
        <f t="shared" ref="AJ8:AJ46" si="17">IF(ABS(AI7-AI8)&gt;0,MAX(AI7,AI8),AI7)</f>
        <v>0</v>
      </c>
      <c r="AK8" s="54">
        <f t="shared" si="1"/>
        <v>0</v>
      </c>
      <c r="AL8" s="1046">
        <f t="shared" si="2"/>
        <v>0</v>
      </c>
      <c r="AM8" s="70">
        <f t="shared" ref="AM8:AM46" si="18">IF(ABS(AK7-AK8)&gt;0,MAX(AK7,AK8),AK7)+IF(ABS(AL7-AL8)&gt;0,MAX(AL7,AL8),AL7)</f>
        <v>0</v>
      </c>
      <c r="AN8" s="73">
        <f t="shared" ref="AN8:AN46" si="19">AJ8+AM8-1</f>
        <v>-1</v>
      </c>
      <c r="AO8" s="30"/>
      <c r="AP8" s="196">
        <f t="shared" si="6"/>
        <v>0</v>
      </c>
      <c r="AQ8" s="197">
        <f t="shared" si="7"/>
        <v>0</v>
      </c>
      <c r="AR8" s="196">
        <f t="shared" si="8"/>
        <v>0</v>
      </c>
      <c r="AS8" s="197">
        <f t="shared" si="9"/>
        <v>0</v>
      </c>
    </row>
    <row r="9" spans="1:45" x14ac:dyDescent="0.2">
      <c r="A9" s="30"/>
      <c r="B9" s="56"/>
      <c r="C9" s="57"/>
      <c r="D9" s="58"/>
      <c r="E9" s="59"/>
      <c r="F9" s="58"/>
      <c r="G9" s="60"/>
      <c r="H9" s="123"/>
      <c r="I9" s="62">
        <f t="shared" si="10"/>
        <v>0</v>
      </c>
      <c r="J9" s="63">
        <f t="shared" si="11"/>
        <v>0</v>
      </c>
      <c r="K9" s="64">
        <f t="shared" si="12"/>
        <v>0</v>
      </c>
      <c r="L9" s="62">
        <f t="shared" si="13"/>
        <v>0</v>
      </c>
      <c r="M9" s="65">
        <f t="shared" si="14"/>
        <v>0</v>
      </c>
      <c r="N9" s="64">
        <f t="shared" si="15"/>
        <v>0</v>
      </c>
      <c r="O9" s="135">
        <f t="shared" si="3"/>
        <v>0</v>
      </c>
      <c r="P9" s="136">
        <f t="shared" si="4"/>
        <v>0</v>
      </c>
      <c r="Q9" s="64">
        <f t="shared" si="16"/>
        <v>0</v>
      </c>
      <c r="R9" s="1273"/>
      <c r="S9" s="1274"/>
      <c r="T9" s="36"/>
      <c r="U9" s="27"/>
      <c r="V9" s="69"/>
      <c r="W9" s="74"/>
      <c r="X9" s="129"/>
      <c r="Y9" s="74"/>
      <c r="Z9" s="75"/>
      <c r="AA9" s="30">
        <f t="shared" si="5"/>
        <v>0</v>
      </c>
      <c r="AB9" s="327"/>
      <c r="AC9" s="327"/>
      <c r="AD9" s="327"/>
      <c r="AE9" s="327"/>
      <c r="AF9" s="327"/>
      <c r="AG9" s="328"/>
      <c r="AH9" s="68">
        <f t="shared" si="0"/>
        <v>0</v>
      </c>
      <c r="AI9" s="69"/>
      <c r="AJ9" s="70">
        <f t="shared" si="17"/>
        <v>0</v>
      </c>
      <c r="AK9" s="54">
        <f t="shared" si="1"/>
        <v>0</v>
      </c>
      <c r="AL9" s="1046">
        <f t="shared" si="2"/>
        <v>0</v>
      </c>
      <c r="AM9" s="70">
        <f t="shared" si="18"/>
        <v>0</v>
      </c>
      <c r="AN9" s="73">
        <f t="shared" si="19"/>
        <v>-1</v>
      </c>
      <c r="AO9" s="30"/>
      <c r="AP9" s="196">
        <f t="shared" si="6"/>
        <v>0</v>
      </c>
      <c r="AQ9" s="197">
        <f t="shared" si="7"/>
        <v>0</v>
      </c>
      <c r="AR9" s="196">
        <f t="shared" si="8"/>
        <v>0</v>
      </c>
      <c r="AS9" s="197">
        <f t="shared" si="9"/>
        <v>0</v>
      </c>
    </row>
    <row r="10" spans="1:45" x14ac:dyDescent="0.2">
      <c r="A10" s="30"/>
      <c r="B10" s="56"/>
      <c r="C10" s="57"/>
      <c r="D10" s="58"/>
      <c r="E10" s="59"/>
      <c r="F10" s="58"/>
      <c r="G10" s="60"/>
      <c r="H10" s="123"/>
      <c r="I10" s="62">
        <f t="shared" si="10"/>
        <v>0</v>
      </c>
      <c r="J10" s="63">
        <f t="shared" si="11"/>
        <v>0</v>
      </c>
      <c r="K10" s="64">
        <f t="shared" si="12"/>
        <v>0</v>
      </c>
      <c r="L10" s="62">
        <f t="shared" si="13"/>
        <v>0</v>
      </c>
      <c r="M10" s="65">
        <f t="shared" si="14"/>
        <v>0</v>
      </c>
      <c r="N10" s="64">
        <f t="shared" si="15"/>
        <v>0</v>
      </c>
      <c r="O10" s="135">
        <f t="shared" si="3"/>
        <v>0</v>
      </c>
      <c r="P10" s="136">
        <f t="shared" si="4"/>
        <v>0</v>
      </c>
      <c r="Q10" s="64">
        <f t="shared" si="16"/>
        <v>0</v>
      </c>
      <c r="R10" s="1273"/>
      <c r="S10" s="1274"/>
      <c r="T10" s="36"/>
      <c r="U10" s="27"/>
      <c r="V10" s="69"/>
      <c r="W10" s="74"/>
      <c r="X10" s="129"/>
      <c r="Y10" s="74"/>
      <c r="Z10" s="75"/>
      <c r="AA10" s="30">
        <f t="shared" si="5"/>
        <v>0</v>
      </c>
      <c r="AB10" s="327"/>
      <c r="AC10" s="327"/>
      <c r="AD10" s="327"/>
      <c r="AE10" s="327"/>
      <c r="AF10" s="327"/>
      <c r="AG10" s="328"/>
      <c r="AH10" s="68">
        <f t="shared" si="0"/>
        <v>0</v>
      </c>
      <c r="AI10" s="69"/>
      <c r="AJ10" s="70">
        <f t="shared" si="17"/>
        <v>0</v>
      </c>
      <c r="AK10" s="54">
        <f t="shared" si="1"/>
        <v>0</v>
      </c>
      <c r="AL10" s="1046">
        <f t="shared" si="2"/>
        <v>0</v>
      </c>
      <c r="AM10" s="70">
        <f t="shared" si="18"/>
        <v>0</v>
      </c>
      <c r="AN10" s="73">
        <f t="shared" si="19"/>
        <v>-1</v>
      </c>
      <c r="AO10" s="30"/>
      <c r="AP10" s="196">
        <f t="shared" si="6"/>
        <v>0</v>
      </c>
      <c r="AQ10" s="197">
        <f t="shared" si="7"/>
        <v>0</v>
      </c>
      <c r="AR10" s="196">
        <f t="shared" si="8"/>
        <v>0</v>
      </c>
      <c r="AS10" s="197">
        <f t="shared" si="9"/>
        <v>0</v>
      </c>
    </row>
    <row r="11" spans="1:45" x14ac:dyDescent="0.2">
      <c r="A11" s="30"/>
      <c r="B11" s="56"/>
      <c r="C11" s="57"/>
      <c r="D11" s="58"/>
      <c r="E11" s="59"/>
      <c r="F11" s="58"/>
      <c r="G11" s="60"/>
      <c r="H11" s="123"/>
      <c r="I11" s="62">
        <f t="shared" si="10"/>
        <v>0</v>
      </c>
      <c r="J11" s="63">
        <f t="shared" si="11"/>
        <v>0</v>
      </c>
      <c r="K11" s="64">
        <f t="shared" si="12"/>
        <v>0</v>
      </c>
      <c r="L11" s="62">
        <f t="shared" si="13"/>
        <v>0</v>
      </c>
      <c r="M11" s="65">
        <f t="shared" si="14"/>
        <v>0</v>
      </c>
      <c r="N11" s="64">
        <f t="shared" si="15"/>
        <v>0</v>
      </c>
      <c r="O11" s="135">
        <f t="shared" si="3"/>
        <v>0</v>
      </c>
      <c r="P11" s="136">
        <f t="shared" si="4"/>
        <v>0</v>
      </c>
      <c r="Q11" s="64">
        <f t="shared" si="16"/>
        <v>0</v>
      </c>
      <c r="R11" s="1273"/>
      <c r="S11" s="1274"/>
      <c r="T11" s="36"/>
      <c r="U11" s="27"/>
      <c r="V11" s="69"/>
      <c r="W11" s="74"/>
      <c r="X11" s="129"/>
      <c r="Y11" s="74"/>
      <c r="Z11" s="75"/>
      <c r="AA11" s="30">
        <f t="shared" si="5"/>
        <v>0</v>
      </c>
      <c r="AB11" s="327"/>
      <c r="AC11" s="327"/>
      <c r="AD11" s="327"/>
      <c r="AE11" s="327"/>
      <c r="AF11" s="327"/>
      <c r="AG11" s="328"/>
      <c r="AH11" s="68">
        <f t="shared" si="0"/>
        <v>0</v>
      </c>
      <c r="AI11" s="69"/>
      <c r="AJ11" s="70">
        <f t="shared" si="17"/>
        <v>0</v>
      </c>
      <c r="AK11" s="54">
        <f t="shared" si="1"/>
        <v>0</v>
      </c>
      <c r="AL11" s="1046">
        <f t="shared" si="2"/>
        <v>0</v>
      </c>
      <c r="AM11" s="70">
        <f t="shared" si="18"/>
        <v>0</v>
      </c>
      <c r="AN11" s="73">
        <f t="shared" si="19"/>
        <v>-1</v>
      </c>
      <c r="AO11" s="30"/>
      <c r="AP11" s="196">
        <f t="shared" si="6"/>
        <v>0</v>
      </c>
      <c r="AQ11" s="197">
        <f t="shared" si="7"/>
        <v>0</v>
      </c>
      <c r="AR11" s="196">
        <f t="shared" si="8"/>
        <v>0</v>
      </c>
      <c r="AS11" s="197">
        <f t="shared" si="9"/>
        <v>0</v>
      </c>
    </row>
    <row r="12" spans="1:45" x14ac:dyDescent="0.2">
      <c r="A12" s="30"/>
      <c r="B12" s="56"/>
      <c r="C12" s="57"/>
      <c r="D12" s="58"/>
      <c r="E12" s="59"/>
      <c r="F12" s="58"/>
      <c r="G12" s="60"/>
      <c r="H12" s="123"/>
      <c r="I12" s="62">
        <f t="shared" si="10"/>
        <v>0</v>
      </c>
      <c r="J12" s="63">
        <f t="shared" si="11"/>
        <v>0</v>
      </c>
      <c r="K12" s="64">
        <f t="shared" si="12"/>
        <v>0</v>
      </c>
      <c r="L12" s="62">
        <f t="shared" si="13"/>
        <v>0</v>
      </c>
      <c r="M12" s="65">
        <f t="shared" si="14"/>
        <v>0</v>
      </c>
      <c r="N12" s="64">
        <f t="shared" si="15"/>
        <v>0</v>
      </c>
      <c r="O12" s="135">
        <f t="shared" si="3"/>
        <v>0</v>
      </c>
      <c r="P12" s="136">
        <f t="shared" si="4"/>
        <v>0</v>
      </c>
      <c r="Q12" s="64">
        <f t="shared" si="16"/>
        <v>0</v>
      </c>
      <c r="R12" s="1273"/>
      <c r="S12" s="1274"/>
      <c r="T12" s="36"/>
      <c r="U12" s="27"/>
      <c r="V12" s="69"/>
      <c r="W12" s="74"/>
      <c r="X12" s="129"/>
      <c r="Y12" s="74"/>
      <c r="Z12" s="75"/>
      <c r="AA12" s="30">
        <f t="shared" si="5"/>
        <v>0</v>
      </c>
      <c r="AB12" s="327"/>
      <c r="AC12" s="327"/>
      <c r="AD12" s="327"/>
      <c r="AE12" s="327"/>
      <c r="AF12" s="327"/>
      <c r="AG12" s="328"/>
      <c r="AH12" s="68">
        <f t="shared" si="0"/>
        <v>0</v>
      </c>
      <c r="AI12" s="69"/>
      <c r="AJ12" s="70">
        <f t="shared" si="17"/>
        <v>0</v>
      </c>
      <c r="AK12" s="54">
        <f t="shared" si="1"/>
        <v>0</v>
      </c>
      <c r="AL12" s="1046">
        <f t="shared" si="2"/>
        <v>0</v>
      </c>
      <c r="AM12" s="70">
        <f t="shared" si="18"/>
        <v>0</v>
      </c>
      <c r="AN12" s="73">
        <f t="shared" si="19"/>
        <v>-1</v>
      </c>
      <c r="AO12" s="30"/>
      <c r="AP12" s="196">
        <f t="shared" si="6"/>
        <v>0</v>
      </c>
      <c r="AQ12" s="197">
        <f t="shared" si="7"/>
        <v>0</v>
      </c>
      <c r="AR12" s="196">
        <f t="shared" si="8"/>
        <v>0</v>
      </c>
      <c r="AS12" s="197">
        <f t="shared" si="9"/>
        <v>0</v>
      </c>
    </row>
    <row r="13" spans="1:45" x14ac:dyDescent="0.2">
      <c r="A13" s="30"/>
      <c r="B13" s="56"/>
      <c r="C13" s="57"/>
      <c r="D13" s="58"/>
      <c r="E13" s="76"/>
      <c r="F13" s="58"/>
      <c r="G13" s="60"/>
      <c r="H13" s="61"/>
      <c r="I13" s="62">
        <f t="shared" si="10"/>
        <v>0</v>
      </c>
      <c r="J13" s="63">
        <f t="shared" si="11"/>
        <v>0</v>
      </c>
      <c r="K13" s="64">
        <f t="shared" si="12"/>
        <v>0</v>
      </c>
      <c r="L13" s="62">
        <f t="shared" si="13"/>
        <v>0</v>
      </c>
      <c r="M13" s="65">
        <f t="shared" si="14"/>
        <v>0</v>
      </c>
      <c r="N13" s="64">
        <f t="shared" si="15"/>
        <v>0</v>
      </c>
      <c r="O13" s="135">
        <f t="shared" si="3"/>
        <v>0</v>
      </c>
      <c r="P13" s="136">
        <f t="shared" si="4"/>
        <v>0</v>
      </c>
      <c r="Q13" s="64">
        <f t="shared" si="16"/>
        <v>0</v>
      </c>
      <c r="R13" s="1273"/>
      <c r="S13" s="1274"/>
      <c r="T13" s="36"/>
      <c r="U13" s="27"/>
      <c r="V13" s="69"/>
      <c r="W13" s="74"/>
      <c r="X13" s="129"/>
      <c r="Y13" s="74"/>
      <c r="Z13" s="75"/>
      <c r="AA13" s="30">
        <f t="shared" si="5"/>
        <v>0</v>
      </c>
      <c r="AB13" s="327"/>
      <c r="AC13" s="327"/>
      <c r="AD13" s="327"/>
      <c r="AE13" s="327"/>
      <c r="AF13" s="327"/>
      <c r="AG13" s="328"/>
      <c r="AH13" s="68">
        <f t="shared" si="0"/>
        <v>0</v>
      </c>
      <c r="AI13" s="69"/>
      <c r="AJ13" s="70">
        <f t="shared" si="17"/>
        <v>0</v>
      </c>
      <c r="AK13" s="54">
        <f t="shared" si="1"/>
        <v>0</v>
      </c>
      <c r="AL13" s="1046">
        <f t="shared" si="2"/>
        <v>0</v>
      </c>
      <c r="AM13" s="70">
        <f t="shared" si="18"/>
        <v>0</v>
      </c>
      <c r="AN13" s="73">
        <f t="shared" si="19"/>
        <v>-1</v>
      </c>
      <c r="AO13" s="30"/>
      <c r="AP13" s="196">
        <f t="shared" si="6"/>
        <v>0</v>
      </c>
      <c r="AQ13" s="197">
        <f t="shared" si="7"/>
        <v>0</v>
      </c>
      <c r="AR13" s="196">
        <f t="shared" si="8"/>
        <v>0</v>
      </c>
      <c r="AS13" s="197">
        <f t="shared" si="9"/>
        <v>0</v>
      </c>
    </row>
    <row r="14" spans="1:45" x14ac:dyDescent="0.2">
      <c r="A14" s="30"/>
      <c r="B14" s="56"/>
      <c r="C14" s="57"/>
      <c r="D14" s="58"/>
      <c r="E14" s="76"/>
      <c r="F14" s="58"/>
      <c r="G14" s="60"/>
      <c r="H14" s="61"/>
      <c r="I14" s="62">
        <f t="shared" si="10"/>
        <v>0</v>
      </c>
      <c r="J14" s="63">
        <f t="shared" si="11"/>
        <v>0</v>
      </c>
      <c r="K14" s="64">
        <f t="shared" si="12"/>
        <v>0</v>
      </c>
      <c r="L14" s="62">
        <f t="shared" si="13"/>
        <v>0</v>
      </c>
      <c r="M14" s="65">
        <f t="shared" si="14"/>
        <v>0</v>
      </c>
      <c r="N14" s="64">
        <f t="shared" si="15"/>
        <v>0</v>
      </c>
      <c r="O14" s="135">
        <f t="shared" si="3"/>
        <v>0</v>
      </c>
      <c r="P14" s="136">
        <f t="shared" si="4"/>
        <v>0</v>
      </c>
      <c r="Q14" s="64">
        <f t="shared" si="16"/>
        <v>0</v>
      </c>
      <c r="R14" s="1273"/>
      <c r="S14" s="1274"/>
      <c r="T14" s="36"/>
      <c r="U14" s="27"/>
      <c r="V14" s="69"/>
      <c r="W14" s="74"/>
      <c r="X14" s="129"/>
      <c r="Y14" s="74"/>
      <c r="Z14" s="75"/>
      <c r="AA14" s="30">
        <f t="shared" si="5"/>
        <v>0</v>
      </c>
      <c r="AB14" s="327"/>
      <c r="AC14" s="327"/>
      <c r="AD14" s="327"/>
      <c r="AE14" s="327"/>
      <c r="AF14" s="327"/>
      <c r="AG14" s="328"/>
      <c r="AH14" s="68">
        <f t="shared" si="0"/>
        <v>0</v>
      </c>
      <c r="AI14" s="69"/>
      <c r="AJ14" s="70">
        <f t="shared" si="17"/>
        <v>0</v>
      </c>
      <c r="AK14" s="54">
        <f t="shared" si="1"/>
        <v>0</v>
      </c>
      <c r="AL14" s="1046">
        <f t="shared" si="2"/>
        <v>0</v>
      </c>
      <c r="AM14" s="70">
        <f t="shared" si="18"/>
        <v>0</v>
      </c>
      <c r="AN14" s="73">
        <f t="shared" si="19"/>
        <v>-1</v>
      </c>
      <c r="AO14" s="30"/>
      <c r="AP14" s="196">
        <f t="shared" si="6"/>
        <v>0</v>
      </c>
      <c r="AQ14" s="197">
        <f t="shared" si="7"/>
        <v>0</v>
      </c>
      <c r="AR14" s="196">
        <f t="shared" si="8"/>
        <v>0</v>
      </c>
      <c r="AS14" s="197">
        <f t="shared" si="9"/>
        <v>0</v>
      </c>
    </row>
    <row r="15" spans="1:45" x14ac:dyDescent="0.2">
      <c r="A15" s="30"/>
      <c r="B15" s="56"/>
      <c r="C15" s="57"/>
      <c r="D15" s="58"/>
      <c r="E15" s="76"/>
      <c r="F15" s="58"/>
      <c r="G15" s="60"/>
      <c r="H15" s="61"/>
      <c r="I15" s="62">
        <f t="shared" si="10"/>
        <v>0</v>
      </c>
      <c r="J15" s="63">
        <f t="shared" si="11"/>
        <v>0</v>
      </c>
      <c r="K15" s="64">
        <f t="shared" si="12"/>
        <v>0</v>
      </c>
      <c r="L15" s="62">
        <f t="shared" si="13"/>
        <v>0</v>
      </c>
      <c r="M15" s="65">
        <f t="shared" si="14"/>
        <v>0</v>
      </c>
      <c r="N15" s="64">
        <f t="shared" si="15"/>
        <v>0</v>
      </c>
      <c r="O15" s="135">
        <f t="shared" si="3"/>
        <v>0</v>
      </c>
      <c r="P15" s="136">
        <f t="shared" si="4"/>
        <v>0</v>
      </c>
      <c r="Q15" s="64">
        <f t="shared" si="16"/>
        <v>0</v>
      </c>
      <c r="R15" s="1273"/>
      <c r="S15" s="1274"/>
      <c r="T15" s="36"/>
      <c r="U15" s="27"/>
      <c r="V15" s="69"/>
      <c r="W15" s="74"/>
      <c r="X15" s="129"/>
      <c r="Y15" s="74"/>
      <c r="Z15" s="75"/>
      <c r="AA15" s="30">
        <f t="shared" si="5"/>
        <v>0</v>
      </c>
      <c r="AB15" s="327"/>
      <c r="AC15" s="327"/>
      <c r="AD15" s="327"/>
      <c r="AE15" s="327"/>
      <c r="AF15" s="327"/>
      <c r="AG15" s="328"/>
      <c r="AH15" s="68">
        <f t="shared" si="0"/>
        <v>0</v>
      </c>
      <c r="AI15" s="69"/>
      <c r="AJ15" s="70">
        <f t="shared" si="17"/>
        <v>0</v>
      </c>
      <c r="AK15" s="54">
        <f t="shared" si="1"/>
        <v>0</v>
      </c>
      <c r="AL15" s="1046">
        <f t="shared" si="2"/>
        <v>0</v>
      </c>
      <c r="AM15" s="70">
        <f t="shared" si="18"/>
        <v>0</v>
      </c>
      <c r="AN15" s="73">
        <f t="shared" si="19"/>
        <v>-1</v>
      </c>
      <c r="AO15" s="30"/>
      <c r="AP15" s="196">
        <f t="shared" si="6"/>
        <v>0</v>
      </c>
      <c r="AQ15" s="197">
        <f t="shared" si="7"/>
        <v>0</v>
      </c>
      <c r="AR15" s="196">
        <f t="shared" si="8"/>
        <v>0</v>
      </c>
      <c r="AS15" s="197">
        <f t="shared" si="9"/>
        <v>0</v>
      </c>
    </row>
    <row r="16" spans="1:45" x14ac:dyDescent="0.2">
      <c r="A16" s="30"/>
      <c r="B16" s="56"/>
      <c r="C16" s="57"/>
      <c r="D16" s="58"/>
      <c r="E16" s="76"/>
      <c r="F16" s="58"/>
      <c r="G16" s="60"/>
      <c r="H16" s="61"/>
      <c r="I16" s="62">
        <f t="shared" si="10"/>
        <v>0</v>
      </c>
      <c r="J16" s="63">
        <f t="shared" si="11"/>
        <v>0</v>
      </c>
      <c r="K16" s="64">
        <f t="shared" si="12"/>
        <v>0</v>
      </c>
      <c r="L16" s="62">
        <f t="shared" si="13"/>
        <v>0</v>
      </c>
      <c r="M16" s="65">
        <f t="shared" si="14"/>
        <v>0</v>
      </c>
      <c r="N16" s="64">
        <f t="shared" si="15"/>
        <v>0</v>
      </c>
      <c r="O16" s="135">
        <f t="shared" si="3"/>
        <v>0</v>
      </c>
      <c r="P16" s="136">
        <f t="shared" si="4"/>
        <v>0</v>
      </c>
      <c r="Q16" s="64">
        <f t="shared" si="16"/>
        <v>0</v>
      </c>
      <c r="R16" s="1273"/>
      <c r="S16" s="1274"/>
      <c r="T16" s="36"/>
      <c r="U16" s="27"/>
      <c r="V16" s="69"/>
      <c r="W16" s="74"/>
      <c r="X16" s="129"/>
      <c r="Y16" s="74"/>
      <c r="Z16" s="75"/>
      <c r="AA16" s="30">
        <f t="shared" si="5"/>
        <v>0</v>
      </c>
      <c r="AB16" s="327"/>
      <c r="AC16" s="327"/>
      <c r="AD16" s="327"/>
      <c r="AE16" s="327"/>
      <c r="AF16" s="327"/>
      <c r="AG16" s="328"/>
      <c r="AH16" s="68">
        <f t="shared" si="0"/>
        <v>0</v>
      </c>
      <c r="AI16" s="69"/>
      <c r="AJ16" s="70">
        <f t="shared" si="17"/>
        <v>0</v>
      </c>
      <c r="AK16" s="54">
        <f t="shared" si="1"/>
        <v>0</v>
      </c>
      <c r="AL16" s="1046">
        <f t="shared" si="2"/>
        <v>0</v>
      </c>
      <c r="AM16" s="70">
        <f t="shared" si="18"/>
        <v>0</v>
      </c>
      <c r="AN16" s="73">
        <f t="shared" si="19"/>
        <v>-1</v>
      </c>
      <c r="AO16" s="30"/>
      <c r="AP16" s="196">
        <f t="shared" si="6"/>
        <v>0</v>
      </c>
      <c r="AQ16" s="197">
        <f t="shared" si="7"/>
        <v>0</v>
      </c>
      <c r="AR16" s="196">
        <f t="shared" si="8"/>
        <v>0</v>
      </c>
      <c r="AS16" s="197">
        <f t="shared" si="9"/>
        <v>0</v>
      </c>
    </row>
    <row r="17" spans="1:45" x14ac:dyDescent="0.2">
      <c r="A17" s="30"/>
      <c r="B17" s="56"/>
      <c r="C17" s="57"/>
      <c r="D17" s="58"/>
      <c r="E17" s="76"/>
      <c r="F17" s="58"/>
      <c r="G17" s="60"/>
      <c r="H17" s="61"/>
      <c r="I17" s="62">
        <f t="shared" si="10"/>
        <v>0</v>
      </c>
      <c r="J17" s="63">
        <f t="shared" si="11"/>
        <v>0</v>
      </c>
      <c r="K17" s="64">
        <f t="shared" si="12"/>
        <v>0</v>
      </c>
      <c r="L17" s="62">
        <f t="shared" si="13"/>
        <v>0</v>
      </c>
      <c r="M17" s="65">
        <f t="shared" si="14"/>
        <v>0</v>
      </c>
      <c r="N17" s="64">
        <f t="shared" si="15"/>
        <v>0</v>
      </c>
      <c r="O17" s="135">
        <f t="shared" si="3"/>
        <v>0</v>
      </c>
      <c r="P17" s="136">
        <f t="shared" si="4"/>
        <v>0</v>
      </c>
      <c r="Q17" s="64">
        <f t="shared" si="16"/>
        <v>0</v>
      </c>
      <c r="R17" s="1273"/>
      <c r="S17" s="1274"/>
      <c r="T17" s="36"/>
      <c r="U17" s="27"/>
      <c r="V17" s="69"/>
      <c r="W17" s="74"/>
      <c r="X17" s="129"/>
      <c r="Y17" s="74"/>
      <c r="Z17" s="75"/>
      <c r="AA17" s="30">
        <f t="shared" si="5"/>
        <v>0</v>
      </c>
      <c r="AB17" s="327"/>
      <c r="AC17" s="327"/>
      <c r="AD17" s="327"/>
      <c r="AE17" s="327"/>
      <c r="AF17" s="327"/>
      <c r="AG17" s="328"/>
      <c r="AH17" s="68">
        <f t="shared" si="0"/>
        <v>0</v>
      </c>
      <c r="AI17" s="69"/>
      <c r="AJ17" s="70">
        <f t="shared" si="17"/>
        <v>0</v>
      </c>
      <c r="AK17" s="54">
        <f t="shared" si="1"/>
        <v>0</v>
      </c>
      <c r="AL17" s="1046">
        <f t="shared" si="2"/>
        <v>0</v>
      </c>
      <c r="AM17" s="70">
        <f t="shared" si="18"/>
        <v>0</v>
      </c>
      <c r="AN17" s="73">
        <f t="shared" si="19"/>
        <v>-1</v>
      </c>
      <c r="AO17" s="30"/>
      <c r="AP17" s="196">
        <f t="shared" si="6"/>
        <v>0</v>
      </c>
      <c r="AQ17" s="197">
        <f t="shared" si="7"/>
        <v>0</v>
      </c>
      <c r="AR17" s="196">
        <f t="shared" si="8"/>
        <v>0</v>
      </c>
      <c r="AS17" s="197">
        <f t="shared" si="9"/>
        <v>0</v>
      </c>
    </row>
    <row r="18" spans="1:45" x14ac:dyDescent="0.2">
      <c r="A18" s="30"/>
      <c r="B18" s="56"/>
      <c r="C18" s="57"/>
      <c r="D18" s="58"/>
      <c r="E18" s="76"/>
      <c r="F18" s="58"/>
      <c r="G18" s="60"/>
      <c r="H18" s="61"/>
      <c r="I18" s="62">
        <f t="shared" si="10"/>
        <v>0</v>
      </c>
      <c r="J18" s="63">
        <f t="shared" si="11"/>
        <v>0</v>
      </c>
      <c r="K18" s="64">
        <f t="shared" si="12"/>
        <v>0</v>
      </c>
      <c r="L18" s="62">
        <f t="shared" si="13"/>
        <v>0</v>
      </c>
      <c r="M18" s="65">
        <f t="shared" si="14"/>
        <v>0</v>
      </c>
      <c r="N18" s="64">
        <f t="shared" si="15"/>
        <v>0</v>
      </c>
      <c r="O18" s="135">
        <f t="shared" si="3"/>
        <v>0</v>
      </c>
      <c r="P18" s="136">
        <f t="shared" si="4"/>
        <v>0</v>
      </c>
      <c r="Q18" s="64">
        <f t="shared" si="16"/>
        <v>0</v>
      </c>
      <c r="R18" s="1273"/>
      <c r="S18" s="1274"/>
      <c r="T18" s="36"/>
      <c r="U18" s="27"/>
      <c r="V18" s="69"/>
      <c r="W18" s="74"/>
      <c r="X18" s="129"/>
      <c r="Y18" s="74"/>
      <c r="Z18" s="75"/>
      <c r="AA18" s="30">
        <f t="shared" si="5"/>
        <v>0</v>
      </c>
      <c r="AB18" s="327"/>
      <c r="AC18" s="327"/>
      <c r="AD18" s="327"/>
      <c r="AE18" s="327"/>
      <c r="AF18" s="327"/>
      <c r="AG18" s="328"/>
      <c r="AH18" s="68">
        <f t="shared" si="0"/>
        <v>0</v>
      </c>
      <c r="AI18" s="69"/>
      <c r="AJ18" s="70">
        <f t="shared" si="17"/>
        <v>0</v>
      </c>
      <c r="AK18" s="54">
        <f t="shared" si="1"/>
        <v>0</v>
      </c>
      <c r="AL18" s="1046">
        <f t="shared" si="2"/>
        <v>0</v>
      </c>
      <c r="AM18" s="70">
        <f t="shared" si="18"/>
        <v>0</v>
      </c>
      <c r="AN18" s="73">
        <f t="shared" si="19"/>
        <v>-1</v>
      </c>
      <c r="AO18" s="30"/>
      <c r="AP18" s="196">
        <f t="shared" si="6"/>
        <v>0</v>
      </c>
      <c r="AQ18" s="197">
        <f t="shared" si="7"/>
        <v>0</v>
      </c>
      <c r="AR18" s="196">
        <f t="shared" si="8"/>
        <v>0</v>
      </c>
      <c r="AS18" s="197">
        <f t="shared" si="9"/>
        <v>0</v>
      </c>
    </row>
    <row r="19" spans="1:45" x14ac:dyDescent="0.2">
      <c r="A19" s="30"/>
      <c r="B19" s="56"/>
      <c r="C19" s="57"/>
      <c r="D19" s="58"/>
      <c r="E19" s="59"/>
      <c r="F19" s="58"/>
      <c r="G19" s="60"/>
      <c r="H19" s="61"/>
      <c r="I19" s="62">
        <f t="shared" si="10"/>
        <v>0</v>
      </c>
      <c r="J19" s="63">
        <f t="shared" si="11"/>
        <v>0</v>
      </c>
      <c r="K19" s="64">
        <f t="shared" si="12"/>
        <v>0</v>
      </c>
      <c r="L19" s="62">
        <f t="shared" si="13"/>
        <v>0</v>
      </c>
      <c r="M19" s="65">
        <f t="shared" si="14"/>
        <v>0</v>
      </c>
      <c r="N19" s="64">
        <f t="shared" si="15"/>
        <v>0</v>
      </c>
      <c r="O19" s="135">
        <f t="shared" si="3"/>
        <v>0</v>
      </c>
      <c r="P19" s="136">
        <f t="shared" si="4"/>
        <v>0</v>
      </c>
      <c r="Q19" s="64">
        <f t="shared" si="16"/>
        <v>0</v>
      </c>
      <c r="R19" s="1273"/>
      <c r="S19" s="1274"/>
      <c r="T19" s="36"/>
      <c r="U19" s="27"/>
      <c r="V19" s="69"/>
      <c r="W19" s="74"/>
      <c r="X19" s="129"/>
      <c r="Y19" s="74"/>
      <c r="Z19" s="75"/>
      <c r="AA19" s="30">
        <f t="shared" si="5"/>
        <v>0</v>
      </c>
      <c r="AB19" s="327"/>
      <c r="AC19" s="327"/>
      <c r="AD19" s="327"/>
      <c r="AE19" s="327"/>
      <c r="AF19" s="327"/>
      <c r="AG19" s="328"/>
      <c r="AH19" s="68">
        <f t="shared" si="0"/>
        <v>0</v>
      </c>
      <c r="AI19" s="69"/>
      <c r="AJ19" s="70">
        <f t="shared" si="17"/>
        <v>0</v>
      </c>
      <c r="AK19" s="54">
        <f t="shared" si="1"/>
        <v>0</v>
      </c>
      <c r="AL19" s="1046">
        <f t="shared" si="2"/>
        <v>0</v>
      </c>
      <c r="AM19" s="70">
        <f t="shared" si="18"/>
        <v>0</v>
      </c>
      <c r="AN19" s="73">
        <f t="shared" si="19"/>
        <v>-1</v>
      </c>
      <c r="AO19" s="30"/>
      <c r="AP19" s="196">
        <f t="shared" si="6"/>
        <v>0</v>
      </c>
      <c r="AQ19" s="197">
        <f t="shared" si="7"/>
        <v>0</v>
      </c>
      <c r="AR19" s="196">
        <f t="shared" si="8"/>
        <v>0</v>
      </c>
      <c r="AS19" s="197">
        <f t="shared" si="9"/>
        <v>0</v>
      </c>
    </row>
    <row r="20" spans="1:45" x14ac:dyDescent="0.2">
      <c r="A20" s="30"/>
      <c r="B20" s="56"/>
      <c r="C20" s="57"/>
      <c r="D20" s="58"/>
      <c r="E20" s="59"/>
      <c r="F20" s="58"/>
      <c r="G20" s="60"/>
      <c r="H20" s="61"/>
      <c r="I20" s="62">
        <f t="shared" si="10"/>
        <v>0</v>
      </c>
      <c r="J20" s="63">
        <f t="shared" si="11"/>
        <v>0</v>
      </c>
      <c r="K20" s="64">
        <f t="shared" si="12"/>
        <v>0</v>
      </c>
      <c r="L20" s="62">
        <f t="shared" si="13"/>
        <v>0</v>
      </c>
      <c r="M20" s="65">
        <f t="shared" si="14"/>
        <v>0</v>
      </c>
      <c r="N20" s="64">
        <f t="shared" si="15"/>
        <v>0</v>
      </c>
      <c r="O20" s="135">
        <f t="shared" si="3"/>
        <v>0</v>
      </c>
      <c r="P20" s="136">
        <f t="shared" si="4"/>
        <v>0</v>
      </c>
      <c r="Q20" s="64">
        <f t="shared" si="16"/>
        <v>0</v>
      </c>
      <c r="R20" s="1273"/>
      <c r="S20" s="1274"/>
      <c r="T20" s="36"/>
      <c r="U20" s="27"/>
      <c r="V20" s="69"/>
      <c r="W20" s="74"/>
      <c r="X20" s="129"/>
      <c r="Y20" s="74"/>
      <c r="Z20" s="75"/>
      <c r="AA20" s="30">
        <f t="shared" si="5"/>
        <v>0</v>
      </c>
      <c r="AB20" s="327"/>
      <c r="AC20" s="327"/>
      <c r="AD20" s="327"/>
      <c r="AE20" s="327"/>
      <c r="AF20" s="327"/>
      <c r="AG20" s="328"/>
      <c r="AH20" s="68">
        <f t="shared" si="0"/>
        <v>0</v>
      </c>
      <c r="AI20" s="69"/>
      <c r="AJ20" s="70">
        <f t="shared" si="17"/>
        <v>0</v>
      </c>
      <c r="AK20" s="54">
        <f t="shared" si="1"/>
        <v>0</v>
      </c>
      <c r="AL20" s="1046">
        <f t="shared" si="2"/>
        <v>0</v>
      </c>
      <c r="AM20" s="70">
        <f t="shared" si="18"/>
        <v>0</v>
      </c>
      <c r="AN20" s="73">
        <f t="shared" si="19"/>
        <v>-1</v>
      </c>
      <c r="AO20" s="30"/>
      <c r="AP20" s="196">
        <f t="shared" si="6"/>
        <v>0</v>
      </c>
      <c r="AQ20" s="197">
        <f t="shared" si="7"/>
        <v>0</v>
      </c>
      <c r="AR20" s="196">
        <f t="shared" si="8"/>
        <v>0</v>
      </c>
      <c r="AS20" s="197">
        <f t="shared" si="9"/>
        <v>0</v>
      </c>
    </row>
    <row r="21" spans="1:45" x14ac:dyDescent="0.2">
      <c r="A21" s="30"/>
      <c r="B21" s="56"/>
      <c r="C21" s="57"/>
      <c r="D21" s="58"/>
      <c r="E21" s="59"/>
      <c r="F21" s="58"/>
      <c r="G21" s="60"/>
      <c r="H21" s="61"/>
      <c r="I21" s="62">
        <f t="shared" si="10"/>
        <v>0</v>
      </c>
      <c r="J21" s="63">
        <f t="shared" si="11"/>
        <v>0</v>
      </c>
      <c r="K21" s="64">
        <f t="shared" si="12"/>
        <v>0</v>
      </c>
      <c r="L21" s="62">
        <f t="shared" si="13"/>
        <v>0</v>
      </c>
      <c r="M21" s="65">
        <f t="shared" si="14"/>
        <v>0</v>
      </c>
      <c r="N21" s="64">
        <f t="shared" si="15"/>
        <v>0</v>
      </c>
      <c r="O21" s="135">
        <f t="shared" si="3"/>
        <v>0</v>
      </c>
      <c r="P21" s="136">
        <f t="shared" si="4"/>
        <v>0</v>
      </c>
      <c r="Q21" s="64">
        <f t="shared" si="16"/>
        <v>0</v>
      </c>
      <c r="R21" s="1273"/>
      <c r="S21" s="1274"/>
      <c r="T21" s="36"/>
      <c r="U21" s="27"/>
      <c r="V21" s="69"/>
      <c r="W21" s="74"/>
      <c r="X21" s="129"/>
      <c r="Y21" s="74"/>
      <c r="Z21" s="75"/>
      <c r="AA21" s="30">
        <f t="shared" si="5"/>
        <v>0</v>
      </c>
      <c r="AB21" s="327"/>
      <c r="AC21" s="327"/>
      <c r="AD21" s="327"/>
      <c r="AE21" s="327"/>
      <c r="AF21" s="327"/>
      <c r="AG21" s="328"/>
      <c r="AH21" s="68">
        <f t="shared" si="0"/>
        <v>0</v>
      </c>
      <c r="AI21" s="69"/>
      <c r="AJ21" s="70">
        <f t="shared" si="17"/>
        <v>0</v>
      </c>
      <c r="AK21" s="54">
        <f t="shared" si="1"/>
        <v>0</v>
      </c>
      <c r="AL21" s="1046">
        <f t="shared" si="2"/>
        <v>0</v>
      </c>
      <c r="AM21" s="70">
        <f t="shared" si="18"/>
        <v>0</v>
      </c>
      <c r="AN21" s="73">
        <f t="shared" si="19"/>
        <v>-1</v>
      </c>
      <c r="AO21" s="30"/>
      <c r="AP21" s="196">
        <f t="shared" si="6"/>
        <v>0</v>
      </c>
      <c r="AQ21" s="197">
        <f t="shared" si="7"/>
        <v>0</v>
      </c>
      <c r="AR21" s="196">
        <f t="shared" si="8"/>
        <v>0</v>
      </c>
      <c r="AS21" s="197">
        <f t="shared" si="9"/>
        <v>0</v>
      </c>
    </row>
    <row r="22" spans="1:45" x14ac:dyDescent="0.2">
      <c r="A22" s="30"/>
      <c r="B22" s="56"/>
      <c r="C22" s="57"/>
      <c r="D22" s="58"/>
      <c r="E22" s="59"/>
      <c r="F22" s="58"/>
      <c r="G22" s="60"/>
      <c r="H22" s="61"/>
      <c r="I22" s="62">
        <f t="shared" si="10"/>
        <v>0</v>
      </c>
      <c r="J22" s="63">
        <f t="shared" si="11"/>
        <v>0</v>
      </c>
      <c r="K22" s="64">
        <f t="shared" si="12"/>
        <v>0</v>
      </c>
      <c r="L22" s="62">
        <f t="shared" si="13"/>
        <v>0</v>
      </c>
      <c r="M22" s="65">
        <f t="shared" si="14"/>
        <v>0</v>
      </c>
      <c r="N22" s="64">
        <f t="shared" si="15"/>
        <v>0</v>
      </c>
      <c r="O22" s="135">
        <f t="shared" si="3"/>
        <v>0</v>
      </c>
      <c r="P22" s="136">
        <f t="shared" si="4"/>
        <v>0</v>
      </c>
      <c r="Q22" s="64">
        <f t="shared" si="16"/>
        <v>0</v>
      </c>
      <c r="R22" s="1273"/>
      <c r="S22" s="1274"/>
      <c r="T22" s="36"/>
      <c r="U22" s="27"/>
      <c r="V22" s="69"/>
      <c r="W22" s="74"/>
      <c r="X22" s="129"/>
      <c r="Y22" s="74"/>
      <c r="Z22" s="75"/>
      <c r="AA22" s="30">
        <f t="shared" si="5"/>
        <v>0</v>
      </c>
      <c r="AB22" s="327"/>
      <c r="AC22" s="327"/>
      <c r="AD22" s="327"/>
      <c r="AE22" s="327"/>
      <c r="AF22" s="327"/>
      <c r="AG22" s="328"/>
      <c r="AH22" s="68">
        <f t="shared" si="0"/>
        <v>0</v>
      </c>
      <c r="AI22" s="69"/>
      <c r="AJ22" s="70">
        <f t="shared" si="17"/>
        <v>0</v>
      </c>
      <c r="AK22" s="54">
        <f t="shared" si="1"/>
        <v>0</v>
      </c>
      <c r="AL22" s="1046">
        <f t="shared" si="2"/>
        <v>0</v>
      </c>
      <c r="AM22" s="70">
        <f t="shared" si="18"/>
        <v>0</v>
      </c>
      <c r="AN22" s="73">
        <f t="shared" si="19"/>
        <v>-1</v>
      </c>
      <c r="AO22" s="30"/>
      <c r="AP22" s="196">
        <f t="shared" si="6"/>
        <v>0</v>
      </c>
      <c r="AQ22" s="197">
        <f t="shared" si="7"/>
        <v>0</v>
      </c>
      <c r="AR22" s="196">
        <f t="shared" si="8"/>
        <v>0</v>
      </c>
      <c r="AS22" s="197">
        <f t="shared" si="9"/>
        <v>0</v>
      </c>
    </row>
    <row r="23" spans="1:45" x14ac:dyDescent="0.2">
      <c r="A23" s="30"/>
      <c r="B23" s="56"/>
      <c r="C23" s="57"/>
      <c r="D23" s="58"/>
      <c r="E23" s="59"/>
      <c r="F23" s="58"/>
      <c r="G23" s="60"/>
      <c r="H23" s="61"/>
      <c r="I23" s="62">
        <f t="shared" si="10"/>
        <v>0</v>
      </c>
      <c r="J23" s="63">
        <f t="shared" si="11"/>
        <v>0</v>
      </c>
      <c r="K23" s="64">
        <f>(((C22+C23)/2+(G22+G23)/2)*($B23-$B22))/9</f>
        <v>0</v>
      </c>
      <c r="L23" s="62">
        <f>IF(V23="x",$I23,0)+IF(W23="x",$J23,0)-IF(AND($M23&gt;0,OR(V23="x",W23="x")),$M23,0)</f>
        <v>0</v>
      </c>
      <c r="M23" s="65">
        <f>X23</f>
        <v>0</v>
      </c>
      <c r="N23" s="64">
        <f>IF($Y23="x",$I23,0)+IF($Z23="x",$J23,0)-IF(AND($M23&gt;0,OR(Y23="x",Z23="x")),$M23,0)</f>
        <v>0</v>
      </c>
      <c r="O23" s="135">
        <f t="shared" si="3"/>
        <v>0</v>
      </c>
      <c r="P23" s="136">
        <f>IF(H23=$AQ$6,O23,0)</f>
        <v>0</v>
      </c>
      <c r="Q23" s="64">
        <f>O23</f>
        <v>0</v>
      </c>
      <c r="R23" s="1273"/>
      <c r="S23" s="1274"/>
      <c r="T23" s="36"/>
      <c r="U23" s="27"/>
      <c r="V23" s="69"/>
      <c r="W23" s="74"/>
      <c r="X23" s="129"/>
      <c r="Y23" s="74"/>
      <c r="Z23" s="75"/>
      <c r="AA23" s="30">
        <f t="shared" si="5"/>
        <v>0</v>
      </c>
      <c r="AB23" s="327"/>
      <c r="AC23" s="327"/>
      <c r="AD23" s="327"/>
      <c r="AE23" s="327"/>
      <c r="AF23" s="327"/>
      <c r="AG23" s="328"/>
      <c r="AH23" s="68">
        <f>B23</f>
        <v>0</v>
      </c>
      <c r="AI23" s="69"/>
      <c r="AJ23" s="837">
        <f>IF(ABS(AI22-AI23)&gt;0,MAX(AI22,AI23),AI22)</f>
        <v>0</v>
      </c>
      <c r="AK23" s="54">
        <f t="shared" si="1"/>
        <v>0</v>
      </c>
      <c r="AL23" s="1046">
        <f t="shared" si="2"/>
        <v>0</v>
      </c>
      <c r="AM23" s="837">
        <f>IF(ABS(AK22-AK23)&gt;0,MAX(AK22,AK23),AK22)+IF(ABS(AL22-AL23)&gt;0,MAX(AL22,AL23),AL22)</f>
        <v>0</v>
      </c>
      <c r="AN23" s="73">
        <f>AJ23+AM23-1</f>
        <v>-1</v>
      </c>
      <c r="AO23" s="30"/>
      <c r="AP23" s="196">
        <f>IF(H23=$AP$6,I23,0)</f>
        <v>0</v>
      </c>
      <c r="AQ23" s="197">
        <f>IF(H23=$AQ$6,I23,0)</f>
        <v>0</v>
      </c>
      <c r="AR23" s="196">
        <f>IF(H23=$AR$6,J23,0)</f>
        <v>0</v>
      </c>
      <c r="AS23" s="197">
        <f>IF(H23=$AS$6,J23,0)</f>
        <v>0</v>
      </c>
    </row>
    <row r="24" spans="1:45" x14ac:dyDescent="0.2">
      <c r="A24" s="30"/>
      <c r="B24" s="56"/>
      <c r="C24" s="57"/>
      <c r="D24" s="58"/>
      <c r="E24" s="59"/>
      <c r="F24" s="58"/>
      <c r="G24" s="60"/>
      <c r="H24" s="61"/>
      <c r="I24" s="62">
        <f t="shared" si="10"/>
        <v>0</v>
      </c>
      <c r="J24" s="63">
        <f t="shared" si="11"/>
        <v>0</v>
      </c>
      <c r="K24" s="64">
        <f>(((C23+C24)/2+(G23+G24)/2)*($B24-$B23))/9</f>
        <v>0</v>
      </c>
      <c r="L24" s="62">
        <f>IF(V24="x",$I24,0)+IF(W24="x",$J24,0)-IF(AND($M24&gt;0,OR(V24="x",W24="x")),$M24,0)</f>
        <v>0</v>
      </c>
      <c r="M24" s="65">
        <f>X24</f>
        <v>0</v>
      </c>
      <c r="N24" s="64">
        <f>IF($Y24="x",$I24,0)+IF($Z24="x",$J24,0)-IF(AND($M24&gt;0,OR(Y24="x",Z24="x")),$M24,0)</f>
        <v>0</v>
      </c>
      <c r="O24" s="135">
        <f t="shared" si="3"/>
        <v>0</v>
      </c>
      <c r="P24" s="136">
        <f>IF(H24=$AQ$6,O24,0)</f>
        <v>0</v>
      </c>
      <c r="Q24" s="64">
        <f>O24</f>
        <v>0</v>
      </c>
      <c r="R24" s="1273"/>
      <c r="S24" s="1274"/>
      <c r="T24" s="36"/>
      <c r="U24" s="27"/>
      <c r="V24" s="69"/>
      <c r="W24" s="74"/>
      <c r="X24" s="129"/>
      <c r="Y24" s="74"/>
      <c r="Z24" s="75"/>
      <c r="AA24" s="30">
        <f t="shared" si="5"/>
        <v>0</v>
      </c>
      <c r="AB24" s="327"/>
      <c r="AC24" s="327"/>
      <c r="AD24" s="327"/>
      <c r="AE24" s="327"/>
      <c r="AF24" s="327"/>
      <c r="AG24" s="328"/>
      <c r="AH24" s="68">
        <f>B24</f>
        <v>0</v>
      </c>
      <c r="AI24" s="69"/>
      <c r="AJ24" s="837">
        <f>IF(ABS(AI23-AI24)&gt;0,MAX(AI23,AI24),AI23)</f>
        <v>0</v>
      </c>
      <c r="AK24" s="54">
        <f t="shared" si="1"/>
        <v>0</v>
      </c>
      <c r="AL24" s="1046">
        <f t="shared" si="2"/>
        <v>0</v>
      </c>
      <c r="AM24" s="837">
        <f>IF(ABS(AK23-AK24)&gt;0,MAX(AK23,AK24),AK23)+IF(ABS(AL23-AL24)&gt;0,MAX(AL23,AL24),AL23)</f>
        <v>0</v>
      </c>
      <c r="AN24" s="73">
        <f>AJ24+AM24-1</f>
        <v>-1</v>
      </c>
      <c r="AO24" s="30"/>
      <c r="AP24" s="196">
        <f>IF(H24=$AP$6,I24,0)</f>
        <v>0</v>
      </c>
      <c r="AQ24" s="197">
        <f>IF(H24=$AQ$6,I24,0)</f>
        <v>0</v>
      </c>
      <c r="AR24" s="196">
        <f>IF(H24=$AR$6,J24,0)</f>
        <v>0</v>
      </c>
      <c r="AS24" s="197">
        <f>IF(H24=$AS$6,J24,0)</f>
        <v>0</v>
      </c>
    </row>
    <row r="25" spans="1:45" x14ac:dyDescent="0.2">
      <c r="A25" s="30"/>
      <c r="B25" s="56"/>
      <c r="C25" s="57"/>
      <c r="D25" s="58"/>
      <c r="E25" s="59"/>
      <c r="F25" s="58"/>
      <c r="G25" s="60"/>
      <c r="H25" s="61"/>
      <c r="I25" s="62">
        <f t="shared" si="10"/>
        <v>0</v>
      </c>
      <c r="J25" s="63">
        <f t="shared" si="11"/>
        <v>0</v>
      </c>
      <c r="K25" s="64">
        <f>(((C24+C25)/2+(G24+G25)/2)*($B25-$B24))/9</f>
        <v>0</v>
      </c>
      <c r="L25" s="62">
        <f>IF(V25="x",$I25,0)+IF(W25="x",$J25,0)-IF(AND($M25&gt;0,OR(V25="x",W25="x")),$M25,0)</f>
        <v>0</v>
      </c>
      <c r="M25" s="65">
        <f>X25</f>
        <v>0</v>
      </c>
      <c r="N25" s="64">
        <f>IF($Y25="x",$I25,0)+IF($Z25="x",$J25,0)-IF(AND($M25&gt;0,OR(Y25="x",Z25="x")),$M25,0)</f>
        <v>0</v>
      </c>
      <c r="O25" s="135">
        <f t="shared" si="3"/>
        <v>0</v>
      </c>
      <c r="P25" s="136">
        <f>IF(H25=$AQ$6,O25,0)</f>
        <v>0</v>
      </c>
      <c r="Q25" s="64">
        <f>O25</f>
        <v>0</v>
      </c>
      <c r="R25" s="1273"/>
      <c r="S25" s="1274"/>
      <c r="T25" s="36"/>
      <c r="U25" s="27"/>
      <c r="V25" s="69"/>
      <c r="W25" s="74"/>
      <c r="X25" s="129"/>
      <c r="Y25" s="74"/>
      <c r="Z25" s="75"/>
      <c r="AA25" s="30">
        <f t="shared" si="5"/>
        <v>0</v>
      </c>
      <c r="AB25" s="327"/>
      <c r="AC25" s="327"/>
      <c r="AD25" s="327"/>
      <c r="AE25" s="327"/>
      <c r="AF25" s="327"/>
      <c r="AG25" s="328"/>
      <c r="AH25" s="68">
        <f>B25</f>
        <v>0</v>
      </c>
      <c r="AI25" s="69"/>
      <c r="AJ25" s="837">
        <f>IF(ABS(AI24-AI25)&gt;0,MAX(AI24,AI25),AI24)</f>
        <v>0</v>
      </c>
      <c r="AK25" s="54">
        <f t="shared" si="1"/>
        <v>0</v>
      </c>
      <c r="AL25" s="1046">
        <f t="shared" si="2"/>
        <v>0</v>
      </c>
      <c r="AM25" s="837">
        <f>IF(ABS(AK24-AK25)&gt;0,MAX(AK24,AK25),AK24)+IF(ABS(AL24-AL25)&gt;0,MAX(AL24,AL25),AL24)</f>
        <v>0</v>
      </c>
      <c r="AN25" s="73">
        <f>AJ25+AM25-1</f>
        <v>-1</v>
      </c>
      <c r="AO25" s="30"/>
      <c r="AP25" s="196">
        <f>IF(H25=$AP$6,I25,0)</f>
        <v>0</v>
      </c>
      <c r="AQ25" s="197">
        <f>IF(H25=$AQ$6,I25,0)</f>
        <v>0</v>
      </c>
      <c r="AR25" s="196">
        <f>IF(H25=$AR$6,J25,0)</f>
        <v>0</v>
      </c>
      <c r="AS25" s="197">
        <f>IF(H25=$AS$6,J25,0)</f>
        <v>0</v>
      </c>
    </row>
    <row r="26" spans="1:45" x14ac:dyDescent="0.2">
      <c r="A26" s="30"/>
      <c r="B26" s="56"/>
      <c r="C26" s="57"/>
      <c r="D26" s="58"/>
      <c r="E26" s="59"/>
      <c r="F26" s="58"/>
      <c r="G26" s="60"/>
      <c r="H26" s="61"/>
      <c r="I26" s="62">
        <f t="shared" si="10"/>
        <v>0</v>
      </c>
      <c r="J26" s="63">
        <f t="shared" si="11"/>
        <v>0</v>
      </c>
      <c r="K26" s="64">
        <f t="shared" ref="K26:K31" si="20">(((C25+C26)/2+(G25+G26)/2)*($B26-$B25))/9</f>
        <v>0</v>
      </c>
      <c r="L26" s="62">
        <f t="shared" ref="L26:L31" si="21">IF(V26="x",$I26,0)+IF(W26="x",$J26,0)-IF(AND($M26&gt;0,OR(V26="x",W26="x")),$M26,0)</f>
        <v>0</v>
      </c>
      <c r="M26" s="65">
        <f t="shared" ref="M26:M31" si="22">X26</f>
        <v>0</v>
      </c>
      <c r="N26" s="64">
        <f t="shared" ref="N26:N31" si="23">IF($Y26="x",$I26,0)+IF($Z26="x",$J26,0)-IF(AND($M26&gt;0,OR(Y26="x",Z26="x")),$M26,0)</f>
        <v>0</v>
      </c>
      <c r="O26" s="135">
        <f t="shared" si="3"/>
        <v>0</v>
      </c>
      <c r="P26" s="136">
        <f t="shared" si="4"/>
        <v>0</v>
      </c>
      <c r="Q26" s="64">
        <f t="shared" ref="Q26:Q31" si="24">O26</f>
        <v>0</v>
      </c>
      <c r="R26" s="1273"/>
      <c r="S26" s="1274"/>
      <c r="T26" s="36"/>
      <c r="U26" s="27"/>
      <c r="V26" s="69"/>
      <c r="W26" s="74"/>
      <c r="X26" s="129"/>
      <c r="Y26" s="74"/>
      <c r="Z26" s="75"/>
      <c r="AA26" s="30">
        <f t="shared" si="5"/>
        <v>0</v>
      </c>
      <c r="AB26" s="327"/>
      <c r="AC26" s="327"/>
      <c r="AD26" s="327"/>
      <c r="AE26" s="327"/>
      <c r="AF26" s="327"/>
      <c r="AG26" s="328"/>
      <c r="AH26" s="68">
        <f t="shared" si="0"/>
        <v>0</v>
      </c>
      <c r="AI26" s="69"/>
      <c r="AJ26" s="143">
        <f t="shared" ref="AJ26:AJ31" si="25">IF(ABS(AI25-AI26)&gt;0,MAX(AI25,AI26),AI25)</f>
        <v>0</v>
      </c>
      <c r="AK26" s="54">
        <f t="shared" si="1"/>
        <v>0</v>
      </c>
      <c r="AL26" s="1046">
        <f t="shared" si="2"/>
        <v>0</v>
      </c>
      <c r="AM26" s="143">
        <f t="shared" ref="AM26:AM31" si="26">IF(ABS(AK25-AK26)&gt;0,MAX(AK25,AK26),AK25)+IF(ABS(AL25-AL26)&gt;0,MAX(AL25,AL26),AL25)</f>
        <v>0</v>
      </c>
      <c r="AN26" s="73">
        <f t="shared" ref="AN26:AN31" si="27">AJ26+AM26-1</f>
        <v>-1</v>
      </c>
      <c r="AO26" s="30"/>
      <c r="AP26" s="196">
        <f t="shared" si="6"/>
        <v>0</v>
      </c>
      <c r="AQ26" s="197">
        <f t="shared" si="7"/>
        <v>0</v>
      </c>
      <c r="AR26" s="196">
        <f t="shared" si="8"/>
        <v>0</v>
      </c>
      <c r="AS26" s="197">
        <f t="shared" si="9"/>
        <v>0</v>
      </c>
    </row>
    <row r="27" spans="1:45" x14ac:dyDescent="0.2">
      <c r="A27" s="30"/>
      <c r="B27" s="56"/>
      <c r="C27" s="57"/>
      <c r="D27" s="58"/>
      <c r="E27" s="59"/>
      <c r="F27" s="58"/>
      <c r="G27" s="60"/>
      <c r="H27" s="61"/>
      <c r="I27" s="62">
        <f t="shared" si="10"/>
        <v>0</v>
      </c>
      <c r="J27" s="63">
        <f t="shared" si="11"/>
        <v>0</v>
      </c>
      <c r="K27" s="64">
        <f t="shared" si="20"/>
        <v>0</v>
      </c>
      <c r="L27" s="62">
        <f t="shared" si="21"/>
        <v>0</v>
      </c>
      <c r="M27" s="65">
        <f t="shared" si="22"/>
        <v>0</v>
      </c>
      <c r="N27" s="64">
        <f t="shared" si="23"/>
        <v>0</v>
      </c>
      <c r="O27" s="135">
        <f t="shared" si="3"/>
        <v>0</v>
      </c>
      <c r="P27" s="136">
        <f t="shared" si="4"/>
        <v>0</v>
      </c>
      <c r="Q27" s="64">
        <f t="shared" si="24"/>
        <v>0</v>
      </c>
      <c r="R27" s="1273"/>
      <c r="S27" s="1274"/>
      <c r="T27" s="36"/>
      <c r="U27" s="27"/>
      <c r="V27" s="69"/>
      <c r="W27" s="74"/>
      <c r="X27" s="129"/>
      <c r="Y27" s="74"/>
      <c r="Z27" s="75"/>
      <c r="AA27" s="30">
        <f t="shared" si="5"/>
        <v>0</v>
      </c>
      <c r="AB27" s="327"/>
      <c r="AC27" s="327"/>
      <c r="AD27" s="327"/>
      <c r="AE27" s="327"/>
      <c r="AF27" s="327"/>
      <c r="AG27" s="328"/>
      <c r="AH27" s="68">
        <f t="shared" si="0"/>
        <v>0</v>
      </c>
      <c r="AI27" s="69"/>
      <c r="AJ27" s="143">
        <f t="shared" si="25"/>
        <v>0</v>
      </c>
      <c r="AK27" s="54">
        <f t="shared" si="1"/>
        <v>0</v>
      </c>
      <c r="AL27" s="1046">
        <f t="shared" si="2"/>
        <v>0</v>
      </c>
      <c r="AM27" s="143">
        <f t="shared" si="26"/>
        <v>0</v>
      </c>
      <c r="AN27" s="73">
        <f t="shared" si="27"/>
        <v>-1</v>
      </c>
      <c r="AO27" s="30"/>
      <c r="AP27" s="196">
        <f t="shared" si="6"/>
        <v>0</v>
      </c>
      <c r="AQ27" s="197">
        <f t="shared" si="7"/>
        <v>0</v>
      </c>
      <c r="AR27" s="196">
        <f t="shared" si="8"/>
        <v>0</v>
      </c>
      <c r="AS27" s="197">
        <f t="shared" si="9"/>
        <v>0</v>
      </c>
    </row>
    <row r="28" spans="1:45" x14ac:dyDescent="0.2">
      <c r="A28" s="30"/>
      <c r="B28" s="56"/>
      <c r="C28" s="57"/>
      <c r="D28" s="58"/>
      <c r="E28" s="59"/>
      <c r="F28" s="58"/>
      <c r="G28" s="60"/>
      <c r="H28" s="61"/>
      <c r="I28" s="62">
        <f t="shared" si="10"/>
        <v>0</v>
      </c>
      <c r="J28" s="63">
        <f t="shared" si="11"/>
        <v>0</v>
      </c>
      <c r="K28" s="64">
        <f t="shared" si="20"/>
        <v>0</v>
      </c>
      <c r="L28" s="62">
        <f t="shared" si="21"/>
        <v>0</v>
      </c>
      <c r="M28" s="65">
        <f t="shared" si="22"/>
        <v>0</v>
      </c>
      <c r="N28" s="64">
        <f t="shared" si="23"/>
        <v>0</v>
      </c>
      <c r="O28" s="135">
        <f t="shared" si="3"/>
        <v>0</v>
      </c>
      <c r="P28" s="136">
        <f t="shared" si="4"/>
        <v>0</v>
      </c>
      <c r="Q28" s="64">
        <f t="shared" si="24"/>
        <v>0</v>
      </c>
      <c r="R28" s="1273"/>
      <c r="S28" s="1274"/>
      <c r="T28" s="36"/>
      <c r="U28" s="27"/>
      <c r="V28" s="69"/>
      <c r="W28" s="74"/>
      <c r="X28" s="129"/>
      <c r="Y28" s="74"/>
      <c r="Z28" s="75"/>
      <c r="AA28" s="30">
        <f t="shared" si="5"/>
        <v>0</v>
      </c>
      <c r="AB28" s="327"/>
      <c r="AC28" s="327"/>
      <c r="AD28" s="327"/>
      <c r="AE28" s="327"/>
      <c r="AF28" s="327"/>
      <c r="AG28" s="328"/>
      <c r="AH28" s="68">
        <f t="shared" si="0"/>
        <v>0</v>
      </c>
      <c r="AI28" s="69"/>
      <c r="AJ28" s="143">
        <f t="shared" si="25"/>
        <v>0</v>
      </c>
      <c r="AK28" s="54">
        <f t="shared" si="1"/>
        <v>0</v>
      </c>
      <c r="AL28" s="1046">
        <f t="shared" si="2"/>
        <v>0</v>
      </c>
      <c r="AM28" s="143">
        <f t="shared" si="26"/>
        <v>0</v>
      </c>
      <c r="AN28" s="73">
        <f t="shared" si="27"/>
        <v>-1</v>
      </c>
      <c r="AO28" s="30"/>
      <c r="AP28" s="196">
        <f t="shared" si="6"/>
        <v>0</v>
      </c>
      <c r="AQ28" s="197">
        <f t="shared" si="7"/>
        <v>0</v>
      </c>
      <c r="AR28" s="196">
        <f t="shared" si="8"/>
        <v>0</v>
      </c>
      <c r="AS28" s="197">
        <f t="shared" si="9"/>
        <v>0</v>
      </c>
    </row>
    <row r="29" spans="1:45" x14ac:dyDescent="0.2">
      <c r="A29" s="30"/>
      <c r="B29" s="56"/>
      <c r="C29" s="57"/>
      <c r="D29" s="58"/>
      <c r="E29" s="59"/>
      <c r="F29" s="58"/>
      <c r="G29" s="60"/>
      <c r="H29" s="61"/>
      <c r="I29" s="62">
        <f t="shared" si="10"/>
        <v>0</v>
      </c>
      <c r="J29" s="63">
        <f t="shared" si="11"/>
        <v>0</v>
      </c>
      <c r="K29" s="64">
        <f t="shared" si="20"/>
        <v>0</v>
      </c>
      <c r="L29" s="62">
        <f t="shared" si="21"/>
        <v>0</v>
      </c>
      <c r="M29" s="65">
        <f t="shared" si="22"/>
        <v>0</v>
      </c>
      <c r="N29" s="64">
        <f t="shared" si="23"/>
        <v>0</v>
      </c>
      <c r="O29" s="135">
        <f t="shared" si="3"/>
        <v>0</v>
      </c>
      <c r="P29" s="136">
        <f t="shared" si="4"/>
        <v>0</v>
      </c>
      <c r="Q29" s="64">
        <f t="shared" si="24"/>
        <v>0</v>
      </c>
      <c r="R29" s="1273"/>
      <c r="S29" s="1274"/>
      <c r="T29" s="36"/>
      <c r="U29" s="27"/>
      <c r="V29" s="69"/>
      <c r="W29" s="74"/>
      <c r="X29" s="129"/>
      <c r="Y29" s="74"/>
      <c r="Z29" s="75"/>
      <c r="AA29" s="30">
        <f t="shared" si="5"/>
        <v>0</v>
      </c>
      <c r="AB29" s="327"/>
      <c r="AC29" s="327"/>
      <c r="AD29" s="327"/>
      <c r="AE29" s="327"/>
      <c r="AF29" s="327"/>
      <c r="AG29" s="328"/>
      <c r="AH29" s="68">
        <f t="shared" si="0"/>
        <v>0</v>
      </c>
      <c r="AI29" s="69"/>
      <c r="AJ29" s="143">
        <f t="shared" si="25"/>
        <v>0</v>
      </c>
      <c r="AK29" s="54">
        <f t="shared" si="1"/>
        <v>0</v>
      </c>
      <c r="AL29" s="1046">
        <f t="shared" si="2"/>
        <v>0</v>
      </c>
      <c r="AM29" s="143">
        <f t="shared" si="26"/>
        <v>0</v>
      </c>
      <c r="AN29" s="73">
        <f t="shared" si="27"/>
        <v>-1</v>
      </c>
      <c r="AO29" s="30"/>
      <c r="AP29" s="196">
        <f t="shared" si="6"/>
        <v>0</v>
      </c>
      <c r="AQ29" s="197">
        <f t="shared" si="7"/>
        <v>0</v>
      </c>
      <c r="AR29" s="196">
        <f t="shared" si="8"/>
        <v>0</v>
      </c>
      <c r="AS29" s="197">
        <f t="shared" si="9"/>
        <v>0</v>
      </c>
    </row>
    <row r="30" spans="1:45" x14ac:dyDescent="0.2">
      <c r="A30" s="30"/>
      <c r="B30" s="56"/>
      <c r="C30" s="57"/>
      <c r="D30" s="58"/>
      <c r="E30" s="59"/>
      <c r="F30" s="58"/>
      <c r="G30" s="60"/>
      <c r="H30" s="61"/>
      <c r="I30" s="62">
        <f t="shared" si="10"/>
        <v>0</v>
      </c>
      <c r="J30" s="63">
        <f t="shared" si="11"/>
        <v>0</v>
      </c>
      <c r="K30" s="64">
        <f t="shared" si="20"/>
        <v>0</v>
      </c>
      <c r="L30" s="62">
        <f t="shared" si="21"/>
        <v>0</v>
      </c>
      <c r="M30" s="65">
        <f t="shared" si="22"/>
        <v>0</v>
      </c>
      <c r="N30" s="64">
        <f t="shared" si="23"/>
        <v>0</v>
      </c>
      <c r="O30" s="135">
        <f t="shared" si="3"/>
        <v>0</v>
      </c>
      <c r="P30" s="136">
        <f t="shared" si="4"/>
        <v>0</v>
      </c>
      <c r="Q30" s="64">
        <f t="shared" si="24"/>
        <v>0</v>
      </c>
      <c r="R30" s="1273"/>
      <c r="S30" s="1274"/>
      <c r="T30" s="36"/>
      <c r="U30" s="27"/>
      <c r="V30" s="69"/>
      <c r="W30" s="74"/>
      <c r="X30" s="129"/>
      <c r="Y30" s="74"/>
      <c r="Z30" s="75"/>
      <c r="AA30" s="30">
        <f t="shared" si="5"/>
        <v>0</v>
      </c>
      <c r="AB30" s="327"/>
      <c r="AC30" s="327"/>
      <c r="AD30" s="327"/>
      <c r="AE30" s="327"/>
      <c r="AF30" s="327"/>
      <c r="AG30" s="328"/>
      <c r="AH30" s="68">
        <f t="shared" si="0"/>
        <v>0</v>
      </c>
      <c r="AI30" s="69"/>
      <c r="AJ30" s="143">
        <f t="shared" si="25"/>
        <v>0</v>
      </c>
      <c r="AK30" s="54">
        <f t="shared" si="1"/>
        <v>0</v>
      </c>
      <c r="AL30" s="1046">
        <f t="shared" si="2"/>
        <v>0</v>
      </c>
      <c r="AM30" s="143">
        <f t="shared" si="26"/>
        <v>0</v>
      </c>
      <c r="AN30" s="73">
        <f t="shared" si="27"/>
        <v>-1</v>
      </c>
      <c r="AO30" s="30"/>
      <c r="AP30" s="196">
        <f t="shared" si="6"/>
        <v>0</v>
      </c>
      <c r="AQ30" s="197">
        <f t="shared" si="7"/>
        <v>0</v>
      </c>
      <c r="AR30" s="196">
        <f t="shared" si="8"/>
        <v>0</v>
      </c>
      <c r="AS30" s="197">
        <f t="shared" si="9"/>
        <v>0</v>
      </c>
    </row>
    <row r="31" spans="1:45" x14ac:dyDescent="0.2">
      <c r="A31" s="30"/>
      <c r="B31" s="56"/>
      <c r="C31" s="57"/>
      <c r="D31" s="58"/>
      <c r="E31" s="59"/>
      <c r="F31" s="58"/>
      <c r="G31" s="60"/>
      <c r="H31" s="61"/>
      <c r="I31" s="62">
        <f t="shared" si="10"/>
        <v>0</v>
      </c>
      <c r="J31" s="63">
        <f t="shared" si="11"/>
        <v>0</v>
      </c>
      <c r="K31" s="64">
        <f t="shared" si="20"/>
        <v>0</v>
      </c>
      <c r="L31" s="62">
        <f t="shared" si="21"/>
        <v>0</v>
      </c>
      <c r="M31" s="65">
        <f t="shared" si="22"/>
        <v>0</v>
      </c>
      <c r="N31" s="64">
        <f t="shared" si="23"/>
        <v>0</v>
      </c>
      <c r="O31" s="135">
        <f t="shared" si="3"/>
        <v>0</v>
      </c>
      <c r="P31" s="136">
        <f t="shared" si="4"/>
        <v>0</v>
      </c>
      <c r="Q31" s="64">
        <f t="shared" si="24"/>
        <v>0</v>
      </c>
      <c r="R31" s="1273"/>
      <c r="S31" s="1274"/>
      <c r="T31" s="36"/>
      <c r="U31" s="27"/>
      <c r="V31" s="69"/>
      <c r="W31" s="74"/>
      <c r="X31" s="129"/>
      <c r="Y31" s="74"/>
      <c r="Z31" s="75"/>
      <c r="AA31" s="30">
        <f t="shared" si="5"/>
        <v>0</v>
      </c>
      <c r="AB31" s="327"/>
      <c r="AC31" s="327"/>
      <c r="AD31" s="327"/>
      <c r="AE31" s="327"/>
      <c r="AF31" s="327"/>
      <c r="AG31" s="328"/>
      <c r="AH31" s="68">
        <f t="shared" si="0"/>
        <v>0</v>
      </c>
      <c r="AI31" s="69"/>
      <c r="AJ31" s="143">
        <f t="shared" si="25"/>
        <v>0</v>
      </c>
      <c r="AK31" s="54">
        <f t="shared" si="1"/>
        <v>0</v>
      </c>
      <c r="AL31" s="1046">
        <f t="shared" si="2"/>
        <v>0</v>
      </c>
      <c r="AM31" s="143">
        <f t="shared" si="26"/>
        <v>0</v>
      </c>
      <c r="AN31" s="73">
        <f t="shared" si="27"/>
        <v>-1</v>
      </c>
      <c r="AO31" s="30"/>
      <c r="AP31" s="196">
        <f t="shared" si="6"/>
        <v>0</v>
      </c>
      <c r="AQ31" s="197">
        <f t="shared" si="7"/>
        <v>0</v>
      </c>
      <c r="AR31" s="196">
        <f t="shared" si="8"/>
        <v>0</v>
      </c>
      <c r="AS31" s="197">
        <f t="shared" si="9"/>
        <v>0</v>
      </c>
    </row>
    <row r="32" spans="1:45" x14ac:dyDescent="0.2">
      <c r="A32" s="30"/>
      <c r="B32" s="77"/>
      <c r="C32" s="78"/>
      <c r="D32" s="79"/>
      <c r="E32" s="76"/>
      <c r="F32" s="79"/>
      <c r="G32" s="60"/>
      <c r="H32" s="61"/>
      <c r="I32" s="62">
        <f t="shared" si="10"/>
        <v>0</v>
      </c>
      <c r="J32" s="63">
        <f t="shared" si="11"/>
        <v>0</v>
      </c>
      <c r="K32" s="64">
        <f t="shared" si="12"/>
        <v>0</v>
      </c>
      <c r="L32" s="62">
        <f t="shared" si="13"/>
        <v>0</v>
      </c>
      <c r="M32" s="65">
        <f t="shared" si="14"/>
        <v>0</v>
      </c>
      <c r="N32" s="64">
        <f t="shared" si="15"/>
        <v>0</v>
      </c>
      <c r="O32" s="135">
        <f t="shared" si="3"/>
        <v>0</v>
      </c>
      <c r="P32" s="136">
        <f t="shared" si="4"/>
        <v>0</v>
      </c>
      <c r="Q32" s="64">
        <f t="shared" si="16"/>
        <v>0</v>
      </c>
      <c r="R32" s="1273"/>
      <c r="S32" s="1274"/>
      <c r="T32" s="36"/>
      <c r="U32" s="27"/>
      <c r="V32" s="69"/>
      <c r="W32" s="74"/>
      <c r="X32" s="129"/>
      <c r="Y32" s="74"/>
      <c r="Z32" s="75"/>
      <c r="AA32" s="30">
        <f t="shared" si="5"/>
        <v>0</v>
      </c>
      <c r="AB32" s="327"/>
      <c r="AC32" s="327"/>
      <c r="AD32" s="327"/>
      <c r="AE32" s="327"/>
      <c r="AF32" s="327"/>
      <c r="AG32" s="328"/>
      <c r="AH32" s="68">
        <f t="shared" si="0"/>
        <v>0</v>
      </c>
      <c r="AI32" s="69"/>
      <c r="AJ32" s="70">
        <f t="shared" si="17"/>
        <v>0</v>
      </c>
      <c r="AK32" s="54">
        <f t="shared" si="1"/>
        <v>0</v>
      </c>
      <c r="AL32" s="1046">
        <f t="shared" si="2"/>
        <v>0</v>
      </c>
      <c r="AM32" s="70">
        <f t="shared" si="18"/>
        <v>0</v>
      </c>
      <c r="AN32" s="73">
        <f t="shared" si="19"/>
        <v>-1</v>
      </c>
      <c r="AO32" s="30"/>
      <c r="AP32" s="196">
        <f t="shared" si="6"/>
        <v>0</v>
      </c>
      <c r="AQ32" s="197">
        <f t="shared" si="7"/>
        <v>0</v>
      </c>
      <c r="AR32" s="196">
        <f t="shared" si="8"/>
        <v>0</v>
      </c>
      <c r="AS32" s="197">
        <f t="shared" si="9"/>
        <v>0</v>
      </c>
    </row>
    <row r="33" spans="1:45" x14ac:dyDescent="0.2">
      <c r="A33" s="30"/>
      <c r="B33" s="77"/>
      <c r="C33" s="78"/>
      <c r="D33" s="79"/>
      <c r="E33" s="76"/>
      <c r="F33" s="79"/>
      <c r="G33" s="60"/>
      <c r="H33" s="61"/>
      <c r="I33" s="62">
        <f t="shared" si="10"/>
        <v>0</v>
      </c>
      <c r="J33" s="63">
        <f t="shared" si="11"/>
        <v>0</v>
      </c>
      <c r="K33" s="64">
        <f t="shared" si="12"/>
        <v>0</v>
      </c>
      <c r="L33" s="62">
        <f t="shared" si="13"/>
        <v>0</v>
      </c>
      <c r="M33" s="65">
        <f t="shared" si="14"/>
        <v>0</v>
      </c>
      <c r="N33" s="64">
        <f t="shared" si="15"/>
        <v>0</v>
      </c>
      <c r="O33" s="135">
        <f t="shared" si="3"/>
        <v>0</v>
      </c>
      <c r="P33" s="136">
        <f t="shared" si="4"/>
        <v>0</v>
      </c>
      <c r="Q33" s="64">
        <f t="shared" si="16"/>
        <v>0</v>
      </c>
      <c r="R33" s="1273"/>
      <c r="S33" s="1274"/>
      <c r="T33" s="36"/>
      <c r="U33" s="27"/>
      <c r="V33" s="69"/>
      <c r="W33" s="74"/>
      <c r="X33" s="129"/>
      <c r="Y33" s="74"/>
      <c r="Z33" s="75"/>
      <c r="AA33" s="30">
        <f t="shared" si="5"/>
        <v>0</v>
      </c>
      <c r="AB33" s="327"/>
      <c r="AC33" s="327"/>
      <c r="AD33" s="327"/>
      <c r="AE33" s="327"/>
      <c r="AF33" s="327"/>
      <c r="AG33" s="328"/>
      <c r="AH33" s="68">
        <f t="shared" si="0"/>
        <v>0</v>
      </c>
      <c r="AI33" s="69"/>
      <c r="AJ33" s="70">
        <f t="shared" si="17"/>
        <v>0</v>
      </c>
      <c r="AK33" s="54">
        <f t="shared" si="1"/>
        <v>0</v>
      </c>
      <c r="AL33" s="1046">
        <f t="shared" si="2"/>
        <v>0</v>
      </c>
      <c r="AM33" s="70">
        <f t="shared" si="18"/>
        <v>0</v>
      </c>
      <c r="AN33" s="73">
        <f t="shared" si="19"/>
        <v>-1</v>
      </c>
      <c r="AO33" s="30"/>
      <c r="AP33" s="196">
        <f t="shared" si="6"/>
        <v>0</v>
      </c>
      <c r="AQ33" s="197">
        <f t="shared" si="7"/>
        <v>0</v>
      </c>
      <c r="AR33" s="196">
        <f t="shared" si="8"/>
        <v>0</v>
      </c>
      <c r="AS33" s="197">
        <f t="shared" si="9"/>
        <v>0</v>
      </c>
    </row>
    <row r="34" spans="1:45" x14ac:dyDescent="0.2">
      <c r="A34" s="30"/>
      <c r="B34" s="77"/>
      <c r="C34" s="78"/>
      <c r="D34" s="79"/>
      <c r="E34" s="76"/>
      <c r="F34" s="79"/>
      <c r="G34" s="60"/>
      <c r="H34" s="61"/>
      <c r="I34" s="62">
        <f t="shared" si="10"/>
        <v>0</v>
      </c>
      <c r="J34" s="63">
        <f t="shared" si="11"/>
        <v>0</v>
      </c>
      <c r="K34" s="64">
        <f t="shared" si="12"/>
        <v>0</v>
      </c>
      <c r="L34" s="62">
        <f t="shared" si="13"/>
        <v>0</v>
      </c>
      <c r="M34" s="65">
        <f t="shared" si="14"/>
        <v>0</v>
      </c>
      <c r="N34" s="64">
        <f t="shared" si="15"/>
        <v>0</v>
      </c>
      <c r="O34" s="135">
        <f t="shared" si="3"/>
        <v>0</v>
      </c>
      <c r="P34" s="136">
        <f t="shared" si="4"/>
        <v>0</v>
      </c>
      <c r="Q34" s="64">
        <f t="shared" si="16"/>
        <v>0</v>
      </c>
      <c r="R34" s="1273"/>
      <c r="S34" s="1274"/>
      <c r="T34" s="36"/>
      <c r="U34" s="27"/>
      <c r="V34" s="69"/>
      <c r="W34" s="74"/>
      <c r="X34" s="129"/>
      <c r="Y34" s="74"/>
      <c r="Z34" s="75"/>
      <c r="AA34" s="30">
        <f t="shared" si="5"/>
        <v>0</v>
      </c>
      <c r="AB34" s="327"/>
      <c r="AC34" s="327"/>
      <c r="AD34" s="327"/>
      <c r="AE34" s="327"/>
      <c r="AF34" s="327"/>
      <c r="AG34" s="328"/>
      <c r="AH34" s="68">
        <f t="shared" si="0"/>
        <v>0</v>
      </c>
      <c r="AI34" s="69"/>
      <c r="AJ34" s="70">
        <f t="shared" si="17"/>
        <v>0</v>
      </c>
      <c r="AK34" s="54">
        <f t="shared" si="1"/>
        <v>0</v>
      </c>
      <c r="AL34" s="1046">
        <f t="shared" si="2"/>
        <v>0</v>
      </c>
      <c r="AM34" s="70">
        <f t="shared" si="18"/>
        <v>0</v>
      </c>
      <c r="AN34" s="73">
        <f t="shared" si="19"/>
        <v>-1</v>
      </c>
      <c r="AO34" s="30"/>
      <c r="AP34" s="196">
        <f t="shared" si="6"/>
        <v>0</v>
      </c>
      <c r="AQ34" s="197">
        <f t="shared" si="7"/>
        <v>0</v>
      </c>
      <c r="AR34" s="196">
        <f t="shared" si="8"/>
        <v>0</v>
      </c>
      <c r="AS34" s="197">
        <f t="shared" si="9"/>
        <v>0</v>
      </c>
    </row>
    <row r="35" spans="1:45" x14ac:dyDescent="0.2">
      <c r="A35" s="30"/>
      <c r="B35" s="56"/>
      <c r="C35" s="78"/>
      <c r="D35" s="58"/>
      <c r="E35" s="59"/>
      <c r="F35" s="79"/>
      <c r="G35" s="60"/>
      <c r="H35" s="61"/>
      <c r="I35" s="62">
        <f t="shared" si="10"/>
        <v>0</v>
      </c>
      <c r="J35" s="63">
        <f t="shared" si="11"/>
        <v>0</v>
      </c>
      <c r="K35" s="64">
        <f>(((C34+C35)/2+(G34+G35)/2)*($B35-$B34))/9</f>
        <v>0</v>
      </c>
      <c r="L35" s="62">
        <f>IF(V35="x",$I35,0)+IF(W35="x",$J35,0)-IF(AND($M35&gt;0,OR(V35="x",W35="x")),$M35,0)</f>
        <v>0</v>
      </c>
      <c r="M35" s="65">
        <f>X35</f>
        <v>0</v>
      </c>
      <c r="N35" s="64">
        <f>IF($Y35="x",$I35,0)+IF($Z35="x",$J35,0)-IF(AND($M35&gt;0,OR(Y35="x",Z35="x")),$M35,0)</f>
        <v>0</v>
      </c>
      <c r="O35" s="135">
        <f t="shared" si="3"/>
        <v>0</v>
      </c>
      <c r="P35" s="136">
        <f>IF(H35=$AQ$6,O35,0)</f>
        <v>0</v>
      </c>
      <c r="Q35" s="64">
        <f>O35</f>
        <v>0</v>
      </c>
      <c r="R35" s="1273"/>
      <c r="S35" s="1274"/>
      <c r="T35" s="36"/>
      <c r="U35" s="27"/>
      <c r="V35" s="69"/>
      <c r="W35" s="74"/>
      <c r="X35" s="129"/>
      <c r="Y35" s="74"/>
      <c r="Z35" s="75"/>
      <c r="AA35" s="30">
        <f t="shared" si="5"/>
        <v>0</v>
      </c>
      <c r="AB35" s="327"/>
      <c r="AC35" s="327"/>
      <c r="AD35" s="327"/>
      <c r="AE35" s="327"/>
      <c r="AF35" s="327"/>
      <c r="AG35" s="328"/>
      <c r="AH35" s="68">
        <f>B35</f>
        <v>0</v>
      </c>
      <c r="AI35" s="69"/>
      <c r="AJ35" s="1116">
        <f>IF(ABS(AI34-AI35)&gt;0,MAX(AI34,AI35),AI34)</f>
        <v>0</v>
      </c>
      <c r="AK35" s="54">
        <f t="shared" si="1"/>
        <v>0</v>
      </c>
      <c r="AL35" s="1115">
        <f t="shared" si="2"/>
        <v>0</v>
      </c>
      <c r="AM35" s="1116">
        <f>IF(ABS(AK34-AK35)&gt;0,MAX(AK34,AK35),AK34)+IF(ABS(AL34-AL35)&gt;0,MAX(AL34,AL35),AL34)</f>
        <v>0</v>
      </c>
      <c r="AN35" s="73">
        <f>AJ35+AM35-1</f>
        <v>-1</v>
      </c>
      <c r="AO35" s="30"/>
      <c r="AP35" s="196">
        <f>IF(H35=$AP$6,I35,0)</f>
        <v>0</v>
      </c>
      <c r="AQ35" s="197">
        <f>IF(H35=$AQ$6,I35,0)</f>
        <v>0</v>
      </c>
      <c r="AR35" s="196">
        <f>IF(H35=$AR$6,J35,0)</f>
        <v>0</v>
      </c>
      <c r="AS35" s="197">
        <f>IF(H35=$AS$6,J35,0)</f>
        <v>0</v>
      </c>
    </row>
    <row r="36" spans="1:45" x14ac:dyDescent="0.2">
      <c r="A36" s="30"/>
      <c r="B36" s="56"/>
      <c r="C36" s="78"/>
      <c r="D36" s="58"/>
      <c r="E36" s="59"/>
      <c r="F36" s="79"/>
      <c r="G36" s="60"/>
      <c r="H36" s="61"/>
      <c r="I36" s="62">
        <f t="shared" si="10"/>
        <v>0</v>
      </c>
      <c r="J36" s="63">
        <f t="shared" si="11"/>
        <v>0</v>
      </c>
      <c r="K36" s="64">
        <f>(((C35+C36)/2+(G35+G36)/2)*($B36-$B35))/9</f>
        <v>0</v>
      </c>
      <c r="L36" s="62">
        <f>IF(V36="x",$I36,0)+IF(W36="x",$J36,0)-IF(AND($M36&gt;0,OR(V36="x",W36="x")),$M36,0)</f>
        <v>0</v>
      </c>
      <c r="M36" s="65">
        <f>X36</f>
        <v>0</v>
      </c>
      <c r="N36" s="64">
        <f>IF($Y36="x",$I36,0)+IF($Z36="x",$J36,0)-IF(AND($M36&gt;0,OR(Y36="x",Z36="x")),$M36,0)</f>
        <v>0</v>
      </c>
      <c r="O36" s="135">
        <f t="shared" si="3"/>
        <v>0</v>
      </c>
      <c r="P36" s="136">
        <f>IF(H36=$AQ$6,O36,0)</f>
        <v>0</v>
      </c>
      <c r="Q36" s="64">
        <f>O36</f>
        <v>0</v>
      </c>
      <c r="R36" s="1273"/>
      <c r="S36" s="1274"/>
      <c r="T36" s="36"/>
      <c r="U36" s="27"/>
      <c r="V36" s="69"/>
      <c r="W36" s="74"/>
      <c r="X36" s="129"/>
      <c r="Y36" s="74"/>
      <c r="Z36" s="75"/>
      <c r="AA36" s="30">
        <f t="shared" si="5"/>
        <v>0</v>
      </c>
      <c r="AB36" s="327"/>
      <c r="AC36" s="327"/>
      <c r="AD36" s="327"/>
      <c r="AE36" s="327"/>
      <c r="AF36" s="327"/>
      <c r="AG36" s="328"/>
      <c r="AH36" s="68">
        <f>B36</f>
        <v>0</v>
      </c>
      <c r="AI36" s="69"/>
      <c r="AJ36" s="1116">
        <f>IF(ABS(AI35-AI36)&gt;0,MAX(AI35,AI36),AI35)</f>
        <v>0</v>
      </c>
      <c r="AK36" s="54">
        <f t="shared" si="1"/>
        <v>0</v>
      </c>
      <c r="AL36" s="1115">
        <f t="shared" si="2"/>
        <v>0</v>
      </c>
      <c r="AM36" s="1116">
        <f>IF(ABS(AK35-AK36)&gt;0,MAX(AK35,AK36),AK35)+IF(ABS(AL35-AL36)&gt;0,MAX(AL35,AL36),AL35)</f>
        <v>0</v>
      </c>
      <c r="AN36" s="73">
        <f>AJ36+AM36-1</f>
        <v>-1</v>
      </c>
      <c r="AO36" s="30"/>
      <c r="AP36" s="196">
        <f>IF(H36=$AP$6,I36,0)</f>
        <v>0</v>
      </c>
      <c r="AQ36" s="197">
        <f>IF(H36=$AQ$6,I36,0)</f>
        <v>0</v>
      </c>
      <c r="AR36" s="196">
        <f>IF(H36=$AR$6,J36,0)</f>
        <v>0</v>
      </c>
      <c r="AS36" s="197">
        <f>IF(H36=$AS$6,J36,0)</f>
        <v>0</v>
      </c>
    </row>
    <row r="37" spans="1:45" x14ac:dyDescent="0.2">
      <c r="A37" s="30"/>
      <c r="B37" s="56"/>
      <c r="C37" s="78"/>
      <c r="D37" s="58"/>
      <c r="E37" s="59"/>
      <c r="F37" s="79"/>
      <c r="G37" s="60"/>
      <c r="H37" s="61"/>
      <c r="I37" s="62">
        <f t="shared" si="10"/>
        <v>0</v>
      </c>
      <c r="J37" s="63">
        <f t="shared" si="11"/>
        <v>0</v>
      </c>
      <c r="K37" s="64">
        <f t="shared" si="12"/>
        <v>0</v>
      </c>
      <c r="L37" s="62">
        <f t="shared" si="13"/>
        <v>0</v>
      </c>
      <c r="M37" s="65">
        <f t="shared" si="14"/>
        <v>0</v>
      </c>
      <c r="N37" s="64">
        <f t="shared" si="15"/>
        <v>0</v>
      </c>
      <c r="O37" s="135">
        <f t="shared" si="3"/>
        <v>0</v>
      </c>
      <c r="P37" s="136">
        <f t="shared" si="4"/>
        <v>0</v>
      </c>
      <c r="Q37" s="64">
        <f t="shared" si="16"/>
        <v>0</v>
      </c>
      <c r="R37" s="1273"/>
      <c r="S37" s="1274"/>
      <c r="T37" s="36"/>
      <c r="U37" s="27"/>
      <c r="V37" s="69"/>
      <c r="W37" s="74"/>
      <c r="X37" s="129"/>
      <c r="Y37" s="74"/>
      <c r="Z37" s="75"/>
      <c r="AA37" s="30">
        <f t="shared" si="5"/>
        <v>0</v>
      </c>
      <c r="AB37" s="327"/>
      <c r="AC37" s="327"/>
      <c r="AD37" s="327"/>
      <c r="AE37" s="327"/>
      <c r="AF37" s="327"/>
      <c r="AG37" s="328"/>
      <c r="AH37" s="68">
        <f t="shared" si="0"/>
        <v>0</v>
      </c>
      <c r="AI37" s="69"/>
      <c r="AJ37" s="70">
        <f t="shared" si="17"/>
        <v>0</v>
      </c>
      <c r="AK37" s="54">
        <f t="shared" si="1"/>
        <v>0</v>
      </c>
      <c r="AL37" s="1046">
        <f t="shared" si="2"/>
        <v>0</v>
      </c>
      <c r="AM37" s="70">
        <f t="shared" si="18"/>
        <v>0</v>
      </c>
      <c r="AN37" s="73">
        <f t="shared" si="19"/>
        <v>-1</v>
      </c>
      <c r="AO37" s="30"/>
      <c r="AP37" s="196">
        <f t="shared" si="6"/>
        <v>0</v>
      </c>
      <c r="AQ37" s="197">
        <f t="shared" si="7"/>
        <v>0</v>
      </c>
      <c r="AR37" s="196">
        <f t="shared" si="8"/>
        <v>0</v>
      </c>
      <c r="AS37" s="197">
        <f t="shared" si="9"/>
        <v>0</v>
      </c>
    </row>
    <row r="38" spans="1:45" x14ac:dyDescent="0.2">
      <c r="A38" s="30"/>
      <c r="B38" s="56"/>
      <c r="C38" s="78"/>
      <c r="D38" s="58"/>
      <c r="E38" s="59"/>
      <c r="F38" s="79"/>
      <c r="G38" s="60"/>
      <c r="H38" s="61"/>
      <c r="I38" s="62">
        <f t="shared" si="10"/>
        <v>0</v>
      </c>
      <c r="J38" s="63">
        <f t="shared" si="11"/>
        <v>0</v>
      </c>
      <c r="K38" s="64">
        <f t="shared" si="12"/>
        <v>0</v>
      </c>
      <c r="L38" s="62">
        <f t="shared" si="13"/>
        <v>0</v>
      </c>
      <c r="M38" s="65">
        <f t="shared" si="14"/>
        <v>0</v>
      </c>
      <c r="N38" s="64">
        <f t="shared" si="15"/>
        <v>0</v>
      </c>
      <c r="O38" s="135">
        <f t="shared" si="3"/>
        <v>0</v>
      </c>
      <c r="P38" s="136">
        <f t="shared" si="4"/>
        <v>0</v>
      </c>
      <c r="Q38" s="64">
        <f t="shared" si="16"/>
        <v>0</v>
      </c>
      <c r="R38" s="1273"/>
      <c r="S38" s="1274"/>
      <c r="T38" s="36"/>
      <c r="U38" s="27"/>
      <c r="V38" s="69"/>
      <c r="W38" s="74"/>
      <c r="X38" s="129"/>
      <c r="Y38" s="74"/>
      <c r="Z38" s="75"/>
      <c r="AA38" s="30">
        <f t="shared" si="5"/>
        <v>0</v>
      </c>
      <c r="AB38" s="327"/>
      <c r="AC38" s="327"/>
      <c r="AD38" s="327"/>
      <c r="AE38" s="327"/>
      <c r="AF38" s="327"/>
      <c r="AG38" s="328"/>
      <c r="AH38" s="68">
        <f t="shared" si="0"/>
        <v>0</v>
      </c>
      <c r="AI38" s="69"/>
      <c r="AJ38" s="70">
        <f t="shared" si="17"/>
        <v>0</v>
      </c>
      <c r="AK38" s="54">
        <f t="shared" si="1"/>
        <v>0</v>
      </c>
      <c r="AL38" s="1046">
        <f t="shared" si="2"/>
        <v>0</v>
      </c>
      <c r="AM38" s="70">
        <f t="shared" si="18"/>
        <v>0</v>
      </c>
      <c r="AN38" s="73">
        <f t="shared" si="19"/>
        <v>-1</v>
      </c>
      <c r="AO38" s="30"/>
      <c r="AP38" s="196">
        <f t="shared" si="6"/>
        <v>0</v>
      </c>
      <c r="AQ38" s="197">
        <f t="shared" si="7"/>
        <v>0</v>
      </c>
      <c r="AR38" s="196">
        <f t="shared" si="8"/>
        <v>0</v>
      </c>
      <c r="AS38" s="197">
        <f t="shared" si="9"/>
        <v>0</v>
      </c>
    </row>
    <row r="39" spans="1:45" x14ac:dyDescent="0.2">
      <c r="A39" s="30"/>
      <c r="B39" s="56"/>
      <c r="C39" s="78"/>
      <c r="D39" s="58"/>
      <c r="E39" s="59"/>
      <c r="F39" s="79"/>
      <c r="G39" s="60"/>
      <c r="H39" s="61"/>
      <c r="I39" s="62">
        <f t="shared" si="10"/>
        <v>0</v>
      </c>
      <c r="J39" s="63">
        <f t="shared" si="11"/>
        <v>0</v>
      </c>
      <c r="K39" s="64">
        <f t="shared" si="12"/>
        <v>0</v>
      </c>
      <c r="L39" s="62">
        <f t="shared" si="13"/>
        <v>0</v>
      </c>
      <c r="M39" s="65">
        <f t="shared" si="14"/>
        <v>0</v>
      </c>
      <c r="N39" s="64">
        <f t="shared" si="15"/>
        <v>0</v>
      </c>
      <c r="O39" s="135">
        <f t="shared" si="3"/>
        <v>0</v>
      </c>
      <c r="P39" s="136">
        <f t="shared" si="4"/>
        <v>0</v>
      </c>
      <c r="Q39" s="64">
        <f t="shared" si="16"/>
        <v>0</v>
      </c>
      <c r="R39" s="1273"/>
      <c r="S39" s="1274"/>
      <c r="T39" s="36"/>
      <c r="U39" s="27"/>
      <c r="V39" s="69"/>
      <c r="W39" s="74"/>
      <c r="X39" s="129"/>
      <c r="Y39" s="74"/>
      <c r="Z39" s="75"/>
      <c r="AA39" s="30">
        <f t="shared" si="5"/>
        <v>0</v>
      </c>
      <c r="AB39" s="327"/>
      <c r="AC39" s="327"/>
      <c r="AD39" s="327"/>
      <c r="AE39" s="327"/>
      <c r="AF39" s="327"/>
      <c r="AG39" s="328"/>
      <c r="AH39" s="68">
        <f t="shared" si="0"/>
        <v>0</v>
      </c>
      <c r="AI39" s="69"/>
      <c r="AJ39" s="70">
        <f t="shared" si="17"/>
        <v>0</v>
      </c>
      <c r="AK39" s="54">
        <f t="shared" si="1"/>
        <v>0</v>
      </c>
      <c r="AL39" s="1046">
        <f t="shared" si="2"/>
        <v>0</v>
      </c>
      <c r="AM39" s="70">
        <f t="shared" si="18"/>
        <v>0</v>
      </c>
      <c r="AN39" s="73">
        <f t="shared" si="19"/>
        <v>-1</v>
      </c>
      <c r="AO39" s="30"/>
      <c r="AP39" s="196">
        <f t="shared" si="6"/>
        <v>0</v>
      </c>
      <c r="AQ39" s="197">
        <f t="shared" si="7"/>
        <v>0</v>
      </c>
      <c r="AR39" s="196">
        <f t="shared" si="8"/>
        <v>0</v>
      </c>
      <c r="AS39" s="197">
        <f t="shared" si="9"/>
        <v>0</v>
      </c>
    </row>
    <row r="40" spans="1:45" x14ac:dyDescent="0.2">
      <c r="A40" s="30"/>
      <c r="B40" s="56"/>
      <c r="C40" s="78"/>
      <c r="D40" s="58"/>
      <c r="E40" s="59"/>
      <c r="F40" s="79"/>
      <c r="G40" s="60"/>
      <c r="H40" s="61"/>
      <c r="I40" s="62">
        <f t="shared" si="10"/>
        <v>0</v>
      </c>
      <c r="J40" s="63">
        <f t="shared" si="11"/>
        <v>0</v>
      </c>
      <c r="K40" s="64">
        <f t="shared" si="12"/>
        <v>0</v>
      </c>
      <c r="L40" s="62">
        <f t="shared" si="13"/>
        <v>0</v>
      </c>
      <c r="M40" s="65">
        <f t="shared" si="14"/>
        <v>0</v>
      </c>
      <c r="N40" s="64">
        <f t="shared" si="15"/>
        <v>0</v>
      </c>
      <c r="O40" s="135">
        <f t="shared" si="3"/>
        <v>0</v>
      </c>
      <c r="P40" s="136">
        <f t="shared" si="4"/>
        <v>0</v>
      </c>
      <c r="Q40" s="64">
        <f t="shared" si="16"/>
        <v>0</v>
      </c>
      <c r="R40" s="1273"/>
      <c r="S40" s="1274"/>
      <c r="T40" s="36"/>
      <c r="U40" s="27"/>
      <c r="V40" s="69"/>
      <c r="W40" s="74"/>
      <c r="X40" s="129"/>
      <c r="Y40" s="74"/>
      <c r="Z40" s="75"/>
      <c r="AA40" s="30">
        <f t="shared" si="5"/>
        <v>0</v>
      </c>
      <c r="AB40" s="327"/>
      <c r="AC40" s="327"/>
      <c r="AD40" s="327"/>
      <c r="AE40" s="327"/>
      <c r="AF40" s="327"/>
      <c r="AG40" s="328"/>
      <c r="AH40" s="68">
        <f t="shared" si="0"/>
        <v>0</v>
      </c>
      <c r="AI40" s="69"/>
      <c r="AJ40" s="70">
        <f t="shared" si="17"/>
        <v>0</v>
      </c>
      <c r="AK40" s="54">
        <f t="shared" si="1"/>
        <v>0</v>
      </c>
      <c r="AL40" s="1046">
        <f t="shared" si="2"/>
        <v>0</v>
      </c>
      <c r="AM40" s="70">
        <f t="shared" si="18"/>
        <v>0</v>
      </c>
      <c r="AN40" s="73">
        <f t="shared" si="19"/>
        <v>-1</v>
      </c>
      <c r="AO40" s="30"/>
      <c r="AP40" s="196">
        <f t="shared" si="6"/>
        <v>0</v>
      </c>
      <c r="AQ40" s="197">
        <f t="shared" si="7"/>
        <v>0</v>
      </c>
      <c r="AR40" s="196">
        <f t="shared" si="8"/>
        <v>0</v>
      </c>
      <c r="AS40" s="197">
        <f t="shared" si="9"/>
        <v>0</v>
      </c>
    </row>
    <row r="41" spans="1:45" x14ac:dyDescent="0.2">
      <c r="A41" s="30"/>
      <c r="B41" s="56"/>
      <c r="C41" s="78"/>
      <c r="D41" s="58"/>
      <c r="E41" s="59"/>
      <c r="F41" s="79"/>
      <c r="G41" s="60"/>
      <c r="H41" s="61"/>
      <c r="I41" s="62">
        <f t="shared" si="10"/>
        <v>0</v>
      </c>
      <c r="J41" s="63">
        <f t="shared" si="11"/>
        <v>0</v>
      </c>
      <c r="K41" s="64">
        <f t="shared" si="12"/>
        <v>0</v>
      </c>
      <c r="L41" s="62">
        <f t="shared" si="13"/>
        <v>0</v>
      </c>
      <c r="M41" s="65">
        <f t="shared" si="14"/>
        <v>0</v>
      </c>
      <c r="N41" s="64">
        <f t="shared" si="15"/>
        <v>0</v>
      </c>
      <c r="O41" s="135">
        <f t="shared" si="3"/>
        <v>0</v>
      </c>
      <c r="P41" s="136">
        <f t="shared" si="4"/>
        <v>0</v>
      </c>
      <c r="Q41" s="64">
        <f t="shared" si="16"/>
        <v>0</v>
      </c>
      <c r="R41" s="1273"/>
      <c r="S41" s="1274"/>
      <c r="T41" s="36"/>
      <c r="U41" s="27"/>
      <c r="V41" s="69"/>
      <c r="W41" s="74"/>
      <c r="X41" s="129"/>
      <c r="Y41" s="74"/>
      <c r="Z41" s="75"/>
      <c r="AA41" s="30">
        <f t="shared" si="5"/>
        <v>0</v>
      </c>
      <c r="AB41" s="327"/>
      <c r="AC41" s="327"/>
      <c r="AD41" s="327"/>
      <c r="AE41" s="327"/>
      <c r="AF41" s="327"/>
      <c r="AG41" s="328"/>
      <c r="AH41" s="68">
        <f t="shared" si="0"/>
        <v>0</v>
      </c>
      <c r="AI41" s="69"/>
      <c r="AJ41" s="70">
        <f t="shared" si="17"/>
        <v>0</v>
      </c>
      <c r="AK41" s="54">
        <f t="shared" si="1"/>
        <v>0</v>
      </c>
      <c r="AL41" s="1046">
        <f t="shared" si="2"/>
        <v>0</v>
      </c>
      <c r="AM41" s="70">
        <f t="shared" si="18"/>
        <v>0</v>
      </c>
      <c r="AN41" s="73">
        <f t="shared" si="19"/>
        <v>-1</v>
      </c>
      <c r="AO41" s="30"/>
      <c r="AP41" s="196">
        <f t="shared" si="6"/>
        <v>0</v>
      </c>
      <c r="AQ41" s="197">
        <f t="shared" si="7"/>
        <v>0</v>
      </c>
      <c r="AR41" s="196">
        <f t="shared" si="8"/>
        <v>0</v>
      </c>
      <c r="AS41" s="197">
        <f t="shared" si="9"/>
        <v>0</v>
      </c>
    </row>
    <row r="42" spans="1:45" x14ac:dyDescent="0.2">
      <c r="A42" s="30"/>
      <c r="B42" s="56"/>
      <c r="C42" s="78"/>
      <c r="D42" s="58"/>
      <c r="E42" s="59"/>
      <c r="F42" s="79"/>
      <c r="G42" s="60"/>
      <c r="H42" s="61"/>
      <c r="I42" s="62">
        <f t="shared" si="10"/>
        <v>0</v>
      </c>
      <c r="J42" s="63">
        <f t="shared" si="11"/>
        <v>0</v>
      </c>
      <c r="K42" s="64">
        <f t="shared" si="12"/>
        <v>0</v>
      </c>
      <c r="L42" s="62">
        <f t="shared" si="13"/>
        <v>0</v>
      </c>
      <c r="M42" s="65">
        <f t="shared" si="14"/>
        <v>0</v>
      </c>
      <c r="N42" s="64">
        <f t="shared" si="15"/>
        <v>0</v>
      </c>
      <c r="O42" s="135">
        <f t="shared" si="3"/>
        <v>0</v>
      </c>
      <c r="P42" s="136">
        <f t="shared" si="4"/>
        <v>0</v>
      </c>
      <c r="Q42" s="64">
        <f t="shared" si="16"/>
        <v>0</v>
      </c>
      <c r="R42" s="1273"/>
      <c r="S42" s="1274"/>
      <c r="T42" s="36"/>
      <c r="U42" s="27"/>
      <c r="V42" s="69"/>
      <c r="W42" s="74"/>
      <c r="X42" s="129"/>
      <c r="Y42" s="74"/>
      <c r="Z42" s="75"/>
      <c r="AA42" s="30">
        <f t="shared" si="5"/>
        <v>0</v>
      </c>
      <c r="AB42" s="327"/>
      <c r="AC42" s="327"/>
      <c r="AD42" s="327"/>
      <c r="AE42" s="327"/>
      <c r="AF42" s="327"/>
      <c r="AG42" s="328"/>
      <c r="AH42" s="68">
        <f t="shared" si="0"/>
        <v>0</v>
      </c>
      <c r="AI42" s="69"/>
      <c r="AJ42" s="70">
        <f t="shared" si="17"/>
        <v>0</v>
      </c>
      <c r="AK42" s="54">
        <f t="shared" si="1"/>
        <v>0</v>
      </c>
      <c r="AL42" s="1046">
        <f t="shared" si="2"/>
        <v>0</v>
      </c>
      <c r="AM42" s="70">
        <f t="shared" si="18"/>
        <v>0</v>
      </c>
      <c r="AN42" s="73">
        <f t="shared" si="19"/>
        <v>-1</v>
      </c>
      <c r="AO42" s="30"/>
      <c r="AP42" s="196">
        <f t="shared" si="6"/>
        <v>0</v>
      </c>
      <c r="AQ42" s="197">
        <f t="shared" si="7"/>
        <v>0</v>
      </c>
      <c r="AR42" s="196">
        <f t="shared" si="8"/>
        <v>0</v>
      </c>
      <c r="AS42" s="197">
        <f t="shared" si="9"/>
        <v>0</v>
      </c>
    </row>
    <row r="43" spans="1:45" x14ac:dyDescent="0.2">
      <c r="A43" s="30"/>
      <c r="B43" s="56"/>
      <c r="C43" s="78"/>
      <c r="D43" s="58"/>
      <c r="E43" s="59"/>
      <c r="F43" s="79"/>
      <c r="G43" s="60"/>
      <c r="H43" s="61"/>
      <c r="I43" s="62">
        <f t="shared" si="10"/>
        <v>0</v>
      </c>
      <c r="J43" s="63">
        <f t="shared" si="11"/>
        <v>0</v>
      </c>
      <c r="K43" s="64">
        <f t="shared" si="12"/>
        <v>0</v>
      </c>
      <c r="L43" s="62">
        <f t="shared" si="13"/>
        <v>0</v>
      </c>
      <c r="M43" s="65">
        <f t="shared" si="14"/>
        <v>0</v>
      </c>
      <c r="N43" s="64">
        <f t="shared" si="15"/>
        <v>0</v>
      </c>
      <c r="O43" s="135">
        <f t="shared" si="3"/>
        <v>0</v>
      </c>
      <c r="P43" s="136">
        <f t="shared" si="4"/>
        <v>0</v>
      </c>
      <c r="Q43" s="64">
        <f t="shared" si="16"/>
        <v>0</v>
      </c>
      <c r="R43" s="1273"/>
      <c r="S43" s="1274"/>
      <c r="T43" s="36"/>
      <c r="U43" s="27"/>
      <c r="V43" s="69"/>
      <c r="W43" s="74"/>
      <c r="X43" s="129"/>
      <c r="Y43" s="74"/>
      <c r="Z43" s="75"/>
      <c r="AA43" s="30">
        <f t="shared" si="5"/>
        <v>0</v>
      </c>
      <c r="AB43" s="30"/>
      <c r="AC43" s="30"/>
      <c r="AD43" s="30"/>
      <c r="AE43" s="30"/>
      <c r="AF43" s="30"/>
      <c r="AG43" s="30"/>
      <c r="AH43" s="68">
        <f t="shared" si="0"/>
        <v>0</v>
      </c>
      <c r="AI43" s="69"/>
      <c r="AJ43" s="70">
        <f t="shared" si="17"/>
        <v>0</v>
      </c>
      <c r="AK43" s="54">
        <f t="shared" si="1"/>
        <v>0</v>
      </c>
      <c r="AL43" s="1046">
        <f t="shared" si="2"/>
        <v>0</v>
      </c>
      <c r="AM43" s="70">
        <f t="shared" si="18"/>
        <v>0</v>
      </c>
      <c r="AN43" s="73">
        <f t="shared" si="19"/>
        <v>-1</v>
      </c>
      <c r="AO43" s="30"/>
      <c r="AP43" s="196">
        <f t="shared" si="6"/>
        <v>0</v>
      </c>
      <c r="AQ43" s="197">
        <f t="shared" si="7"/>
        <v>0</v>
      </c>
      <c r="AR43" s="196">
        <f t="shared" si="8"/>
        <v>0</v>
      </c>
      <c r="AS43" s="197">
        <f t="shared" si="9"/>
        <v>0</v>
      </c>
    </row>
    <row r="44" spans="1:45" x14ac:dyDescent="0.2">
      <c r="A44" s="30"/>
      <c r="B44" s="56"/>
      <c r="C44" s="78"/>
      <c r="D44" s="58"/>
      <c r="E44" s="59"/>
      <c r="F44" s="79"/>
      <c r="G44" s="60"/>
      <c r="H44" s="61"/>
      <c r="I44" s="62">
        <f t="shared" si="10"/>
        <v>0</v>
      </c>
      <c r="J44" s="63">
        <f t="shared" si="11"/>
        <v>0</v>
      </c>
      <c r="K44" s="64">
        <f t="shared" si="12"/>
        <v>0</v>
      </c>
      <c r="L44" s="62">
        <f t="shared" si="13"/>
        <v>0</v>
      </c>
      <c r="M44" s="65">
        <f t="shared" si="14"/>
        <v>0</v>
      </c>
      <c r="N44" s="64">
        <f t="shared" si="15"/>
        <v>0</v>
      </c>
      <c r="O44" s="135">
        <f t="shared" si="3"/>
        <v>0</v>
      </c>
      <c r="P44" s="136">
        <f t="shared" si="4"/>
        <v>0</v>
      </c>
      <c r="Q44" s="64">
        <f t="shared" si="16"/>
        <v>0</v>
      </c>
      <c r="R44" s="1273"/>
      <c r="S44" s="1274"/>
      <c r="T44" s="36"/>
      <c r="U44" s="27"/>
      <c r="V44" s="69"/>
      <c r="W44" s="74"/>
      <c r="X44" s="129"/>
      <c r="Y44" s="74"/>
      <c r="Z44" s="75"/>
      <c r="AA44" s="30">
        <f t="shared" si="5"/>
        <v>0</v>
      </c>
      <c r="AB44" s="30"/>
      <c r="AC44" s="30"/>
      <c r="AD44" s="30"/>
      <c r="AE44" s="30"/>
      <c r="AF44" s="30"/>
      <c r="AG44" s="30"/>
      <c r="AH44" s="68">
        <f t="shared" si="0"/>
        <v>0</v>
      </c>
      <c r="AI44" s="69"/>
      <c r="AJ44" s="70">
        <f t="shared" si="17"/>
        <v>0</v>
      </c>
      <c r="AK44" s="54">
        <f t="shared" si="1"/>
        <v>0</v>
      </c>
      <c r="AL44" s="1046">
        <f t="shared" si="2"/>
        <v>0</v>
      </c>
      <c r="AM44" s="70">
        <f t="shared" si="18"/>
        <v>0</v>
      </c>
      <c r="AN44" s="73">
        <f t="shared" si="19"/>
        <v>-1</v>
      </c>
      <c r="AO44" s="30"/>
      <c r="AP44" s="196">
        <f t="shared" si="6"/>
        <v>0</v>
      </c>
      <c r="AQ44" s="197">
        <f t="shared" si="7"/>
        <v>0</v>
      </c>
      <c r="AR44" s="196">
        <f t="shared" si="8"/>
        <v>0</v>
      </c>
      <c r="AS44" s="197">
        <f t="shared" si="9"/>
        <v>0</v>
      </c>
    </row>
    <row r="45" spans="1:45" x14ac:dyDescent="0.2">
      <c r="A45" s="30"/>
      <c r="B45" s="56"/>
      <c r="C45" s="78"/>
      <c r="D45" s="58"/>
      <c r="E45" s="59"/>
      <c r="F45" s="79"/>
      <c r="G45" s="60"/>
      <c r="H45" s="61"/>
      <c r="I45" s="62">
        <f t="shared" si="10"/>
        <v>0</v>
      </c>
      <c r="J45" s="63">
        <f t="shared" si="11"/>
        <v>0</v>
      </c>
      <c r="K45" s="64">
        <f t="shared" si="12"/>
        <v>0</v>
      </c>
      <c r="L45" s="62">
        <f t="shared" si="13"/>
        <v>0</v>
      </c>
      <c r="M45" s="65">
        <f t="shared" si="14"/>
        <v>0</v>
      </c>
      <c r="N45" s="64">
        <f t="shared" si="15"/>
        <v>0</v>
      </c>
      <c r="O45" s="135">
        <f t="shared" si="3"/>
        <v>0</v>
      </c>
      <c r="P45" s="136">
        <f t="shared" si="4"/>
        <v>0</v>
      </c>
      <c r="Q45" s="64">
        <f t="shared" si="16"/>
        <v>0</v>
      </c>
      <c r="R45" s="1273"/>
      <c r="S45" s="1274"/>
      <c r="T45" s="36"/>
      <c r="U45" s="27"/>
      <c r="V45" s="69"/>
      <c r="W45" s="74"/>
      <c r="X45" s="129"/>
      <c r="Y45" s="74"/>
      <c r="Z45" s="75"/>
      <c r="AA45" s="30">
        <f t="shared" si="5"/>
        <v>0</v>
      </c>
      <c r="AB45" s="30"/>
      <c r="AC45" s="30"/>
      <c r="AD45" s="30"/>
      <c r="AE45" s="30"/>
      <c r="AF45" s="30"/>
      <c r="AG45" s="30"/>
      <c r="AH45" s="68">
        <f t="shared" si="0"/>
        <v>0</v>
      </c>
      <c r="AI45" s="69"/>
      <c r="AJ45" s="70">
        <f t="shared" si="17"/>
        <v>0</v>
      </c>
      <c r="AK45" s="54">
        <f t="shared" si="1"/>
        <v>0</v>
      </c>
      <c r="AL45" s="1046">
        <f t="shared" si="2"/>
        <v>0</v>
      </c>
      <c r="AM45" s="70">
        <f t="shared" si="18"/>
        <v>0</v>
      </c>
      <c r="AN45" s="73">
        <f t="shared" si="19"/>
        <v>-1</v>
      </c>
      <c r="AO45" s="30"/>
      <c r="AP45" s="196">
        <f t="shared" si="6"/>
        <v>0</v>
      </c>
      <c r="AQ45" s="197">
        <f t="shared" si="7"/>
        <v>0</v>
      </c>
      <c r="AR45" s="196">
        <f t="shared" si="8"/>
        <v>0</v>
      </c>
      <c r="AS45" s="197">
        <f t="shared" si="9"/>
        <v>0</v>
      </c>
    </row>
    <row r="46" spans="1:45" ht="12.75" customHeight="1" thickBot="1" x14ac:dyDescent="0.25">
      <c r="A46" s="30"/>
      <c r="B46" s="56"/>
      <c r="C46" s="78"/>
      <c r="D46" s="58"/>
      <c r="E46" s="59"/>
      <c r="F46" s="79"/>
      <c r="G46" s="60"/>
      <c r="H46" s="61"/>
      <c r="I46" s="62">
        <f t="shared" si="10"/>
        <v>0</v>
      </c>
      <c r="J46" s="63">
        <f t="shared" si="11"/>
        <v>0</v>
      </c>
      <c r="K46" s="64">
        <f t="shared" si="12"/>
        <v>0</v>
      </c>
      <c r="L46" s="62">
        <f t="shared" si="13"/>
        <v>0</v>
      </c>
      <c r="M46" s="65">
        <f t="shared" si="14"/>
        <v>0</v>
      </c>
      <c r="N46" s="64">
        <f t="shared" si="15"/>
        <v>0</v>
      </c>
      <c r="O46" s="135">
        <f t="shared" si="3"/>
        <v>0</v>
      </c>
      <c r="P46" s="136">
        <f t="shared" si="4"/>
        <v>0</v>
      </c>
      <c r="Q46" s="64">
        <f t="shared" si="16"/>
        <v>0</v>
      </c>
      <c r="R46" s="1299"/>
      <c r="S46" s="1300"/>
      <c r="T46" s="36"/>
      <c r="U46" s="27"/>
      <c r="V46" s="80"/>
      <c r="W46" s="734"/>
      <c r="X46" s="735"/>
      <c r="Y46" s="734"/>
      <c r="Z46" s="736"/>
      <c r="AA46" s="30">
        <f t="shared" si="5"/>
        <v>0</v>
      </c>
      <c r="AB46" s="30"/>
      <c r="AC46" s="30"/>
      <c r="AD46" s="30"/>
      <c r="AE46" s="30"/>
      <c r="AF46" s="30"/>
      <c r="AG46" s="30"/>
      <c r="AH46" s="68">
        <f t="shared" si="0"/>
        <v>0</v>
      </c>
      <c r="AI46" s="69"/>
      <c r="AJ46" s="70">
        <f t="shared" si="17"/>
        <v>0</v>
      </c>
      <c r="AK46" s="54">
        <f t="shared" si="1"/>
        <v>0</v>
      </c>
      <c r="AL46" s="1046">
        <f t="shared" si="2"/>
        <v>0</v>
      </c>
      <c r="AM46" s="70">
        <f t="shared" si="18"/>
        <v>0</v>
      </c>
      <c r="AN46" s="73">
        <f t="shared" si="19"/>
        <v>-1</v>
      </c>
      <c r="AO46" s="30"/>
      <c r="AP46" s="196">
        <f t="shared" si="6"/>
        <v>0</v>
      </c>
      <c r="AQ46" s="197">
        <f t="shared" si="7"/>
        <v>0</v>
      </c>
      <c r="AR46" s="196">
        <f t="shared" si="8"/>
        <v>0</v>
      </c>
      <c r="AS46" s="197">
        <f t="shared" si="9"/>
        <v>0</v>
      </c>
    </row>
    <row r="47" spans="1:45" ht="13.5" thickBot="1" x14ac:dyDescent="0.25">
      <c r="A47" s="30"/>
      <c r="B47" s="117"/>
      <c r="C47" s="118"/>
      <c r="D47" s="118"/>
      <c r="E47" s="118"/>
      <c r="F47" s="118"/>
      <c r="G47" s="118" t="s">
        <v>34</v>
      </c>
      <c r="H47" s="119"/>
      <c r="I47" s="120">
        <f t="shared" ref="I47:Q47" si="28">SUM(I7:I46)</f>
        <v>0</v>
      </c>
      <c r="J47" s="120">
        <f t="shared" si="28"/>
        <v>0</v>
      </c>
      <c r="K47" s="120">
        <f t="shared" si="28"/>
        <v>0</v>
      </c>
      <c r="L47" s="120">
        <f t="shared" si="28"/>
        <v>0</v>
      </c>
      <c r="M47" s="120">
        <f t="shared" si="28"/>
        <v>0</v>
      </c>
      <c r="N47" s="120">
        <f t="shared" si="28"/>
        <v>0</v>
      </c>
      <c r="O47" s="120">
        <f t="shared" si="28"/>
        <v>0</v>
      </c>
      <c r="P47" s="120">
        <f t="shared" si="28"/>
        <v>0</v>
      </c>
      <c r="Q47" s="120">
        <f t="shared" si="28"/>
        <v>0</v>
      </c>
      <c r="R47" s="120"/>
      <c r="S47" s="118"/>
      <c r="T47" s="82"/>
      <c r="U47" s="27"/>
      <c r="V47" s="117"/>
      <c r="W47" s="117"/>
      <c r="X47" s="117"/>
      <c r="Y47" s="117"/>
      <c r="Z47" s="117"/>
      <c r="AA47" s="30"/>
      <c r="AB47" s="30"/>
      <c r="AC47" s="30"/>
      <c r="AD47" s="30"/>
      <c r="AE47" s="30"/>
      <c r="AF47" s="30"/>
      <c r="AG47" s="30"/>
      <c r="AH47" s="84"/>
      <c r="AI47" s="85"/>
      <c r="AJ47" s="85"/>
      <c r="AK47" s="85"/>
      <c r="AL47" s="85"/>
      <c r="AM47" s="85"/>
      <c r="AN47" s="85"/>
      <c r="AO47" s="30"/>
      <c r="AP47" s="732">
        <f>SUM(AP7:AP46)</f>
        <v>0</v>
      </c>
      <c r="AQ47" s="733">
        <f>SUM(AQ7:AQ46)</f>
        <v>0</v>
      </c>
      <c r="AR47" s="732">
        <f>SUM(AR7:AR46)</f>
        <v>0</v>
      </c>
      <c r="AS47" s="733">
        <f>SUM(AS7:AS46)</f>
        <v>0</v>
      </c>
    </row>
    <row r="48" spans="1:45" x14ac:dyDescent="0.2">
      <c r="A48" s="30"/>
      <c r="B48" s="86" t="s">
        <v>338</v>
      </c>
      <c r="C48" s="82"/>
      <c r="D48" s="82"/>
      <c r="E48" s="82"/>
      <c r="F48" s="82"/>
      <c r="G48" s="82"/>
      <c r="H48" s="82"/>
      <c r="I48" s="82"/>
      <c r="J48" s="82"/>
      <c r="K48" s="83"/>
      <c r="L48" s="87"/>
      <c r="M48" s="87"/>
      <c r="N48" s="87"/>
      <c r="O48" s="87"/>
      <c r="P48" s="87"/>
      <c r="Q48" s="87"/>
      <c r="R48" s="87"/>
      <c r="S48" s="82"/>
      <c r="T48" s="82"/>
      <c r="U48" s="27"/>
      <c r="V48" s="131" t="s">
        <v>360</v>
      </c>
      <c r="W48" s="131"/>
      <c r="X48" s="131"/>
      <c r="Y48" s="131"/>
      <c r="Z48" s="30"/>
      <c r="AB48" s="1296" t="s">
        <v>927</v>
      </c>
      <c r="AC48" s="1296"/>
      <c r="AD48" s="1296"/>
      <c r="AE48" s="1296"/>
      <c r="AF48" s="40"/>
      <c r="AG48" s="40"/>
      <c r="AH48" s="30"/>
      <c r="AI48" s="30"/>
      <c r="AJ48" s="30"/>
      <c r="AK48" s="30"/>
      <c r="AL48" s="30"/>
      <c r="AM48" s="30"/>
      <c r="AN48" s="27"/>
    </row>
    <row r="49" spans="1:40" ht="12.75" customHeight="1" x14ac:dyDescent="0.2">
      <c r="A49" s="30"/>
      <c r="B49" s="86" t="s">
        <v>365</v>
      </c>
      <c r="C49" s="82"/>
      <c r="D49" s="82"/>
      <c r="E49" s="82"/>
      <c r="F49" s="82"/>
      <c r="G49" s="82"/>
      <c r="H49" s="82"/>
      <c r="I49" s="82"/>
      <c r="J49" s="82"/>
      <c r="K49" s="82"/>
      <c r="L49" s="82"/>
      <c r="M49" s="82"/>
      <c r="N49" s="82"/>
      <c r="O49" s="82"/>
      <c r="P49" s="82"/>
      <c r="Q49" s="82"/>
      <c r="R49" s="82"/>
      <c r="S49" s="82"/>
      <c r="T49" s="82"/>
      <c r="U49" s="27"/>
      <c r="W49" s="251" t="s">
        <v>926</v>
      </c>
      <c r="X49" s="1047"/>
      <c r="Z49" s="251" t="s">
        <v>871</v>
      </c>
      <c r="AA49" s="1047"/>
      <c r="AB49" s="1296"/>
      <c r="AC49" s="1296"/>
      <c r="AD49" s="1296"/>
      <c r="AE49" s="1296"/>
      <c r="AF49" s="194"/>
      <c r="AG49" s="556" t="str">
        <f>IF(AND(AF49=AA63,W52&lt;&gt;W56),"cell W52 does not match cell W56",IF(AND(AF49=AA64,W52=W56),"cell W52 should not match cell W56"," "))</f>
        <v xml:space="preserve"> </v>
      </c>
      <c r="AH49" s="1298" t="s">
        <v>932</v>
      </c>
      <c r="AI49" s="1298"/>
      <c r="AJ49" s="1298"/>
      <c r="AK49" s="1298"/>
      <c r="AL49" s="1298"/>
      <c r="AM49" s="1298"/>
      <c r="AN49" s="1298"/>
    </row>
    <row r="50" spans="1:40" ht="12.75" customHeight="1" x14ac:dyDescent="0.2">
      <c r="A50" s="30"/>
      <c r="B50" s="86" t="str">
        <f>IF(OR($M$67=$AA$64,$M$68=$AA$64),"*** An additional "&amp;Q58-Q47&amp;" lft of liquid asphalt sealant has been added to cover corrugations that are not within 1' of a joint."," ")</f>
        <v xml:space="preserve"> </v>
      </c>
      <c r="C50" s="82"/>
      <c r="D50" s="82"/>
      <c r="E50" s="82"/>
      <c r="F50" s="82"/>
      <c r="G50" s="82"/>
      <c r="H50" s="82"/>
      <c r="I50" s="82"/>
      <c r="J50" s="82"/>
      <c r="K50" s="82"/>
      <c r="L50" s="82"/>
      <c r="M50" s="82"/>
      <c r="N50" s="82"/>
      <c r="O50" s="82"/>
      <c r="P50" s="82"/>
      <c r="Q50" s="82"/>
      <c r="R50" s="82"/>
      <c r="S50" s="82"/>
      <c r="T50" s="82"/>
      <c r="U50" s="27"/>
      <c r="W50" s="251"/>
      <c r="X50" s="556"/>
      <c r="Y50" s="1122"/>
      <c r="Z50" s="99"/>
      <c r="AA50" s="556"/>
      <c r="AB50" s="1120"/>
      <c r="AC50" s="1120"/>
      <c r="AD50" s="1120"/>
      <c r="AE50" s="1120"/>
      <c r="AF50" s="40"/>
      <c r="AG50" s="556"/>
      <c r="AH50" s="1298"/>
      <c r="AI50" s="1298"/>
      <c r="AJ50" s="1298"/>
      <c r="AK50" s="1298"/>
      <c r="AL50" s="1298"/>
      <c r="AM50" s="1298"/>
      <c r="AN50" s="1298"/>
    </row>
    <row r="51" spans="1:40" ht="12.75" customHeight="1" x14ac:dyDescent="0.2">
      <c r="A51" s="30"/>
      <c r="B51" s="86"/>
      <c r="C51" s="82"/>
      <c r="D51" s="82"/>
      <c r="E51" s="82"/>
      <c r="F51" s="82"/>
      <c r="G51" s="82"/>
      <c r="H51" s="82"/>
      <c r="I51" s="82"/>
      <c r="J51" s="82"/>
      <c r="K51" s="82"/>
      <c r="L51" s="82"/>
      <c r="M51" s="82"/>
      <c r="N51" s="82"/>
      <c r="O51" s="82"/>
      <c r="P51" s="82"/>
      <c r="Q51" s="82"/>
      <c r="R51" s="82"/>
      <c r="S51" s="82"/>
      <c r="T51" s="82"/>
      <c r="U51" s="27"/>
      <c r="W51" s="251"/>
      <c r="X51" s="556"/>
      <c r="Y51" s="1122"/>
      <c r="Z51" s="99"/>
      <c r="AA51" s="556"/>
      <c r="AB51" s="1120"/>
      <c r="AC51" s="1120"/>
      <c r="AD51" s="1120"/>
      <c r="AE51" s="1120"/>
      <c r="AF51" s="40"/>
      <c r="AG51" s="556"/>
      <c r="AH51" s="1298"/>
      <c r="AI51" s="1298"/>
      <c r="AJ51" s="1298"/>
      <c r="AK51" s="1298"/>
      <c r="AL51" s="1298"/>
      <c r="AM51" s="1298"/>
      <c r="AN51" s="1298"/>
    </row>
    <row r="52" spans="1:40" ht="15.75" thickBot="1" x14ac:dyDescent="0.25">
      <c r="A52" s="30"/>
      <c r="B52" s="92"/>
      <c r="C52" s="93"/>
      <c r="D52" s="93"/>
      <c r="E52" s="93"/>
      <c r="F52" s="1172" t="s">
        <v>55</v>
      </c>
      <c r="G52" s="1172"/>
      <c r="H52" s="1172"/>
      <c r="I52" s="1172"/>
      <c r="J52" s="1172"/>
      <c r="K52" s="1172"/>
      <c r="L52" s="1172"/>
      <c r="M52" s="1172"/>
      <c r="N52" s="1172"/>
      <c r="O52" s="1172"/>
      <c r="P52" s="1172"/>
      <c r="Q52" s="1172"/>
      <c r="R52" s="1172"/>
      <c r="S52" s="82"/>
      <c r="T52" s="82"/>
      <c r="U52" s="27"/>
      <c r="V52" s="128" t="s">
        <v>26</v>
      </c>
      <c r="W52" s="115"/>
      <c r="X52" s="28"/>
      <c r="Y52" s="95" t="s">
        <v>38</v>
      </c>
      <c r="Z52" s="30"/>
      <c r="AA52" s="82" t="s">
        <v>355</v>
      </c>
      <c r="AB52" s="91"/>
      <c r="AC52" s="89"/>
      <c r="AD52" s="40"/>
      <c r="AE52" s="40"/>
      <c r="AF52" s="40"/>
      <c r="AG52" s="40"/>
      <c r="AH52" s="1298"/>
      <c r="AI52" s="1298"/>
      <c r="AJ52" s="1298"/>
      <c r="AK52" s="1298"/>
      <c r="AL52" s="1298"/>
      <c r="AM52" s="1298"/>
      <c r="AN52" s="1298"/>
    </row>
    <row r="53" spans="1:40" ht="12.75" customHeight="1" x14ac:dyDescent="0.2">
      <c r="A53" s="30"/>
      <c r="B53" s="93"/>
      <c r="C53" s="94"/>
      <c r="D53" s="30"/>
      <c r="E53" s="30"/>
      <c r="F53" s="1209" t="str">
        <f>$V$52</f>
        <v>Mainline</v>
      </c>
      <c r="G53" s="1210"/>
      <c r="H53" s="1209" t="str">
        <f>$V$56</f>
        <v>Shoulder</v>
      </c>
      <c r="I53" s="1210"/>
      <c r="J53" s="1183" t="s">
        <v>32</v>
      </c>
      <c r="K53" s="1183">
        <f>IF(AND($W$60=$W$67,$W$61&lt;&gt;"Asphalt Millings"),"Comp. Agg. No. "&amp;$Y$60,$W$61)</f>
        <v>0</v>
      </c>
      <c r="L53" s="1212" t="s">
        <v>23</v>
      </c>
      <c r="M53" s="1213"/>
      <c r="N53" s="1214"/>
      <c r="O53" s="1176" t="s">
        <v>330</v>
      </c>
      <c r="P53" s="1177"/>
      <c r="Q53" s="1199" t="str">
        <f>"Liquid Asphalt Sealant"&amp;IF(OR($M$67=$AA$64,$M$68=$AA$64)," ***"," ")</f>
        <v xml:space="preserve">Liquid Asphalt Sealant </v>
      </c>
      <c r="R53" s="1215" t="s">
        <v>837</v>
      </c>
      <c r="S53" s="30"/>
      <c r="T53" s="30"/>
      <c r="U53" s="27"/>
      <c r="V53" s="99" t="s">
        <v>31</v>
      </c>
      <c r="W53" s="100"/>
      <c r="X53" s="101" t="s">
        <v>36</v>
      </c>
      <c r="Y53" s="90">
        <f>IF(OR(AP47&gt;0,AQ47&gt;0,AP131&gt;0,AQ131&gt;0),1,0)</f>
        <v>0</v>
      </c>
      <c r="Z53" s="30"/>
      <c r="AA53" s="88"/>
      <c r="AB53" s="91"/>
      <c r="AC53" s="89"/>
      <c r="AD53" s="40"/>
      <c r="AE53" s="40"/>
      <c r="AF53" s="40"/>
      <c r="AG53" s="40"/>
      <c r="AH53" s="1298"/>
      <c r="AI53" s="1298"/>
      <c r="AJ53" s="1298"/>
      <c r="AK53" s="1298"/>
      <c r="AL53" s="1298"/>
      <c r="AM53" s="1298"/>
      <c r="AN53" s="1298"/>
    </row>
    <row r="54" spans="1:40" ht="12.75" customHeight="1" x14ac:dyDescent="0.2">
      <c r="A54" s="30"/>
      <c r="B54" s="93"/>
      <c r="C54" s="94"/>
      <c r="D54" s="30"/>
      <c r="E54" s="30"/>
      <c r="F54" s="1174">
        <f>IF(F55="SMA",$AA$54,IF($W$52=$AA$59,"check pavement treatment",$W$52))</f>
        <v>0</v>
      </c>
      <c r="G54" s="1175"/>
      <c r="H54" s="1174">
        <f>IF($W$56=$AA$55,"check pavement treatment",$W$56)</f>
        <v>0</v>
      </c>
      <c r="I54" s="1182"/>
      <c r="J54" s="1184"/>
      <c r="K54" s="1184"/>
      <c r="L54" s="1202" t="str">
        <f>IF($AC$6=$AA$63, "Asphalt",IF(AG6=AE63,AG6,IF(AG6=AE64,"Asphalt Remov-","Scarifi-cation")))</f>
        <v>Scarifi-cation</v>
      </c>
      <c r="M54" s="1204" t="s">
        <v>351</v>
      </c>
      <c r="N54" s="1207" t="s">
        <v>24</v>
      </c>
      <c r="O54" s="1178"/>
      <c r="P54" s="1179"/>
      <c r="Q54" s="1200"/>
      <c r="R54" s="1216"/>
      <c r="S54" s="30"/>
      <c r="T54" s="30"/>
      <c r="U54" s="27"/>
      <c r="V54" s="99" t="s">
        <v>33</v>
      </c>
      <c r="W54" s="100"/>
      <c r="X54" s="101" t="s">
        <v>36</v>
      </c>
      <c r="Y54" s="90">
        <f>IF(OR(AQ47&gt;0,AQ131&gt;0),1,0)</f>
        <v>0</v>
      </c>
      <c r="Z54" s="30"/>
      <c r="AA54" s="90" t="s">
        <v>353</v>
      </c>
      <c r="AB54" s="127" t="s">
        <v>361</v>
      </c>
      <c r="AC54" s="89"/>
      <c r="AD54" s="40"/>
      <c r="AE54" s="40"/>
      <c r="AF54" s="40"/>
      <c r="AG54" s="40"/>
      <c r="AH54" s="1298"/>
      <c r="AI54" s="1298"/>
      <c r="AJ54" s="1298"/>
      <c r="AK54" s="1298"/>
      <c r="AL54" s="1298"/>
      <c r="AM54" s="1298"/>
      <c r="AN54" s="1298"/>
    </row>
    <row r="55" spans="1:40" ht="12.75" customHeight="1" x14ac:dyDescent="0.2">
      <c r="A55" s="30"/>
      <c r="B55" s="93"/>
      <c r="C55" s="93"/>
      <c r="D55" s="30"/>
      <c r="E55" s="30"/>
      <c r="F55" s="96">
        <f>IF($W$52=$AA$54,$V$53,IF($W$52=$AA$55,"SMA",0))</f>
        <v>0</v>
      </c>
      <c r="G55" s="97">
        <f>IF(AND($W$52=$AA$54,AQ47&gt;0),$V$54,IF(AND($W$52=$AA$55,AQ47&gt;0),"HMA",0))</f>
        <v>0</v>
      </c>
      <c r="H55" s="138">
        <f>IF($W$56=$AA$54,$V$57,0)</f>
        <v>0</v>
      </c>
      <c r="I55" s="97">
        <f>IF(AND($W$56=$AA$54,AS47&gt;0),$V$58,0)</f>
        <v>0</v>
      </c>
      <c r="J55" s="1184"/>
      <c r="K55" s="1211"/>
      <c r="L55" s="1203"/>
      <c r="M55" s="1205"/>
      <c r="N55" s="1208"/>
      <c r="O55" s="1180"/>
      <c r="P55" s="1181"/>
      <c r="Q55" s="1200"/>
      <c r="R55" s="1216"/>
      <c r="S55" s="30"/>
      <c r="T55" s="30"/>
      <c r="U55" s="27"/>
      <c r="V55" s="99"/>
      <c r="W55" s="99"/>
      <c r="X55" s="30"/>
      <c r="Y55" s="101"/>
      <c r="Z55" s="30"/>
      <c r="AA55" s="90" t="s">
        <v>356</v>
      </c>
      <c r="AB55" s="127" t="s">
        <v>362</v>
      </c>
      <c r="AC55" s="89"/>
      <c r="AD55" s="40"/>
      <c r="AE55" s="40"/>
      <c r="AF55" s="40"/>
      <c r="AG55" s="40"/>
      <c r="AH55" s="1298"/>
      <c r="AI55" s="1298"/>
      <c r="AJ55" s="1298"/>
      <c r="AK55" s="1298"/>
      <c r="AL55" s="1298"/>
      <c r="AM55" s="1298"/>
      <c r="AN55" s="1298"/>
    </row>
    <row r="56" spans="1:40" ht="12.75" customHeight="1" x14ac:dyDescent="0.2">
      <c r="A56" s="30"/>
      <c r="B56" s="93"/>
      <c r="C56" s="93"/>
      <c r="D56" s="30"/>
      <c r="E56" s="30"/>
      <c r="F56" s="124">
        <f>IF(OR($W$52=$AA$54,$W$52=$AA$55),$W$53,0)</f>
        <v>0</v>
      </c>
      <c r="G56" s="125">
        <f>IF(AND(AQ47&gt;0,OR($W$52=$AA$54,$W$52=$AA$55)),$W$54,0)</f>
        <v>0</v>
      </c>
      <c r="H56" s="139">
        <f>IF($W$56=$AA$54,$W$57,0)</f>
        <v>0</v>
      </c>
      <c r="I56" s="125">
        <f>IF(AND(AS47&gt;0,$W$56=$AA$54),$W$58,0)</f>
        <v>0</v>
      </c>
      <c r="J56" s="1185"/>
      <c r="K56" s="1030">
        <f>$W$62</f>
        <v>0</v>
      </c>
      <c r="L56" s="1032">
        <f>IF($AC$6=$AA$63,$AE$6,IF(AG6=AE64,"al",0))</f>
        <v>0</v>
      </c>
      <c r="M56" s="1206"/>
      <c r="N56" s="1031">
        <f>$AA$6</f>
        <v>0</v>
      </c>
      <c r="O56" s="96" t="s">
        <v>31</v>
      </c>
      <c r="P56" s="98" t="s">
        <v>33</v>
      </c>
      <c r="Q56" s="1201"/>
      <c r="R56" s="1185"/>
      <c r="S56" s="30"/>
      <c r="T56" s="30"/>
      <c r="U56" s="27"/>
      <c r="V56" s="128" t="s">
        <v>27</v>
      </c>
      <c r="W56" s="100"/>
      <c r="X56" s="126"/>
      <c r="Y56" s="95"/>
      <c r="Z56" s="30"/>
      <c r="AA56" s="90" t="s">
        <v>357</v>
      </c>
      <c r="AB56" s="127" t="s">
        <v>224</v>
      </c>
      <c r="AC56" s="89"/>
      <c r="AD56" s="40"/>
      <c r="AE56" s="40"/>
      <c r="AF56" s="40"/>
      <c r="AG56" s="40"/>
      <c r="AH56" s="1298"/>
      <c r="AI56" s="1298"/>
      <c r="AJ56" s="1298"/>
      <c r="AK56" s="1298"/>
      <c r="AL56" s="1298"/>
      <c r="AM56" s="1298"/>
      <c r="AN56" s="1298"/>
    </row>
    <row r="57" spans="1:40" ht="12.75" customHeight="1" thickBot="1" x14ac:dyDescent="0.25">
      <c r="A57" s="30"/>
      <c r="B57" s="102"/>
      <c r="C57" s="30"/>
      <c r="D57" s="30"/>
      <c r="E57" s="30"/>
      <c r="F57" s="710" t="str">
        <f>IF(OR($W$52=$AA$54,$W$52=$AA$55),"(ton)",IF($W$52=0," ","(sys)"))</f>
        <v xml:space="preserve"> </v>
      </c>
      <c r="G57" s="709">
        <f>IF(AND(AQ47&gt;0,OR($W$52=$AA$54,$W$52=$AA$55)),"(ton)",0)</f>
        <v>0</v>
      </c>
      <c r="H57" s="710" t="str">
        <f>IF($W$56=$AA$54,"(ton)",IF(OR($W$56=0,$W$56=$AA$55)," ","(sys)"))</f>
        <v xml:space="preserve"> </v>
      </c>
      <c r="I57" s="709">
        <f>IF(AND(AS47&gt;0,$W$56=$AA$54),"(ton)",0)</f>
        <v>0</v>
      </c>
      <c r="J57" s="815" t="s">
        <v>35</v>
      </c>
      <c r="K57" s="329" t="s">
        <v>35</v>
      </c>
      <c r="L57" s="710" t="s">
        <v>210</v>
      </c>
      <c r="M57" s="479" t="s">
        <v>210</v>
      </c>
      <c r="N57" s="709" t="s">
        <v>210</v>
      </c>
      <c r="O57" s="816" t="s">
        <v>19</v>
      </c>
      <c r="P57" s="817" t="s">
        <v>19</v>
      </c>
      <c r="Q57" s="818" t="s">
        <v>19</v>
      </c>
      <c r="R57" s="819" t="s">
        <v>19</v>
      </c>
      <c r="S57" s="30"/>
      <c r="T57" s="30"/>
      <c r="U57" s="27"/>
      <c r="V57" s="99" t="s">
        <v>31</v>
      </c>
      <c r="W57" s="100"/>
      <c r="X57" s="101" t="s">
        <v>36</v>
      </c>
      <c r="Y57" s="90">
        <f>IF(OR(AR47&gt;0,AS47&gt;0,AR131&gt;0,AS131&gt;0),1,0)</f>
        <v>0</v>
      </c>
      <c r="Z57" s="30"/>
      <c r="AA57" s="90" t="s">
        <v>358</v>
      </c>
      <c r="AB57" s="127" t="s">
        <v>224</v>
      </c>
      <c r="AC57" s="89"/>
      <c r="AD57" s="40"/>
      <c r="AE57" s="40"/>
      <c r="AF57" s="40"/>
      <c r="AG57" s="40"/>
      <c r="AH57" s="1298"/>
      <c r="AI57" s="1298"/>
      <c r="AJ57" s="1298"/>
      <c r="AK57" s="1298"/>
      <c r="AL57" s="1298"/>
      <c r="AM57" s="1298"/>
      <c r="AN57" s="1298"/>
    </row>
    <row r="58" spans="1:40" ht="18.75" customHeight="1" thickBot="1" x14ac:dyDescent="0.25">
      <c r="A58" s="30"/>
      <c r="B58" s="102"/>
      <c r="C58" s="94"/>
      <c r="D58" s="102"/>
      <c r="E58" s="102"/>
      <c r="F58" s="104">
        <f>IF(OR($W$52=$AA$56,$W$52=$AA$57,$W$52=$AA$58),I47,IF($W$52=$AA$59,"check pavement treatment",IF(OR($W$52=$AA$54,$W$52=$AA$55),ROUNDUP(AP47*$W$53/2000,0)+ROUNDUP(AQ47*$W$53/2000,0),0)))</f>
        <v>0</v>
      </c>
      <c r="G58" s="105">
        <f>IF(AND(OR($W$52=$AA$54,$W$52=$AA$55),AQ47&gt;0),ROUNDUP(AQ47*$W$54/2000,0),0)</f>
        <v>0</v>
      </c>
      <c r="H58" s="140">
        <f>IF(OR($W$56=$AA$56,$W$56=$AA$57,$W$56=$AA$58,$W$56=$AA$59),J47,IF($W$56=$AA$55,"check pavement treatment",IF($W$56=$AA$54,ROUNDUP(AR47*$W$57/2000,0)+ROUNDUP(AS47*$W$57/2000,0),0)))</f>
        <v>0</v>
      </c>
      <c r="I58" s="141">
        <f>IF(AND($W$56=$AA$54,AS47&gt;0),ROUNDUP(AS47*$W$58/2000,0),0)</f>
        <v>0</v>
      </c>
      <c r="J58" s="142">
        <f>IF(OR($W$52=$AA$54,$W$52=$AA$55),ROUNDUP(0.00025*($Y$53*(AP47+AQ47)+$Y$54*AQ47),1),0)+IF(OR($W$56=$AA$54,$W$56=$AA$55),ROUNDUP(0.00025*($Y$57*(AR47+AS47)+$Y$58*AS47),1),0)</f>
        <v>0</v>
      </c>
      <c r="K58" s="106">
        <f>ROUNDUP(2*K47*(($W$62/12)/3),0)</f>
        <v>0</v>
      </c>
      <c r="L58" s="107">
        <f>L47</f>
        <v>0</v>
      </c>
      <c r="M58" s="108">
        <f>M47</f>
        <v>0</v>
      </c>
      <c r="N58" s="109">
        <f>N47</f>
        <v>0</v>
      </c>
      <c r="O58" s="140">
        <f>O47</f>
        <v>0</v>
      </c>
      <c r="P58" s="144">
        <f>P47</f>
        <v>0</v>
      </c>
      <c r="Q58" s="145">
        <f>IF(AND($F$65=$AA$63,$F$67=$AA$63,$J$67=$AG$62,$M$68=$AA$63),Q47,
IF(AND($F$65=$AA$63,$F$67=$AA$63,$J$67=$AG$62,$M$68=$AA$64),Q47+$M$73-SUM($M$74:$M$81)-'Pave Mark'!$AV$48,
IF(AND($F$65=$AA$63,$F$67=$AA$63,$J$67=$AG$63,$M$67=$AA$63),Q47,
IF(AND($F$65=$AA$63,$F$67=$AA$63,$J$67=$AG$63,$M$67=$AA$64),Q47+$M$73-SUM($M$74:$M$81)-'Pave Mark'!$AY$48,
IF(AND($F$65=$AA$63,$F$67=$AA$63,$J$67=$AG$64,$M$67=$AA$63,$M$68=$AA$63),Q47,
IF(AND($F$65=$AA$63,$F$67=$AA$63,$J$67=$AG$64,$M$67=$AA$63,$M$68=$AA$64),Q47+$M$73-SUM($M$74:$M$81)-'Pave Mark'!$AV$48,
IF(AND($F$65=$AA$63,$F$67=$AA$63,$J$67=$AG$64,$M$67=$AA$64,$M$68=$AA$63),Q47+$M$73-SUM($M$74:$M$81)-'Pave Mark'!$AY$48,
IF(AND($F$65=$AA$63,$F$67=$AA$63,$J$67=$AG$64,$M$67=$AA$64,$M$68=$AA$64),Q47+2*($M$73-SUM($M$74:$M$81))-'Pave Mark'!$AV$48-'Pave Mark'!$AY$48,
IF(AND($F$65=$AA$64,$M$65=$AA$63,$M$67=$AA$63),Q47,
IF(AND($F$65=$AA$64,$M$65=$AA$63,$M$67=$AA$64),Q47+$M$73-SUM($M$74:$M$81)-'Pave Mark'!$AY$48,
IF(AND($F$65=$AA$64,OR($M$65=$AA$62,$M$65=$AA$64),$M$67=$AA$63),Q47,
IF(AND($F$65=$AA$64,OR($M$65=$AA$62,$M$65=$AA$64),$M$67=$AA$64),Q47+$M$73-SUM($M$74:$M$81)-'Pave Mark'!$AY$48,0))))))))))))</f>
        <v>0</v>
      </c>
      <c r="R58" s="814">
        <f>IF(AND($F$65=$AA$63,$F$67=$AA$63,OR($J$67=$AG$62,$J$67=$AG$63)),($M$73-SUM($M$74:$M$81))-'Pave Mark'!$AV$48,IF(AND($F$65=$AA$63,$F$67=$AA$63,$J$67=$AG$64),2*($M$73-SUM($M$74:$M$81))-'Pave Mark'!$AV$48,IF(M65=AA63,2*($M$73-SUM($M$74:$M$81))-'Pave Mark'!$AV$48,0)))</f>
        <v>0</v>
      </c>
      <c r="S58" s="30"/>
      <c r="T58" s="30"/>
      <c r="U58" s="27"/>
      <c r="V58" s="99" t="s">
        <v>33</v>
      </c>
      <c r="W58" s="130"/>
      <c r="X58" s="101" t="s">
        <v>36</v>
      </c>
      <c r="Y58" s="90">
        <f>IF(OR(AS47&gt;0,AS131&gt;0),1,0)</f>
        <v>0</v>
      </c>
      <c r="Z58" s="30"/>
      <c r="AA58" s="90" t="s">
        <v>359</v>
      </c>
      <c r="AB58" s="127" t="s">
        <v>224</v>
      </c>
      <c r="AC58" s="89"/>
      <c r="AD58" s="40"/>
      <c r="AE58" s="40"/>
      <c r="AF58" s="40"/>
      <c r="AG58" s="40"/>
      <c r="AH58" s="1298"/>
      <c r="AI58" s="1298"/>
      <c r="AJ58" s="1298"/>
      <c r="AK58" s="1298"/>
      <c r="AL58" s="1298"/>
      <c r="AM58" s="1298"/>
      <c r="AN58" s="1298"/>
    </row>
    <row r="59" spans="1:40" ht="6.75" customHeight="1" x14ac:dyDescent="0.2">
      <c r="A59" s="30"/>
      <c r="B59" s="102"/>
      <c r="C59" s="94"/>
      <c r="D59" s="94"/>
      <c r="E59" s="93"/>
      <c r="F59" s="30"/>
      <c r="G59" s="30"/>
      <c r="H59" s="30"/>
      <c r="I59" s="30"/>
      <c r="J59" s="30"/>
      <c r="K59" s="30"/>
      <c r="L59" s="30"/>
      <c r="M59" s="30"/>
      <c r="N59" s="82"/>
      <c r="O59" s="82"/>
      <c r="P59" s="82"/>
      <c r="Q59" s="82"/>
      <c r="R59" s="82"/>
      <c r="S59" s="30"/>
      <c r="T59" s="30"/>
      <c r="U59" s="27"/>
      <c r="V59" s="99"/>
      <c r="W59" s="40"/>
      <c r="X59" s="101"/>
      <c r="Y59" s="30"/>
      <c r="Z59" s="30"/>
      <c r="AA59" s="90" t="s">
        <v>354</v>
      </c>
      <c r="AB59" s="127" t="s">
        <v>363</v>
      </c>
      <c r="AC59" s="89"/>
      <c r="AD59" s="40"/>
      <c r="AE59" s="40"/>
      <c r="AF59" s="40"/>
      <c r="AG59" s="40"/>
      <c r="AH59" s="1298"/>
      <c r="AI59" s="1298"/>
      <c r="AJ59" s="1298"/>
      <c r="AK59" s="1298"/>
      <c r="AL59" s="1298"/>
      <c r="AM59" s="1298"/>
      <c r="AN59" s="1298"/>
    </row>
    <row r="60" spans="1:40" ht="12.75" customHeight="1" x14ac:dyDescent="0.2">
      <c r="A60" s="30"/>
      <c r="B60" s="102"/>
      <c r="C60" s="102"/>
      <c r="D60" s="94"/>
      <c r="E60" s="93"/>
      <c r="F60" s="30"/>
      <c r="G60" s="30"/>
      <c r="H60" s="30"/>
      <c r="I60" s="30"/>
      <c r="J60" s="30"/>
      <c r="K60" s="30"/>
      <c r="L60" s="30"/>
      <c r="M60" s="30"/>
      <c r="N60" s="82"/>
      <c r="S60" s="30"/>
      <c r="T60" s="30"/>
      <c r="U60" s="27"/>
      <c r="V60" s="99" t="s">
        <v>373</v>
      </c>
      <c r="W60" s="194"/>
      <c r="X60" s="201" t="s">
        <v>385</v>
      </c>
      <c r="Y60" s="116" t="str">
        <f>IF(OR(Y63=Y70,Y63=Y75,Y63=Y76,Y63=Y79),53,IF(Y63=0,"pick county",73))</f>
        <v>pick county</v>
      </c>
      <c r="Z60" s="30"/>
      <c r="AA60" s="30"/>
      <c r="AB60" s="91"/>
      <c r="AC60" s="89"/>
      <c r="AD60" s="40"/>
      <c r="AF60" s="40"/>
      <c r="AG60" s="40"/>
      <c r="AH60" s="1298"/>
      <c r="AI60" s="1298"/>
      <c r="AJ60" s="1298"/>
      <c r="AK60" s="1298"/>
      <c r="AL60" s="1298"/>
      <c r="AM60" s="1298"/>
      <c r="AN60" s="1298"/>
    </row>
    <row r="61" spans="1:40" x14ac:dyDescent="0.2">
      <c r="A61" s="30"/>
      <c r="B61" s="82"/>
      <c r="C61" s="82"/>
      <c r="D61" s="82"/>
      <c r="E61" s="82"/>
      <c r="F61" s="82"/>
      <c r="G61" s="82"/>
      <c r="H61" s="82"/>
      <c r="I61" s="82"/>
      <c r="J61" s="82"/>
      <c r="K61" s="82"/>
      <c r="L61" s="82"/>
      <c r="M61" s="82"/>
      <c r="N61" s="82"/>
      <c r="S61" s="82"/>
      <c r="T61" s="82"/>
      <c r="U61" s="114"/>
      <c r="V61" s="99" t="s">
        <v>381</v>
      </c>
      <c r="W61" s="202"/>
      <c r="Z61" s="30"/>
      <c r="AA61" s="30"/>
      <c r="AB61" s="91"/>
      <c r="AC61" s="89"/>
      <c r="AD61" s="40"/>
      <c r="AE61" s="116"/>
      <c r="AF61" s="40"/>
      <c r="AG61" s="306"/>
      <c r="AH61" s="1298"/>
      <c r="AI61" s="1298"/>
      <c r="AJ61" s="1298"/>
      <c r="AK61" s="1298"/>
      <c r="AL61" s="1298"/>
      <c r="AM61" s="1298"/>
      <c r="AN61" s="1298"/>
    </row>
    <row r="62" spans="1:40" x14ac:dyDescent="0.2">
      <c r="A62" s="30"/>
      <c r="B62" s="82"/>
      <c r="C62" s="82"/>
      <c r="D62" s="82"/>
      <c r="E62" s="82"/>
      <c r="F62" s="82"/>
      <c r="G62" s="82"/>
      <c r="H62" s="82"/>
      <c r="I62" s="82"/>
      <c r="J62" s="82"/>
      <c r="K62" s="82"/>
      <c r="L62" s="82"/>
      <c r="M62" s="82"/>
      <c r="N62" s="82"/>
      <c r="S62" s="82"/>
      <c r="T62" s="82"/>
      <c r="U62" s="27"/>
      <c r="V62" s="99" t="s">
        <v>380</v>
      </c>
      <c r="W62" s="199"/>
      <c r="X62" s="101" t="s">
        <v>37</v>
      </c>
      <c r="Y62" s="30"/>
      <c r="Z62" s="30"/>
      <c r="AA62" s="116"/>
      <c r="AB62" s="91"/>
      <c r="AC62" s="116"/>
      <c r="AD62" s="40"/>
      <c r="AE62" s="116" t="s">
        <v>689</v>
      </c>
      <c r="AF62" s="40"/>
      <c r="AG62" s="306" t="s">
        <v>901</v>
      </c>
      <c r="AH62" s="327"/>
      <c r="AI62" s="327"/>
      <c r="AJ62" s="327"/>
      <c r="AK62" s="327"/>
      <c r="AL62" s="327"/>
      <c r="AM62" s="327"/>
      <c r="AN62" s="327"/>
    </row>
    <row r="63" spans="1:40" x14ac:dyDescent="0.2">
      <c r="A63" s="30"/>
      <c r="B63" s="82"/>
      <c r="C63" s="82"/>
      <c r="D63" s="82"/>
      <c r="E63" s="82"/>
      <c r="F63" s="1187" t="s">
        <v>519</v>
      </c>
      <c r="G63" s="1187"/>
      <c r="H63" s="1187"/>
      <c r="I63" s="1187"/>
      <c r="J63" s="1187"/>
      <c r="K63" s="1187"/>
      <c r="L63" s="1187"/>
      <c r="M63" s="1187"/>
      <c r="N63" s="82"/>
      <c r="S63" s="82"/>
      <c r="T63" s="82"/>
      <c r="U63" s="27"/>
      <c r="X63" s="99" t="s">
        <v>386</v>
      </c>
      <c r="Y63" s="100"/>
      <c r="Z63" s="30"/>
      <c r="AA63" s="116" t="s">
        <v>370</v>
      </c>
      <c r="AB63" s="91"/>
      <c r="AC63" s="116" t="s">
        <v>521</v>
      </c>
      <c r="AD63" s="40"/>
      <c r="AE63" s="116" t="s">
        <v>690</v>
      </c>
      <c r="AF63" s="40"/>
      <c r="AG63" s="306" t="s">
        <v>902</v>
      </c>
      <c r="AH63" s="327"/>
      <c r="AI63" s="327"/>
      <c r="AJ63" s="327"/>
      <c r="AK63" s="327"/>
      <c r="AL63" s="327"/>
      <c r="AM63" s="327"/>
      <c r="AN63" s="327"/>
    </row>
    <row r="64" spans="1:40" x14ac:dyDescent="0.2">
      <c r="A64" s="30"/>
      <c r="B64" s="82"/>
      <c r="C64" s="82"/>
      <c r="D64" s="82"/>
      <c r="E64" s="82"/>
      <c r="F64" s="82"/>
      <c r="G64" s="82"/>
      <c r="H64" s="82"/>
      <c r="I64" s="82"/>
      <c r="J64" s="82"/>
      <c r="K64" s="82"/>
      <c r="L64" s="82"/>
      <c r="M64" s="82"/>
      <c r="N64" s="82"/>
      <c r="S64" s="82"/>
      <c r="T64" s="82"/>
      <c r="U64" s="27"/>
      <c r="V64" s="30"/>
      <c r="W64" s="30"/>
      <c r="X64" s="30"/>
      <c r="Y64" s="30"/>
      <c r="Z64" s="30"/>
      <c r="AA64" s="116" t="s">
        <v>371</v>
      </c>
      <c r="AB64" s="91"/>
      <c r="AC64" s="116" t="s">
        <v>522</v>
      </c>
      <c r="AD64" s="40"/>
      <c r="AE64" s="306" t="s">
        <v>691</v>
      </c>
      <c r="AF64" s="40"/>
      <c r="AG64" s="306" t="s">
        <v>336</v>
      </c>
      <c r="AH64" s="327"/>
      <c r="AI64" s="327"/>
      <c r="AJ64" s="327"/>
      <c r="AK64" s="327"/>
      <c r="AL64" s="327"/>
      <c r="AM64" s="327"/>
      <c r="AN64" s="327"/>
    </row>
    <row r="65" spans="1:40" x14ac:dyDescent="0.2">
      <c r="A65" s="30"/>
      <c r="B65" s="82"/>
      <c r="C65" s="82"/>
      <c r="D65" s="82"/>
      <c r="E65" s="82"/>
      <c r="F65" s="194"/>
      <c r="G65" s="86" t="s">
        <v>520</v>
      </c>
      <c r="H65" s="82"/>
      <c r="I65" s="194"/>
      <c r="J65" s="86" t="s">
        <v>431</v>
      </c>
      <c r="K65" s="82"/>
      <c r="L65" s="82"/>
      <c r="M65" s="194"/>
      <c r="N65" s="86" t="s">
        <v>903</v>
      </c>
      <c r="S65" s="82"/>
      <c r="T65" s="82"/>
      <c r="U65" s="27"/>
      <c r="V65" s="30"/>
      <c r="W65" s="200"/>
      <c r="X65" s="116"/>
      <c r="Y65" s="88"/>
      <c r="Z65" s="204" t="s">
        <v>387</v>
      </c>
      <c r="AA65" s="203"/>
      <c r="AB65" s="205"/>
      <c r="AC65" s="206"/>
      <c r="AD65" s="40"/>
      <c r="AE65" s="40"/>
      <c r="AF65" s="40"/>
      <c r="AG65" s="40"/>
      <c r="AH65" s="327"/>
      <c r="AI65" s="327"/>
      <c r="AJ65" s="327"/>
      <c r="AK65" s="327"/>
      <c r="AL65" s="327"/>
      <c r="AM65" s="327"/>
      <c r="AN65" s="327"/>
    </row>
    <row r="66" spans="1:40" x14ac:dyDescent="0.2">
      <c r="A66" s="30"/>
      <c r="B66" s="82"/>
      <c r="C66" s="82"/>
      <c r="D66" s="82"/>
      <c r="E66" s="82"/>
      <c r="F66" s="82"/>
      <c r="G66" s="82"/>
      <c r="H66" s="82"/>
      <c r="I66" s="82"/>
      <c r="J66" s="82"/>
      <c r="K66" s="82"/>
      <c r="L66" s="82"/>
      <c r="M66" s="82"/>
      <c r="N66" s="82"/>
      <c r="S66" s="82"/>
      <c r="T66" s="82"/>
      <c r="U66" s="27"/>
      <c r="V66" s="30"/>
      <c r="W66" s="180" t="s">
        <v>374</v>
      </c>
      <c r="X66" s="116" t="s">
        <v>382</v>
      </c>
      <c r="Y66" s="90" t="s">
        <v>250</v>
      </c>
      <c r="Z66" s="1294" t="s">
        <v>388</v>
      </c>
      <c r="AA66" s="1295"/>
      <c r="AB66" s="1295"/>
      <c r="AC66" s="1295"/>
      <c r="AD66" s="40"/>
      <c r="AE66" s="40"/>
      <c r="AF66" s="40"/>
      <c r="AG66" s="40"/>
      <c r="AH66" s="327"/>
      <c r="AI66" s="327"/>
      <c r="AJ66" s="327"/>
      <c r="AK66" s="327"/>
      <c r="AL66" s="327"/>
      <c r="AM66" s="30"/>
      <c r="AN66" s="27"/>
    </row>
    <row r="67" spans="1:40" x14ac:dyDescent="0.2">
      <c r="A67" s="30"/>
      <c r="B67" s="82"/>
      <c r="C67" s="82"/>
      <c r="D67" s="82"/>
      <c r="E67" s="82"/>
      <c r="F67" s="194"/>
      <c r="G67" s="86" t="s">
        <v>848</v>
      </c>
      <c r="H67" s="82"/>
      <c r="I67" s="82"/>
      <c r="J67" s="194"/>
      <c r="K67" s="86" t="s">
        <v>900</v>
      </c>
      <c r="L67" s="82"/>
      <c r="M67" s="194"/>
      <c r="N67" s="86" t="s">
        <v>931</v>
      </c>
      <c r="S67" s="82"/>
      <c r="T67" s="82"/>
      <c r="U67" s="27"/>
      <c r="V67" s="30"/>
      <c r="W67" s="180" t="s">
        <v>375</v>
      </c>
      <c r="X67" s="116" t="s">
        <v>383</v>
      </c>
      <c r="Y67" s="90" t="s">
        <v>251</v>
      </c>
      <c r="Z67" s="1295"/>
      <c r="AA67" s="1295"/>
      <c r="AB67" s="1295"/>
      <c r="AC67" s="1295"/>
      <c r="AD67" s="40"/>
      <c r="AE67" s="40"/>
      <c r="AF67" s="40"/>
      <c r="AG67" s="40"/>
      <c r="AH67" s="327"/>
      <c r="AI67" s="327"/>
      <c r="AJ67" s="327"/>
      <c r="AK67" s="327"/>
      <c r="AL67" s="327"/>
      <c r="AM67" s="30"/>
      <c r="AN67" s="27"/>
    </row>
    <row r="68" spans="1:40" x14ac:dyDescent="0.2">
      <c r="A68" s="30"/>
      <c r="B68" s="82"/>
      <c r="C68" s="82"/>
      <c r="D68" s="82"/>
      <c r="E68" s="82"/>
      <c r="F68" s="82"/>
      <c r="G68" s="82"/>
      <c r="H68" s="82"/>
      <c r="I68" s="82"/>
      <c r="J68" s="82"/>
      <c r="K68" s="82"/>
      <c r="L68" s="82"/>
      <c r="M68" s="194"/>
      <c r="N68" s="86" t="s">
        <v>930</v>
      </c>
      <c r="S68" s="82"/>
      <c r="T68" s="82"/>
      <c r="U68" s="27"/>
      <c r="V68" s="30"/>
      <c r="W68" s="180" t="s">
        <v>376</v>
      </c>
      <c r="X68" s="116" t="s">
        <v>384</v>
      </c>
      <c r="Y68" s="90" t="s">
        <v>252</v>
      </c>
      <c r="Z68" s="30"/>
      <c r="AB68" s="91"/>
      <c r="AC68" s="91"/>
      <c r="AD68" s="40"/>
      <c r="AE68" s="40"/>
      <c r="AF68" s="40"/>
      <c r="AG68" s="40"/>
      <c r="AH68" s="327"/>
      <c r="AI68" s="327"/>
      <c r="AJ68" s="327"/>
      <c r="AK68" s="327"/>
      <c r="AL68" s="327"/>
      <c r="AM68" s="30"/>
      <c r="AN68" s="27"/>
    </row>
    <row r="69" spans="1:40" x14ac:dyDescent="0.2">
      <c r="A69" s="30"/>
      <c r="B69" s="82"/>
      <c r="C69" s="82"/>
      <c r="D69" s="82"/>
      <c r="E69" s="82"/>
      <c r="F69" s="1194" t="s">
        <v>904</v>
      </c>
      <c r="G69" s="1194"/>
      <c r="H69" s="1194"/>
      <c r="I69" s="1194"/>
      <c r="J69" s="1194"/>
      <c r="K69" s="1194"/>
      <c r="L69" s="1194"/>
      <c r="M69" s="1194"/>
      <c r="N69" s="1194"/>
      <c r="O69" s="1194"/>
      <c r="P69" s="1194"/>
      <c r="Q69" s="1194"/>
      <c r="R69" s="1194"/>
      <c r="S69" s="82"/>
      <c r="T69" s="82"/>
      <c r="U69" s="27"/>
      <c r="V69" s="30"/>
      <c r="W69" s="180" t="s">
        <v>377</v>
      </c>
      <c r="X69" s="30"/>
      <c r="Y69" s="90" t="s">
        <v>568</v>
      </c>
      <c r="Z69" s="30"/>
      <c r="AB69" s="91"/>
      <c r="AC69" s="91"/>
      <c r="AD69" s="91"/>
      <c r="AE69" s="91"/>
      <c r="AF69" s="91"/>
      <c r="AG69" s="91"/>
      <c r="AH69" s="327"/>
      <c r="AI69" s="327"/>
      <c r="AJ69" s="327"/>
      <c r="AK69" s="327"/>
      <c r="AL69" s="327"/>
      <c r="AM69" s="30"/>
      <c r="AN69" s="27"/>
    </row>
    <row r="70" spans="1:40" ht="13.5" thickBot="1" x14ac:dyDescent="0.25">
      <c r="A70" s="30"/>
      <c r="B70" s="82"/>
      <c r="C70" s="82"/>
      <c r="D70" s="82"/>
      <c r="E70" s="82"/>
      <c r="F70" s="1195"/>
      <c r="G70" s="1195"/>
      <c r="H70" s="1195"/>
      <c r="I70" s="1195"/>
      <c r="J70" s="1195"/>
      <c r="K70" s="1195"/>
      <c r="L70" s="1195"/>
      <c r="M70" s="1195"/>
      <c r="N70" s="1195"/>
      <c r="O70" s="1195"/>
      <c r="P70" s="1195"/>
      <c r="Q70" s="1195"/>
      <c r="R70" s="1195"/>
      <c r="S70" s="82"/>
      <c r="T70" s="82"/>
      <c r="U70" s="27"/>
      <c r="V70" s="30"/>
      <c r="W70" s="180" t="s">
        <v>378</v>
      </c>
      <c r="X70" s="30"/>
      <c r="Y70" s="90" t="s">
        <v>253</v>
      </c>
      <c r="Z70" s="30"/>
      <c r="AB70" s="91"/>
      <c r="AC70" s="91"/>
      <c r="AD70" s="91"/>
      <c r="AE70" s="91"/>
      <c r="AF70" s="91"/>
      <c r="AG70" s="91"/>
      <c r="AH70" s="327"/>
      <c r="AI70" s="327"/>
      <c r="AJ70" s="327"/>
      <c r="AK70" s="327"/>
      <c r="AL70" s="327"/>
      <c r="AM70" s="30"/>
      <c r="AN70" s="27"/>
    </row>
    <row r="71" spans="1:40" x14ac:dyDescent="0.2">
      <c r="A71" s="30"/>
      <c r="B71" s="82"/>
      <c r="C71" s="1163"/>
      <c r="D71" s="1163"/>
      <c r="E71" s="1164"/>
      <c r="F71" s="1190" t="s">
        <v>127</v>
      </c>
      <c r="G71" s="1191"/>
      <c r="H71" s="1192"/>
      <c r="I71" s="1159" t="str">
        <f>IF(AND($F$65=$AA$63,$I$65=$AC$63),"Northbound",IF(AND($F$65=$AA$63,$I$65=$AC$64),"Eastbound",0))&amp;" Stationing"</f>
        <v>0 Stationing</v>
      </c>
      <c r="J71" s="1160"/>
      <c r="K71" s="1160"/>
      <c r="L71" s="1161"/>
      <c r="M71" s="830" t="s">
        <v>129</v>
      </c>
      <c r="N71" s="1159" t="str">
        <f>IF(AND($F$65=$AA$63,$I$65=$AC$63),"Southbound",IF(AND($F$65=$AA$63,$I$65=$AC$64),"Westbound",0))&amp;" Stationing"</f>
        <v>0 Stationing</v>
      </c>
      <c r="O71" s="1160"/>
      <c r="P71" s="1160"/>
      <c r="Q71" s="1161"/>
      <c r="R71" s="830" t="s">
        <v>129</v>
      </c>
      <c r="S71" s="82"/>
      <c r="T71" s="82"/>
      <c r="U71" s="27"/>
      <c r="V71" s="30"/>
      <c r="W71" s="180" t="s">
        <v>379</v>
      </c>
      <c r="X71" s="30"/>
      <c r="Y71" s="90" t="s">
        <v>254</v>
      </c>
      <c r="Z71" s="20"/>
      <c r="AB71" s="26"/>
      <c r="AC71" s="91"/>
      <c r="AD71" s="91"/>
      <c r="AE71" s="91"/>
      <c r="AF71" s="91"/>
      <c r="AG71" s="91"/>
      <c r="AH71" s="327"/>
      <c r="AI71" s="327"/>
      <c r="AJ71" s="327"/>
      <c r="AK71" s="327"/>
      <c r="AL71" s="327"/>
      <c r="AM71" s="30"/>
      <c r="AN71" s="27"/>
    </row>
    <row r="72" spans="1:40" ht="13.5" thickBot="1" x14ac:dyDescent="0.25">
      <c r="A72" s="30"/>
      <c r="B72" s="82"/>
      <c r="C72" s="1163"/>
      <c r="D72" s="1163"/>
      <c r="E72" s="1263"/>
      <c r="F72" s="1165"/>
      <c r="G72" s="1166"/>
      <c r="H72" s="1193"/>
      <c r="I72" s="1154" t="s">
        <v>542</v>
      </c>
      <c r="J72" s="1155"/>
      <c r="K72" s="1156" t="s">
        <v>543</v>
      </c>
      <c r="L72" s="1155"/>
      <c r="M72" s="831" t="s">
        <v>100</v>
      </c>
      <c r="N72" s="1154" t="s">
        <v>542</v>
      </c>
      <c r="O72" s="1155"/>
      <c r="P72" s="1156" t="s">
        <v>543</v>
      </c>
      <c r="Q72" s="1155"/>
      <c r="R72" s="831" t="s">
        <v>100</v>
      </c>
      <c r="S72" s="82"/>
      <c r="T72" s="82"/>
      <c r="U72" s="27"/>
      <c r="V72" s="30"/>
      <c r="Y72" s="90" t="s">
        <v>255</v>
      </c>
      <c r="Z72" s="20"/>
      <c r="AB72" s="26"/>
      <c r="AC72" s="26"/>
      <c r="AD72" s="91"/>
      <c r="AE72" s="91"/>
      <c r="AF72" s="91"/>
      <c r="AG72" s="91"/>
      <c r="AH72" s="327"/>
      <c r="AI72" s="327"/>
      <c r="AJ72" s="327"/>
      <c r="AK72" s="327"/>
      <c r="AL72" s="327"/>
      <c r="AM72" s="30"/>
      <c r="AN72" s="27"/>
    </row>
    <row r="73" spans="1:40" x14ac:dyDescent="0.2">
      <c r="A73" s="30"/>
      <c r="B73" s="82"/>
      <c r="C73" s="1163"/>
      <c r="D73" s="1163"/>
      <c r="E73" s="1164"/>
      <c r="F73" s="1169" t="s">
        <v>544</v>
      </c>
      <c r="G73" s="1170"/>
      <c r="H73" s="1171"/>
      <c r="I73" s="1162"/>
      <c r="J73" s="1158"/>
      <c r="K73" s="1157"/>
      <c r="L73" s="1158"/>
      <c r="M73" s="832">
        <f>K73-I73</f>
        <v>0</v>
      </c>
      <c r="N73" s="1162"/>
      <c r="O73" s="1158"/>
      <c r="P73" s="1157"/>
      <c r="Q73" s="1158"/>
      <c r="R73" s="832">
        <f>P73-N73</f>
        <v>0</v>
      </c>
      <c r="S73" s="82"/>
      <c r="T73" s="82"/>
      <c r="U73" s="27"/>
      <c r="V73" s="20"/>
      <c r="Y73" s="90" t="s">
        <v>256</v>
      </c>
      <c r="Z73" s="20"/>
      <c r="AB73" s="26"/>
      <c r="AC73" s="26"/>
      <c r="AD73" s="91"/>
      <c r="AE73" s="91"/>
      <c r="AF73" s="91"/>
      <c r="AG73" s="91"/>
      <c r="AH73" s="327"/>
      <c r="AI73" s="327"/>
      <c r="AJ73" s="327"/>
      <c r="AK73" s="327"/>
      <c r="AL73" s="327"/>
      <c r="AM73" s="30"/>
      <c r="AN73" s="27"/>
    </row>
    <row r="74" spans="1:40" x14ac:dyDescent="0.2">
      <c r="A74" s="30"/>
      <c r="B74" s="82"/>
      <c r="C74" s="1163"/>
      <c r="D74" s="1168"/>
      <c r="E74" s="1164"/>
      <c r="F74" s="1151" t="s">
        <v>545</v>
      </c>
      <c r="G74" s="1186"/>
      <c r="H74" s="1153"/>
      <c r="I74" s="1145"/>
      <c r="J74" s="1146"/>
      <c r="K74" s="1150"/>
      <c r="L74" s="1146"/>
      <c r="M74" s="833">
        <f t="shared" ref="M74:M81" si="29">K74-I74</f>
        <v>0</v>
      </c>
      <c r="N74" s="1145"/>
      <c r="O74" s="1146"/>
      <c r="P74" s="1150"/>
      <c r="Q74" s="1146"/>
      <c r="R74" s="833">
        <f t="shared" ref="R74:R81" si="30">P74-N74</f>
        <v>0</v>
      </c>
      <c r="S74" s="82"/>
      <c r="T74" s="82"/>
      <c r="V74" s="20"/>
      <c r="Y74" s="90" t="s">
        <v>257</v>
      </c>
      <c r="Z74" s="20"/>
      <c r="AA74" s="30"/>
      <c r="AB74" s="20"/>
      <c r="AC74" s="26"/>
      <c r="AD74" s="26"/>
      <c r="AE74" s="26"/>
      <c r="AF74" s="26"/>
      <c r="AG74" s="26"/>
      <c r="AH74" s="327"/>
      <c r="AI74" s="327"/>
      <c r="AJ74" s="327"/>
      <c r="AK74" s="327"/>
      <c r="AL74" s="327"/>
      <c r="AM74" s="20"/>
    </row>
    <row r="75" spans="1:40" x14ac:dyDescent="0.2">
      <c r="A75" s="30"/>
      <c r="B75" s="82"/>
      <c r="C75" s="1163"/>
      <c r="D75" s="1163"/>
      <c r="E75" s="1164"/>
      <c r="F75" s="1151" t="s">
        <v>546</v>
      </c>
      <c r="G75" s="1152"/>
      <c r="H75" s="1153"/>
      <c r="I75" s="1145"/>
      <c r="J75" s="1146"/>
      <c r="K75" s="1150"/>
      <c r="L75" s="1146"/>
      <c r="M75" s="833">
        <f t="shared" si="29"/>
        <v>0</v>
      </c>
      <c r="N75" s="1145"/>
      <c r="O75" s="1146"/>
      <c r="P75" s="1150"/>
      <c r="Q75" s="1146"/>
      <c r="R75" s="833">
        <f t="shared" si="30"/>
        <v>0</v>
      </c>
      <c r="S75" s="82"/>
      <c r="T75" s="82"/>
      <c r="V75" s="20"/>
      <c r="Y75" s="90" t="s">
        <v>258</v>
      </c>
      <c r="Z75" s="20"/>
      <c r="AA75" s="20"/>
      <c r="AB75" s="20"/>
      <c r="AC75" s="20"/>
      <c r="AD75" s="26"/>
      <c r="AE75" s="26"/>
      <c r="AF75" s="26"/>
      <c r="AG75" s="26"/>
      <c r="AH75" s="327"/>
      <c r="AI75" s="327"/>
      <c r="AJ75" s="327"/>
      <c r="AK75" s="327"/>
      <c r="AL75" s="327"/>
      <c r="AM75" s="20"/>
    </row>
    <row r="76" spans="1:40" x14ac:dyDescent="0.2">
      <c r="A76" s="30"/>
      <c r="B76" s="82"/>
      <c r="C76" s="1163"/>
      <c r="D76" s="1163"/>
      <c r="E76" s="1164"/>
      <c r="F76" s="1151" t="s">
        <v>547</v>
      </c>
      <c r="G76" s="1152"/>
      <c r="H76" s="1153"/>
      <c r="I76" s="1145"/>
      <c r="J76" s="1146"/>
      <c r="K76" s="1150"/>
      <c r="L76" s="1146"/>
      <c r="M76" s="833">
        <f t="shared" si="29"/>
        <v>0</v>
      </c>
      <c r="N76" s="1145"/>
      <c r="O76" s="1146"/>
      <c r="P76" s="1150"/>
      <c r="Q76" s="1146"/>
      <c r="R76" s="833">
        <f t="shared" si="30"/>
        <v>0</v>
      </c>
      <c r="S76" s="82"/>
      <c r="T76" s="82"/>
      <c r="V76" s="20"/>
      <c r="Y76" s="90" t="s">
        <v>259</v>
      </c>
      <c r="AC76" s="20"/>
      <c r="AD76" s="26"/>
      <c r="AE76" s="26"/>
      <c r="AF76" s="26"/>
      <c r="AG76" s="26"/>
      <c r="AH76" s="327"/>
      <c r="AI76" s="327"/>
      <c r="AJ76" s="327"/>
      <c r="AK76" s="327"/>
      <c r="AL76" s="327"/>
      <c r="AM76" s="20"/>
    </row>
    <row r="77" spans="1:40" x14ac:dyDescent="0.2">
      <c r="A77" s="30"/>
      <c r="B77" s="82"/>
      <c r="C77" s="1163"/>
      <c r="D77" s="1163"/>
      <c r="E77" s="1164"/>
      <c r="F77" s="1151" t="s">
        <v>548</v>
      </c>
      <c r="G77" s="1152"/>
      <c r="H77" s="1153"/>
      <c r="I77" s="1145"/>
      <c r="J77" s="1146"/>
      <c r="K77" s="1150"/>
      <c r="L77" s="1146"/>
      <c r="M77" s="833">
        <f t="shared" si="29"/>
        <v>0</v>
      </c>
      <c r="N77" s="1145"/>
      <c r="O77" s="1146"/>
      <c r="P77" s="1150"/>
      <c r="Q77" s="1146"/>
      <c r="R77" s="833">
        <f t="shared" si="30"/>
        <v>0</v>
      </c>
      <c r="S77" s="82"/>
      <c r="T77" s="82"/>
      <c r="V77" s="20"/>
      <c r="Y77" s="90" t="s">
        <v>260</v>
      </c>
      <c r="AD77" s="20"/>
      <c r="AE77" s="20"/>
      <c r="AF77" s="20"/>
      <c r="AG77" s="20"/>
      <c r="AH77" s="327"/>
      <c r="AI77" s="327"/>
      <c r="AJ77" s="327"/>
      <c r="AK77" s="327"/>
      <c r="AL77" s="327"/>
      <c r="AM77" s="20"/>
    </row>
    <row r="78" spans="1:40" x14ac:dyDescent="0.2">
      <c r="A78" s="30"/>
      <c r="B78" s="82"/>
      <c r="C78" s="1163"/>
      <c r="D78" s="1163"/>
      <c r="E78" s="1164"/>
      <c r="F78" s="1151" t="s">
        <v>549</v>
      </c>
      <c r="G78" s="1152"/>
      <c r="H78" s="1153"/>
      <c r="I78" s="1145"/>
      <c r="J78" s="1146"/>
      <c r="K78" s="1150"/>
      <c r="L78" s="1146"/>
      <c r="M78" s="833">
        <f t="shared" si="29"/>
        <v>0</v>
      </c>
      <c r="N78" s="1145"/>
      <c r="O78" s="1146"/>
      <c r="P78" s="1150"/>
      <c r="Q78" s="1146"/>
      <c r="R78" s="833">
        <f t="shared" si="30"/>
        <v>0</v>
      </c>
      <c r="S78" s="82"/>
      <c r="T78" s="82"/>
      <c r="Y78" s="90" t="s">
        <v>261</v>
      </c>
      <c r="AD78" s="20"/>
      <c r="AE78" s="20"/>
      <c r="AF78" s="20"/>
      <c r="AG78" s="20"/>
      <c r="AH78" s="327"/>
      <c r="AI78" s="327"/>
      <c r="AJ78" s="327"/>
      <c r="AK78" s="327"/>
      <c r="AL78" s="327"/>
      <c r="AM78" s="20"/>
    </row>
    <row r="79" spans="1:40" x14ac:dyDescent="0.2">
      <c r="A79" s="30"/>
      <c r="B79" s="82"/>
      <c r="C79" s="1163"/>
      <c r="D79" s="1163"/>
      <c r="E79" s="1164"/>
      <c r="F79" s="1151" t="s">
        <v>550</v>
      </c>
      <c r="G79" s="1152"/>
      <c r="H79" s="1153"/>
      <c r="I79" s="1145"/>
      <c r="J79" s="1146"/>
      <c r="K79" s="1150"/>
      <c r="L79" s="1146"/>
      <c r="M79" s="833">
        <f t="shared" si="29"/>
        <v>0</v>
      </c>
      <c r="N79" s="1145"/>
      <c r="O79" s="1146"/>
      <c r="P79" s="1150"/>
      <c r="Q79" s="1146"/>
      <c r="R79" s="833">
        <f t="shared" si="30"/>
        <v>0</v>
      </c>
      <c r="S79" s="82"/>
      <c r="T79" s="82"/>
      <c r="Y79" s="90" t="s">
        <v>262</v>
      </c>
      <c r="AH79" s="327"/>
      <c r="AI79" s="327"/>
      <c r="AJ79" s="327"/>
      <c r="AK79" s="327"/>
      <c r="AL79" s="327"/>
    </row>
    <row r="80" spans="1:40" x14ac:dyDescent="0.2">
      <c r="A80" s="30"/>
      <c r="B80" s="82"/>
      <c r="C80" s="1163"/>
      <c r="D80" s="1163"/>
      <c r="E80" s="1164"/>
      <c r="F80" s="1151" t="s">
        <v>551</v>
      </c>
      <c r="G80" s="1152"/>
      <c r="H80" s="1153"/>
      <c r="I80" s="1145"/>
      <c r="J80" s="1146"/>
      <c r="K80" s="1150"/>
      <c r="L80" s="1146"/>
      <c r="M80" s="833">
        <f t="shared" si="29"/>
        <v>0</v>
      </c>
      <c r="N80" s="1145"/>
      <c r="O80" s="1146"/>
      <c r="P80" s="1150"/>
      <c r="Q80" s="1146"/>
      <c r="R80" s="833">
        <f t="shared" si="30"/>
        <v>0</v>
      </c>
      <c r="S80" s="82"/>
      <c r="T80" s="82"/>
      <c r="Y80" s="90" t="s">
        <v>263</v>
      </c>
      <c r="AH80" s="327"/>
      <c r="AI80" s="327"/>
      <c r="AJ80" s="327"/>
      <c r="AK80" s="327"/>
      <c r="AL80" s="327"/>
    </row>
    <row r="81" spans="1:45" ht="13.5" thickBot="1" x14ac:dyDescent="0.25">
      <c r="A81" s="30"/>
      <c r="B81" s="82"/>
      <c r="C81" s="1163"/>
      <c r="D81" s="1163"/>
      <c r="E81" s="1164"/>
      <c r="F81" s="1165" t="s">
        <v>552</v>
      </c>
      <c r="G81" s="1166"/>
      <c r="H81" s="1167"/>
      <c r="I81" s="1147"/>
      <c r="J81" s="1148"/>
      <c r="K81" s="1149"/>
      <c r="L81" s="1148"/>
      <c r="M81" s="834">
        <f t="shared" si="29"/>
        <v>0</v>
      </c>
      <c r="N81" s="1147"/>
      <c r="O81" s="1148"/>
      <c r="P81" s="1149"/>
      <c r="Q81" s="1148"/>
      <c r="R81" s="834">
        <f t="shared" si="30"/>
        <v>0</v>
      </c>
      <c r="S81" s="82"/>
      <c r="T81" s="82"/>
      <c r="Y81" s="90" t="s">
        <v>264</v>
      </c>
      <c r="AH81" s="327"/>
      <c r="AI81" s="327"/>
      <c r="AJ81" s="327"/>
      <c r="AK81" s="327"/>
      <c r="AL81" s="327"/>
    </row>
    <row r="82" spans="1:45" x14ac:dyDescent="0.2">
      <c r="A82" s="30"/>
      <c r="B82" s="82"/>
      <c r="C82" s="82"/>
      <c r="D82" s="82"/>
      <c r="E82" s="82"/>
      <c r="F82" s="82"/>
      <c r="G82" s="82"/>
      <c r="H82" s="82"/>
      <c r="I82" s="82"/>
      <c r="J82" s="82"/>
      <c r="K82" s="82"/>
      <c r="L82" s="82"/>
      <c r="M82" s="82"/>
      <c r="N82" s="82"/>
      <c r="O82" s="82"/>
      <c r="P82" s="82"/>
      <c r="Q82" s="82"/>
      <c r="R82" s="82"/>
      <c r="S82" s="82"/>
      <c r="T82" s="82"/>
      <c r="Y82" s="90" t="s">
        <v>265</v>
      </c>
      <c r="AH82" s="327"/>
      <c r="AI82" s="327"/>
      <c r="AJ82" s="327"/>
      <c r="AK82" s="327"/>
      <c r="AL82" s="327"/>
    </row>
    <row r="83" spans="1:45" x14ac:dyDescent="0.2">
      <c r="A83" s="30"/>
      <c r="B83" s="82"/>
      <c r="C83" s="82"/>
      <c r="D83" s="82"/>
      <c r="E83" s="82"/>
      <c r="F83" s="82"/>
      <c r="G83" s="82"/>
      <c r="H83" s="1198" t="str">
        <f>IF(F65=AA63,0,"DO NOT USE TABLE BELOW UNLESS SELECT ''YES'' TO DIVIDED HIGHWAY ABOVE")</f>
        <v>DO NOT USE TABLE BELOW UNLESS SELECT ''YES'' TO DIVIDED HIGHWAY ABOVE</v>
      </c>
      <c r="I83" s="1198"/>
      <c r="J83" s="1198"/>
      <c r="K83" s="1198"/>
      <c r="L83" s="1198"/>
      <c r="M83" s="1198"/>
      <c r="N83" s="1198"/>
      <c r="O83" s="1198"/>
      <c r="P83" s="1198"/>
      <c r="Q83" s="1198"/>
      <c r="R83" s="32"/>
      <c r="S83" s="82"/>
      <c r="T83" s="82"/>
      <c r="AH83" s="327"/>
      <c r="AI83" s="327"/>
      <c r="AJ83" s="327"/>
      <c r="AK83" s="327"/>
      <c r="AL83" s="327"/>
    </row>
    <row r="84" spans="1:45" x14ac:dyDescent="0.2">
      <c r="A84" s="30"/>
      <c r="B84" s="82"/>
      <c r="C84" s="82"/>
      <c r="D84" s="82"/>
      <c r="E84" s="82"/>
      <c r="F84" s="82"/>
      <c r="G84" s="82"/>
      <c r="H84" s="82"/>
      <c r="I84" s="82"/>
      <c r="J84" s="82"/>
      <c r="K84" s="82"/>
      <c r="L84" s="82"/>
      <c r="M84" s="82"/>
      <c r="N84" s="82"/>
      <c r="O84" s="82"/>
      <c r="P84" s="82"/>
      <c r="Q84" s="82"/>
      <c r="R84" s="82"/>
      <c r="S84" s="82"/>
      <c r="T84" s="82"/>
      <c r="AH84" s="327"/>
      <c r="AI84" s="327"/>
      <c r="AJ84" s="327"/>
      <c r="AK84" s="327"/>
      <c r="AL84" s="327"/>
    </row>
    <row r="85" spans="1:45" ht="18" x14ac:dyDescent="0.25">
      <c r="A85" s="1224" t="str">
        <f>UPPER("Resurfacing, Milling &amp; Compacted Aggregate Summary Table")</f>
        <v>RESURFACING, MILLING &amp; COMPACTED AGGREGATE SUMMARY TABLE</v>
      </c>
      <c r="B85" s="1225"/>
      <c r="C85" s="1225"/>
      <c r="D85" s="1225"/>
      <c r="E85" s="1225"/>
      <c r="F85" s="1225"/>
      <c r="G85" s="1225"/>
      <c r="H85" s="1225"/>
      <c r="I85" s="1225"/>
      <c r="J85" s="1225"/>
      <c r="K85" s="1225"/>
      <c r="L85" s="1225"/>
      <c r="M85" s="1225"/>
      <c r="N85" s="1225"/>
      <c r="O85" s="1225"/>
      <c r="P85" s="1225"/>
      <c r="Q85" s="1225"/>
      <c r="R85" s="1225"/>
      <c r="S85" s="1225"/>
      <c r="T85" s="1225"/>
      <c r="U85" s="27"/>
      <c r="V85" s="1144" t="s">
        <v>570</v>
      </c>
      <c r="W85" s="1144"/>
      <c r="X85" s="1144"/>
      <c r="Y85" s="1144"/>
      <c r="Z85" s="1144"/>
      <c r="AA85" s="1144"/>
      <c r="AB85" s="1144"/>
      <c r="AC85" s="1144"/>
      <c r="AD85" s="1144"/>
      <c r="AE85" s="1144"/>
      <c r="AF85" s="1144"/>
      <c r="AG85" s="1144"/>
      <c r="AH85" s="1144"/>
      <c r="AI85" s="1144"/>
      <c r="AJ85" s="1144"/>
      <c r="AK85" s="1144"/>
      <c r="AL85" s="1144"/>
      <c r="AM85" s="1144"/>
      <c r="AN85" s="1144"/>
      <c r="AO85" s="1144"/>
      <c r="AP85" s="1144"/>
    </row>
    <row r="86" spans="1:45" ht="15" customHeight="1" thickBot="1" x14ac:dyDescent="0.25">
      <c r="A86" s="30"/>
      <c r="B86" s="1172">
        <f>IF(AND($F$65=$AA$63,$I$65=$AC$63),"Southbound",IF(AND($F$65=$AA$63,$I$65=$AC$64),"Westbound",0))</f>
        <v>0</v>
      </c>
      <c r="C86" s="1228"/>
      <c r="D86" s="1228"/>
      <c r="E86" s="1228"/>
      <c r="F86" s="1228"/>
      <c r="G86" s="1228"/>
      <c r="H86" s="1228"/>
      <c r="I86" s="1228"/>
      <c r="J86" s="1228"/>
      <c r="K86" s="1228"/>
      <c r="L86" s="1228"/>
      <c r="M86" s="1228"/>
      <c r="N86" s="1228"/>
      <c r="O86" s="1228"/>
      <c r="P86" s="1228"/>
      <c r="Q86" s="1228"/>
      <c r="R86" s="1228"/>
      <c r="S86" s="1228"/>
      <c r="T86" s="31"/>
      <c r="U86" s="27"/>
      <c r="V86" s="1275" t="s">
        <v>366</v>
      </c>
      <c r="W86" s="1276"/>
      <c r="X86" s="1276"/>
      <c r="Y86" s="1276"/>
      <c r="Z86" s="1276"/>
      <c r="AA86" s="1276"/>
      <c r="AB86" s="1276"/>
      <c r="AC86" s="1276"/>
      <c r="AD86" s="1276"/>
      <c r="AE86" s="1276"/>
      <c r="AF86" s="326"/>
      <c r="AH86" s="1277" t="s">
        <v>331</v>
      </c>
      <c r="AI86" s="1277"/>
      <c r="AJ86" s="1277"/>
      <c r="AK86" s="1277"/>
      <c r="AL86" s="1277"/>
      <c r="AM86" s="1277"/>
      <c r="AN86" s="1277"/>
      <c r="AO86" s="32"/>
      <c r="AP86" s="32"/>
      <c r="AQ86" s="32"/>
      <c r="AR86" s="29"/>
      <c r="AS86" s="30"/>
    </row>
    <row r="87" spans="1:45" ht="12.75" customHeight="1" x14ac:dyDescent="0.2">
      <c r="A87" s="30"/>
      <c r="B87" s="1278" t="s">
        <v>0</v>
      </c>
      <c r="C87" s="1220" t="s">
        <v>213</v>
      </c>
      <c r="D87" s="1221"/>
      <c r="E87" s="1221"/>
      <c r="F87" s="1221"/>
      <c r="G87" s="1222"/>
      <c r="H87" s="1217" t="s">
        <v>352</v>
      </c>
      <c r="I87" s="1220" t="s">
        <v>211</v>
      </c>
      <c r="J87" s="1221"/>
      <c r="K87" s="1222"/>
      <c r="L87" s="1220" t="s">
        <v>212</v>
      </c>
      <c r="M87" s="1221"/>
      <c r="N87" s="1222"/>
      <c r="O87" s="1220" t="s">
        <v>330</v>
      </c>
      <c r="P87" s="1221"/>
      <c r="Q87" s="1223" t="s">
        <v>349</v>
      </c>
      <c r="R87" s="1255" t="s">
        <v>25</v>
      </c>
      <c r="S87" s="1256"/>
      <c r="T87" s="33"/>
      <c r="U87" s="27"/>
      <c r="V87" s="1248" t="s">
        <v>23</v>
      </c>
      <c r="W87" s="1249"/>
      <c r="X87" s="1249"/>
      <c r="Y87" s="1249"/>
      <c r="Z87" s="1250"/>
      <c r="AA87" s="1251"/>
      <c r="AB87" s="1252"/>
      <c r="AC87" s="1252"/>
      <c r="AD87" s="1252"/>
      <c r="AE87" s="1252"/>
      <c r="AF87" s="1252"/>
      <c r="AG87" s="1253"/>
      <c r="AH87" s="1248" t="s">
        <v>330</v>
      </c>
      <c r="AI87" s="1286"/>
      <c r="AJ87" s="1286"/>
      <c r="AK87" s="1286"/>
      <c r="AL87" s="1286"/>
      <c r="AM87" s="1286"/>
      <c r="AN87" s="1287"/>
      <c r="AO87" s="30"/>
      <c r="AP87" s="1236" t="s">
        <v>221</v>
      </c>
      <c r="AQ87" s="1237"/>
      <c r="AR87" s="1237"/>
      <c r="AS87" s="1238"/>
    </row>
    <row r="88" spans="1:45" ht="12.75" customHeight="1" x14ac:dyDescent="0.2">
      <c r="A88" s="30"/>
      <c r="B88" s="1279"/>
      <c r="C88" s="1281" t="str">
        <f>IF($F$65=$AA$63,"Inside Shoulder","Left Shoulder")</f>
        <v>Left Shoulder</v>
      </c>
      <c r="D88" s="1282"/>
      <c r="E88" s="1226" t="s">
        <v>26</v>
      </c>
      <c r="F88" s="1282" t="str">
        <f>IF($F$65=$AA$63,"Outside Shoulder","Right Shoulder")</f>
        <v>Right Shoulder</v>
      </c>
      <c r="G88" s="1283"/>
      <c r="H88" s="1218"/>
      <c r="I88" s="1284" t="s">
        <v>26</v>
      </c>
      <c r="J88" s="1282" t="s">
        <v>27</v>
      </c>
      <c r="K88" s="1283"/>
      <c r="L88" s="132" t="str">
        <f>IF($AC$6=$AA$63, "Asphalt",IF(AG6=AE63,AG6,IF(AG6=AE64,"Asphalt","Scarifi-")))</f>
        <v>Scarifi-</v>
      </c>
      <c r="M88" s="1226" t="s">
        <v>1</v>
      </c>
      <c r="N88" s="195" t="s">
        <v>24</v>
      </c>
      <c r="O88" s="34" t="s">
        <v>31</v>
      </c>
      <c r="P88" s="35" t="s">
        <v>33</v>
      </c>
      <c r="Q88" s="1200"/>
      <c r="R88" s="1257"/>
      <c r="S88" s="1258"/>
      <c r="T88" s="36"/>
      <c r="U88" s="27"/>
      <c r="V88" s="1230" t="str">
        <f>IF($AC$6=$AA$63, "Asphalt (2nd)",IF(AG6=AE63,AG6,IF(AG6=AE64,AG6,"Scarification")))</f>
        <v>Scarification</v>
      </c>
      <c r="W88" s="1231"/>
      <c r="X88" s="1232" t="s">
        <v>364</v>
      </c>
      <c r="Y88" s="1234" t="s">
        <v>24</v>
      </c>
      <c r="Z88" s="1235"/>
      <c r="AA88" s="1254"/>
      <c r="AB88" s="1252"/>
      <c r="AC88" s="1252"/>
      <c r="AD88" s="1252"/>
      <c r="AE88" s="1252"/>
      <c r="AF88" s="1252"/>
      <c r="AG88" s="1253"/>
      <c r="AH88" s="1264" t="s">
        <v>166</v>
      </c>
      <c r="AI88" s="1239" t="s">
        <v>332</v>
      </c>
      <c r="AJ88" s="1241" t="s">
        <v>333</v>
      </c>
      <c r="AK88" s="1243" t="s">
        <v>334</v>
      </c>
      <c r="AL88" s="1244"/>
      <c r="AM88" s="1245"/>
      <c r="AN88" s="1246" t="s">
        <v>335</v>
      </c>
      <c r="AO88" s="30"/>
      <c r="AP88" s="1229" t="s">
        <v>26</v>
      </c>
      <c r="AQ88" s="1229"/>
      <c r="AR88" s="1229" t="s">
        <v>27</v>
      </c>
      <c r="AS88" s="1229"/>
    </row>
    <row r="89" spans="1:45" ht="12.75" customHeight="1" thickBot="1" x14ac:dyDescent="0.25">
      <c r="A89" s="30"/>
      <c r="B89" s="1280"/>
      <c r="C89" s="23" t="s">
        <v>22</v>
      </c>
      <c r="D89" s="137" t="s">
        <v>21</v>
      </c>
      <c r="E89" s="1227"/>
      <c r="F89" s="137" t="s">
        <v>21</v>
      </c>
      <c r="G89" s="25" t="s">
        <v>22</v>
      </c>
      <c r="H89" s="1219"/>
      <c r="I89" s="1285"/>
      <c r="J89" s="137" t="str">
        <f>IF($W$56=$AA$59,$AA$59,"HMA")</f>
        <v>HMA</v>
      </c>
      <c r="K89" s="25" t="s">
        <v>22</v>
      </c>
      <c r="L89" s="133" t="str">
        <f>IF($AC$6=$AA$63,$AE$6&amp;" in.",IF(AG6=AE63,0,IF(AG6=AE64,"Removal","cation")))</f>
        <v>cation</v>
      </c>
      <c r="M89" s="1227"/>
      <c r="N89" s="1029">
        <f>$AA$6</f>
        <v>0</v>
      </c>
      <c r="O89" s="37" t="s">
        <v>19</v>
      </c>
      <c r="P89" s="38" t="s">
        <v>19</v>
      </c>
      <c r="Q89" s="39" t="s">
        <v>19</v>
      </c>
      <c r="R89" s="1259"/>
      <c r="S89" s="1260"/>
      <c r="T89" s="31"/>
      <c r="U89" s="27"/>
      <c r="V89" s="71" t="s">
        <v>26</v>
      </c>
      <c r="W89" s="590" t="s">
        <v>28</v>
      </c>
      <c r="X89" s="1233"/>
      <c r="Y89" s="590" t="s">
        <v>26</v>
      </c>
      <c r="Z89" s="591" t="s">
        <v>28</v>
      </c>
      <c r="AA89" s="794"/>
      <c r="AB89" s="40"/>
      <c r="AC89" s="401"/>
      <c r="AD89" s="401"/>
      <c r="AE89" s="795"/>
      <c r="AF89" s="795"/>
      <c r="AG89" s="796"/>
      <c r="AH89" s="1265"/>
      <c r="AI89" s="1240"/>
      <c r="AJ89" s="1242"/>
      <c r="AK89" s="41" t="s">
        <v>63</v>
      </c>
      <c r="AL89" s="42" t="s">
        <v>64</v>
      </c>
      <c r="AM89" s="43" t="s">
        <v>336</v>
      </c>
      <c r="AN89" s="1247"/>
      <c r="AO89" s="30"/>
      <c r="AP89" s="21" t="s">
        <v>225</v>
      </c>
      <c r="AQ89" s="22" t="s">
        <v>222</v>
      </c>
      <c r="AR89" s="21" t="s">
        <v>225</v>
      </c>
      <c r="AS89" s="22" t="s">
        <v>222</v>
      </c>
    </row>
    <row r="90" spans="1:45" ht="12.75" customHeight="1" thickBot="1" x14ac:dyDescent="0.25">
      <c r="A90" s="30"/>
      <c r="B90" s="121"/>
      <c r="C90" s="44"/>
      <c r="D90" s="45"/>
      <c r="E90" s="46"/>
      <c r="F90" s="45"/>
      <c r="G90" s="122"/>
      <c r="H90" s="123"/>
      <c r="I90" s="47"/>
      <c r="J90" s="48"/>
      <c r="K90" s="49"/>
      <c r="L90" s="47"/>
      <c r="M90" s="50"/>
      <c r="N90" s="49"/>
      <c r="O90" s="47"/>
      <c r="P90" s="48"/>
      <c r="Q90" s="49"/>
      <c r="R90" s="1261"/>
      <c r="S90" s="1262"/>
      <c r="T90" s="36"/>
      <c r="U90" s="27"/>
      <c r="V90" s="191" t="s">
        <v>30</v>
      </c>
      <c r="W90" s="192" t="s">
        <v>30</v>
      </c>
      <c r="X90" s="192" t="s">
        <v>29</v>
      </c>
      <c r="Y90" s="192" t="s">
        <v>30</v>
      </c>
      <c r="Z90" s="193" t="s">
        <v>30</v>
      </c>
      <c r="AA90" s="797"/>
      <c r="AB90" s="401"/>
      <c r="AC90" s="40"/>
      <c r="AD90" s="401"/>
      <c r="AE90" s="798"/>
      <c r="AF90" s="798"/>
      <c r="AG90" s="796"/>
      <c r="AH90" s="51">
        <f t="shared" ref="AH90:AH109" si="31">B90</f>
        <v>0</v>
      </c>
      <c r="AI90" s="52"/>
      <c r="AJ90" s="53"/>
      <c r="AK90" s="54">
        <f t="shared" ref="AK90:AK130" si="32">IF(D90&gt;4,1,IF(AND(D90=0,$X$49=$AA$63,$AA$49=$AA$64),1,0))</f>
        <v>0</v>
      </c>
      <c r="AL90" s="1049">
        <f t="shared" ref="AL90:AL130" si="33">IF(F90&gt;4,1,IF(AND(F90=0,$X$49=$AA$63,$AA$49=$AA$64),1,0))</f>
        <v>0</v>
      </c>
      <c r="AM90" s="53"/>
      <c r="AN90" s="55"/>
      <c r="AO90" s="30"/>
      <c r="AP90" s="41" t="s">
        <v>224</v>
      </c>
      <c r="AQ90" s="43" t="s">
        <v>223</v>
      </c>
      <c r="AR90" s="41" t="s">
        <v>224</v>
      </c>
      <c r="AS90" s="43" t="s">
        <v>223</v>
      </c>
    </row>
    <row r="91" spans="1:45" x14ac:dyDescent="0.2">
      <c r="A91" s="30"/>
      <c r="B91" s="56"/>
      <c r="C91" s="57"/>
      <c r="D91" s="58"/>
      <c r="E91" s="59"/>
      <c r="F91" s="58"/>
      <c r="G91" s="60"/>
      <c r="H91" s="123"/>
      <c r="I91" s="62">
        <f>((E90+E91)/2*($B91-$B90))/9</f>
        <v>0</v>
      </c>
      <c r="J91" s="63">
        <f>(((D90+D91)/2+(F90+F91)/2)*($B91-$B90))/9</f>
        <v>0</v>
      </c>
      <c r="K91" s="64">
        <f>(((C90+C91)/2+(G90+G91)/2)*ABS($B91-$B90))/9</f>
        <v>0</v>
      </c>
      <c r="L91" s="62">
        <f>IF(V91="x",$I91,0)+IF(W91="x",$J91,0)-IF(AND($M91&gt;0,OR(V91="x",W91="x")),$M91,0)</f>
        <v>0</v>
      </c>
      <c r="M91" s="65">
        <f>X91</f>
        <v>0</v>
      </c>
      <c r="N91" s="64">
        <f>IF($Y91="x",$I91,0)+IF($Z91="x",$J91,0)-IF(AND($M91&gt;0,OR(Y91="x",Z91="x")),$M91,0)</f>
        <v>0</v>
      </c>
      <c r="O91" s="135">
        <f t="shared" ref="O91:O130" si="34">IF(AND(AI90&gt;0,OR($W$52=$AA$54,$W$52=$AA$55)),AN91*ABS(B91-B90),IF(AND(AI90=0,OR($W$52=$AA$54,$W$52=$AA$55)),"see to RT",0))</f>
        <v>0</v>
      </c>
      <c r="P91" s="136">
        <f>IF(H91=$AQ$6,O91,0)</f>
        <v>0</v>
      </c>
      <c r="Q91" s="64">
        <f>O91</f>
        <v>0</v>
      </c>
      <c r="R91" s="1188"/>
      <c r="S91" s="1189"/>
      <c r="T91" s="36"/>
      <c r="U91" s="27"/>
      <c r="V91" s="52"/>
      <c r="W91" s="66"/>
      <c r="X91" s="129"/>
      <c r="Y91" s="66"/>
      <c r="Z91" s="67"/>
      <c r="AA91" s="30">
        <f t="shared" ref="AA91:AA130" si="35">IF($AC$6=$AA$63,0,IF(OR(AND(V91="x",Y91="x"),AND(W91="x",Z91="x")),"pick only 1 type of milling",0))</f>
        <v>0</v>
      </c>
      <c r="AB91" s="30"/>
      <c r="AC91" s="30"/>
      <c r="AD91" s="30"/>
      <c r="AE91" s="30"/>
      <c r="AF91" s="30"/>
      <c r="AG91" s="30"/>
      <c r="AH91" s="68">
        <f t="shared" si="31"/>
        <v>0</v>
      </c>
      <c r="AI91" s="69"/>
      <c r="AJ91" s="1048">
        <f t="shared" ref="AJ91:AJ109" si="36">IF(ABS(AI90-AI91)&gt;0,MAX(AI90,AI91),AI90)</f>
        <v>0</v>
      </c>
      <c r="AK91" s="54">
        <f t="shared" si="32"/>
        <v>0</v>
      </c>
      <c r="AL91" s="1049">
        <f t="shared" si="33"/>
        <v>0</v>
      </c>
      <c r="AM91" s="1048">
        <f t="shared" ref="AM91:AM109" si="37">IF(ABS(AK90-AK91)&gt;0,MAX(AK90,AK91),AK90)+IF(ABS(AL90-AL91)&gt;0,MAX(AL90,AL91),AL90)</f>
        <v>0</v>
      </c>
      <c r="AN91" s="73">
        <f t="shared" ref="AN91:AN109" si="38">AJ91+AM91-1</f>
        <v>-1</v>
      </c>
      <c r="AO91" s="30"/>
      <c r="AP91" s="196">
        <f t="shared" ref="AP91:AP130" si="39">IF(H91=$AP$6,I91,0)</f>
        <v>0</v>
      </c>
      <c r="AQ91" s="197">
        <f t="shared" ref="AQ91:AQ130" si="40">IF(H91=$AQ$6,I91,0)</f>
        <v>0</v>
      </c>
      <c r="AR91" s="196">
        <f t="shared" ref="AR91:AR130" si="41">IF(H91=$AR$6,J91,0)</f>
        <v>0</v>
      </c>
      <c r="AS91" s="197">
        <f t="shared" ref="AS91:AS130" si="42">IF(H91=$AS$6,J91,0)</f>
        <v>0</v>
      </c>
    </row>
    <row r="92" spans="1:45" x14ac:dyDescent="0.2">
      <c r="A92" s="30"/>
      <c r="B92" s="56"/>
      <c r="C92" s="57"/>
      <c r="D92" s="58"/>
      <c r="E92" s="59"/>
      <c r="F92" s="58"/>
      <c r="G92" s="60"/>
      <c r="H92" s="123"/>
      <c r="I92" s="62">
        <f t="shared" ref="I92:I130" si="43">((E91+E92)/2*($B92-$B91))/9</f>
        <v>0</v>
      </c>
      <c r="J92" s="63">
        <f t="shared" ref="J92:J130" si="44">(((D91+D92)/2+(F91+F92)/2)*($B92-$B91))/9</f>
        <v>0</v>
      </c>
      <c r="K92" s="64">
        <f t="shared" ref="K92:K130" si="45">(((C91+C92)/2+(G91+G92)/2)*ABS($B92-$B91))/9</f>
        <v>0</v>
      </c>
      <c r="L92" s="62">
        <f t="shared" ref="L92:L130" si="46">IF(V92="x",$I92,0)+IF(W92="x",$J92,0)-IF(AND($M92&gt;0,OR(V92="x",W92="x")),$M92,0)</f>
        <v>0</v>
      </c>
      <c r="M92" s="65">
        <f t="shared" ref="M92:M130" si="47">X92</f>
        <v>0</v>
      </c>
      <c r="N92" s="64">
        <f t="shared" ref="N92:N130" si="48">IF($Y92="x",$I92,0)+IF($Z92="x",$J92,0)-IF(AND($M92&gt;0,OR(Y92="x",Z92="x")),$M92,0)</f>
        <v>0</v>
      </c>
      <c r="O92" s="135">
        <f t="shared" si="34"/>
        <v>0</v>
      </c>
      <c r="P92" s="136">
        <f t="shared" ref="P92:P130" si="49">IF(H92=$AQ$6,O92,0)</f>
        <v>0</v>
      </c>
      <c r="Q92" s="64">
        <f t="shared" ref="Q92:Q130" si="50">O92</f>
        <v>0</v>
      </c>
      <c r="R92" s="1188"/>
      <c r="S92" s="1189"/>
      <c r="T92" s="36"/>
      <c r="U92" s="27"/>
      <c r="V92" s="69"/>
      <c r="W92" s="74"/>
      <c r="X92" s="129"/>
      <c r="Y92" s="74"/>
      <c r="Z92" s="75"/>
      <c r="AA92" s="30">
        <f t="shared" si="35"/>
        <v>0</v>
      </c>
      <c r="AB92" s="30"/>
      <c r="AC92" s="30"/>
      <c r="AD92" s="30"/>
      <c r="AE92" s="30"/>
      <c r="AF92" s="30"/>
      <c r="AG92" s="30"/>
      <c r="AH92" s="68">
        <f t="shared" si="31"/>
        <v>0</v>
      </c>
      <c r="AI92" s="69"/>
      <c r="AJ92" s="1048">
        <f t="shared" si="36"/>
        <v>0</v>
      </c>
      <c r="AK92" s="54">
        <f t="shared" si="32"/>
        <v>0</v>
      </c>
      <c r="AL92" s="1049">
        <f t="shared" si="33"/>
        <v>0</v>
      </c>
      <c r="AM92" s="1048">
        <f t="shared" si="37"/>
        <v>0</v>
      </c>
      <c r="AN92" s="73">
        <f t="shared" si="38"/>
        <v>-1</v>
      </c>
      <c r="AO92" s="30"/>
      <c r="AP92" s="196">
        <f t="shared" si="39"/>
        <v>0</v>
      </c>
      <c r="AQ92" s="197">
        <f t="shared" si="40"/>
        <v>0</v>
      </c>
      <c r="AR92" s="196">
        <f t="shared" si="41"/>
        <v>0</v>
      </c>
      <c r="AS92" s="197">
        <f t="shared" si="42"/>
        <v>0</v>
      </c>
    </row>
    <row r="93" spans="1:45" x14ac:dyDescent="0.2">
      <c r="A93" s="30"/>
      <c r="B93" s="56"/>
      <c r="C93" s="57"/>
      <c r="D93" s="58"/>
      <c r="E93" s="59"/>
      <c r="F93" s="58"/>
      <c r="G93" s="60"/>
      <c r="H93" s="61"/>
      <c r="I93" s="62">
        <f t="shared" si="43"/>
        <v>0</v>
      </c>
      <c r="J93" s="63">
        <f t="shared" si="44"/>
        <v>0</v>
      </c>
      <c r="K93" s="64">
        <f t="shared" si="45"/>
        <v>0</v>
      </c>
      <c r="L93" s="62">
        <f t="shared" si="46"/>
        <v>0</v>
      </c>
      <c r="M93" s="65">
        <f t="shared" si="47"/>
        <v>0</v>
      </c>
      <c r="N93" s="64">
        <f t="shared" si="48"/>
        <v>0</v>
      </c>
      <c r="O93" s="135">
        <f t="shared" si="34"/>
        <v>0</v>
      </c>
      <c r="P93" s="136">
        <f t="shared" si="49"/>
        <v>0</v>
      </c>
      <c r="Q93" s="64">
        <f t="shared" si="50"/>
        <v>0</v>
      </c>
      <c r="R93" s="1188"/>
      <c r="S93" s="1189"/>
      <c r="T93" s="36"/>
      <c r="U93" s="27"/>
      <c r="V93" s="69"/>
      <c r="W93" s="74"/>
      <c r="X93" s="129"/>
      <c r="Y93" s="74"/>
      <c r="Z93" s="75"/>
      <c r="AA93" s="30">
        <f t="shared" si="35"/>
        <v>0</v>
      </c>
      <c r="AB93" s="327"/>
      <c r="AC93" s="327"/>
      <c r="AD93" s="327"/>
      <c r="AE93" s="327"/>
      <c r="AF93" s="327"/>
      <c r="AG93" s="328"/>
      <c r="AH93" s="68">
        <f t="shared" si="31"/>
        <v>0</v>
      </c>
      <c r="AI93" s="69"/>
      <c r="AJ93" s="1048">
        <f t="shared" si="36"/>
        <v>0</v>
      </c>
      <c r="AK93" s="54">
        <f t="shared" si="32"/>
        <v>0</v>
      </c>
      <c r="AL93" s="1049">
        <f t="shared" si="33"/>
        <v>0</v>
      </c>
      <c r="AM93" s="1048">
        <f t="shared" si="37"/>
        <v>0</v>
      </c>
      <c r="AN93" s="73">
        <f t="shared" si="38"/>
        <v>-1</v>
      </c>
      <c r="AO93" s="30"/>
      <c r="AP93" s="196">
        <f t="shared" si="39"/>
        <v>0</v>
      </c>
      <c r="AQ93" s="197">
        <f t="shared" si="40"/>
        <v>0</v>
      </c>
      <c r="AR93" s="196">
        <f t="shared" si="41"/>
        <v>0</v>
      </c>
      <c r="AS93" s="197">
        <f t="shared" si="42"/>
        <v>0</v>
      </c>
    </row>
    <row r="94" spans="1:45" x14ac:dyDescent="0.2">
      <c r="A94" s="30"/>
      <c r="B94" s="56"/>
      <c r="C94" s="57"/>
      <c r="D94" s="58"/>
      <c r="E94" s="59"/>
      <c r="F94" s="58"/>
      <c r="G94" s="60"/>
      <c r="H94" s="61"/>
      <c r="I94" s="62">
        <f t="shared" si="43"/>
        <v>0</v>
      </c>
      <c r="J94" s="63">
        <f t="shared" si="44"/>
        <v>0</v>
      </c>
      <c r="K94" s="64">
        <f t="shared" si="45"/>
        <v>0</v>
      </c>
      <c r="L94" s="62">
        <f t="shared" si="46"/>
        <v>0</v>
      </c>
      <c r="M94" s="65">
        <f t="shared" si="47"/>
        <v>0</v>
      </c>
      <c r="N94" s="64">
        <f t="shared" si="48"/>
        <v>0</v>
      </c>
      <c r="O94" s="135">
        <f t="shared" si="34"/>
        <v>0</v>
      </c>
      <c r="P94" s="136">
        <f t="shared" si="49"/>
        <v>0</v>
      </c>
      <c r="Q94" s="64">
        <f t="shared" si="50"/>
        <v>0</v>
      </c>
      <c r="R94" s="1188"/>
      <c r="S94" s="1189"/>
      <c r="T94" s="36"/>
      <c r="U94" s="27"/>
      <c r="V94" s="69"/>
      <c r="W94" s="74"/>
      <c r="X94" s="129"/>
      <c r="Y94" s="74"/>
      <c r="Z94" s="75"/>
      <c r="AA94" s="30">
        <f t="shared" si="35"/>
        <v>0</v>
      </c>
      <c r="AB94" s="327"/>
      <c r="AC94" s="327"/>
      <c r="AD94" s="327"/>
      <c r="AE94" s="327"/>
      <c r="AF94" s="327"/>
      <c r="AG94" s="328"/>
      <c r="AH94" s="68">
        <f t="shared" si="31"/>
        <v>0</v>
      </c>
      <c r="AI94" s="69"/>
      <c r="AJ94" s="1048">
        <f t="shared" si="36"/>
        <v>0</v>
      </c>
      <c r="AK94" s="54">
        <f t="shared" si="32"/>
        <v>0</v>
      </c>
      <c r="AL94" s="1049">
        <f t="shared" si="33"/>
        <v>0</v>
      </c>
      <c r="AM94" s="1048">
        <f t="shared" si="37"/>
        <v>0</v>
      </c>
      <c r="AN94" s="73">
        <f t="shared" si="38"/>
        <v>-1</v>
      </c>
      <c r="AO94" s="30"/>
      <c r="AP94" s="196">
        <f t="shared" si="39"/>
        <v>0</v>
      </c>
      <c r="AQ94" s="197">
        <f t="shared" si="40"/>
        <v>0</v>
      </c>
      <c r="AR94" s="196">
        <f t="shared" si="41"/>
        <v>0</v>
      </c>
      <c r="AS94" s="197">
        <f t="shared" si="42"/>
        <v>0</v>
      </c>
    </row>
    <row r="95" spans="1:45" x14ac:dyDescent="0.2">
      <c r="A95" s="30"/>
      <c r="B95" s="56"/>
      <c r="C95" s="57"/>
      <c r="D95" s="58"/>
      <c r="E95" s="59"/>
      <c r="F95" s="58"/>
      <c r="G95" s="60"/>
      <c r="H95" s="61"/>
      <c r="I95" s="62">
        <f t="shared" si="43"/>
        <v>0</v>
      </c>
      <c r="J95" s="63">
        <f t="shared" si="44"/>
        <v>0</v>
      </c>
      <c r="K95" s="64">
        <f t="shared" si="45"/>
        <v>0</v>
      </c>
      <c r="L95" s="62">
        <f t="shared" si="46"/>
        <v>0</v>
      </c>
      <c r="M95" s="65">
        <f t="shared" si="47"/>
        <v>0</v>
      </c>
      <c r="N95" s="64">
        <f t="shared" si="48"/>
        <v>0</v>
      </c>
      <c r="O95" s="135">
        <f t="shared" si="34"/>
        <v>0</v>
      </c>
      <c r="P95" s="136">
        <f t="shared" si="49"/>
        <v>0</v>
      </c>
      <c r="Q95" s="64">
        <f t="shared" si="50"/>
        <v>0</v>
      </c>
      <c r="R95" s="1188"/>
      <c r="S95" s="1189"/>
      <c r="T95" s="36"/>
      <c r="U95" s="27"/>
      <c r="V95" s="69"/>
      <c r="W95" s="74"/>
      <c r="X95" s="129"/>
      <c r="Y95" s="74"/>
      <c r="Z95" s="75"/>
      <c r="AA95" s="30">
        <f t="shared" si="35"/>
        <v>0</v>
      </c>
      <c r="AB95" s="327"/>
      <c r="AC95" s="327"/>
      <c r="AD95" s="327"/>
      <c r="AE95" s="327"/>
      <c r="AF95" s="327"/>
      <c r="AG95" s="328"/>
      <c r="AH95" s="68">
        <f t="shared" si="31"/>
        <v>0</v>
      </c>
      <c r="AI95" s="69"/>
      <c r="AJ95" s="1048">
        <f t="shared" si="36"/>
        <v>0</v>
      </c>
      <c r="AK95" s="54">
        <f t="shared" si="32"/>
        <v>0</v>
      </c>
      <c r="AL95" s="1049">
        <f t="shared" si="33"/>
        <v>0</v>
      </c>
      <c r="AM95" s="1048">
        <f t="shared" si="37"/>
        <v>0</v>
      </c>
      <c r="AN95" s="73">
        <f t="shared" si="38"/>
        <v>-1</v>
      </c>
      <c r="AO95" s="30"/>
      <c r="AP95" s="196">
        <f t="shared" si="39"/>
        <v>0</v>
      </c>
      <c r="AQ95" s="197">
        <f t="shared" si="40"/>
        <v>0</v>
      </c>
      <c r="AR95" s="196">
        <f t="shared" si="41"/>
        <v>0</v>
      </c>
      <c r="AS95" s="197">
        <f t="shared" si="42"/>
        <v>0</v>
      </c>
    </row>
    <row r="96" spans="1:45" x14ac:dyDescent="0.2">
      <c r="A96" s="30"/>
      <c r="B96" s="56"/>
      <c r="C96" s="57"/>
      <c r="D96" s="58"/>
      <c r="E96" s="59"/>
      <c r="F96" s="58"/>
      <c r="G96" s="60"/>
      <c r="H96" s="61"/>
      <c r="I96" s="62">
        <f t="shared" si="43"/>
        <v>0</v>
      </c>
      <c r="J96" s="63">
        <f t="shared" si="44"/>
        <v>0</v>
      </c>
      <c r="K96" s="64">
        <f t="shared" si="45"/>
        <v>0</v>
      </c>
      <c r="L96" s="62">
        <f t="shared" si="46"/>
        <v>0</v>
      </c>
      <c r="M96" s="65">
        <f t="shared" si="47"/>
        <v>0</v>
      </c>
      <c r="N96" s="64">
        <f t="shared" si="48"/>
        <v>0</v>
      </c>
      <c r="O96" s="135">
        <f t="shared" si="34"/>
        <v>0</v>
      </c>
      <c r="P96" s="136">
        <f t="shared" si="49"/>
        <v>0</v>
      </c>
      <c r="Q96" s="64">
        <f t="shared" si="50"/>
        <v>0</v>
      </c>
      <c r="R96" s="1188"/>
      <c r="S96" s="1189"/>
      <c r="T96" s="36"/>
      <c r="U96" s="27"/>
      <c r="V96" s="69"/>
      <c r="W96" s="74"/>
      <c r="X96" s="129"/>
      <c r="Y96" s="74"/>
      <c r="Z96" s="75"/>
      <c r="AA96" s="30">
        <f t="shared" si="35"/>
        <v>0</v>
      </c>
      <c r="AB96" s="327"/>
      <c r="AC96" s="327"/>
      <c r="AD96" s="327"/>
      <c r="AE96" s="327"/>
      <c r="AF96" s="327"/>
      <c r="AG96" s="328"/>
      <c r="AH96" s="68">
        <f t="shared" si="31"/>
        <v>0</v>
      </c>
      <c r="AI96" s="69"/>
      <c r="AJ96" s="1048">
        <f t="shared" si="36"/>
        <v>0</v>
      </c>
      <c r="AK96" s="54">
        <f t="shared" si="32"/>
        <v>0</v>
      </c>
      <c r="AL96" s="1049">
        <f t="shared" si="33"/>
        <v>0</v>
      </c>
      <c r="AM96" s="1048">
        <f t="shared" si="37"/>
        <v>0</v>
      </c>
      <c r="AN96" s="73">
        <f t="shared" si="38"/>
        <v>-1</v>
      </c>
      <c r="AO96" s="30"/>
      <c r="AP96" s="196">
        <f t="shared" si="39"/>
        <v>0</v>
      </c>
      <c r="AQ96" s="197">
        <f t="shared" si="40"/>
        <v>0</v>
      </c>
      <c r="AR96" s="196">
        <f t="shared" si="41"/>
        <v>0</v>
      </c>
      <c r="AS96" s="197">
        <f t="shared" si="42"/>
        <v>0</v>
      </c>
    </row>
    <row r="97" spans="1:45" x14ac:dyDescent="0.2">
      <c r="A97" s="30"/>
      <c r="B97" s="56"/>
      <c r="C97" s="57"/>
      <c r="D97" s="58"/>
      <c r="E97" s="76"/>
      <c r="F97" s="58"/>
      <c r="G97" s="60"/>
      <c r="H97" s="61"/>
      <c r="I97" s="62">
        <f t="shared" si="43"/>
        <v>0</v>
      </c>
      <c r="J97" s="63">
        <f t="shared" si="44"/>
        <v>0</v>
      </c>
      <c r="K97" s="64">
        <f t="shared" si="45"/>
        <v>0</v>
      </c>
      <c r="L97" s="62">
        <f t="shared" si="46"/>
        <v>0</v>
      </c>
      <c r="M97" s="65">
        <f t="shared" si="47"/>
        <v>0</v>
      </c>
      <c r="N97" s="64">
        <f t="shared" si="48"/>
        <v>0</v>
      </c>
      <c r="O97" s="135">
        <f t="shared" si="34"/>
        <v>0</v>
      </c>
      <c r="P97" s="136">
        <f t="shared" si="49"/>
        <v>0</v>
      </c>
      <c r="Q97" s="64">
        <f t="shared" si="50"/>
        <v>0</v>
      </c>
      <c r="R97" s="1188"/>
      <c r="S97" s="1189"/>
      <c r="T97" s="36"/>
      <c r="U97" s="27"/>
      <c r="V97" s="69"/>
      <c r="W97" s="74"/>
      <c r="X97" s="129"/>
      <c r="Y97" s="74"/>
      <c r="Z97" s="75"/>
      <c r="AA97" s="30">
        <f t="shared" si="35"/>
        <v>0</v>
      </c>
      <c r="AB97" s="327"/>
      <c r="AC97" s="327"/>
      <c r="AD97" s="327"/>
      <c r="AE97" s="327"/>
      <c r="AF97" s="327"/>
      <c r="AG97" s="328"/>
      <c r="AH97" s="68">
        <f t="shared" si="31"/>
        <v>0</v>
      </c>
      <c r="AI97" s="69"/>
      <c r="AJ97" s="1048">
        <f t="shared" si="36"/>
        <v>0</v>
      </c>
      <c r="AK97" s="54">
        <f t="shared" si="32"/>
        <v>0</v>
      </c>
      <c r="AL97" s="1049">
        <f t="shared" si="33"/>
        <v>0</v>
      </c>
      <c r="AM97" s="1048">
        <f t="shared" si="37"/>
        <v>0</v>
      </c>
      <c r="AN97" s="73">
        <f t="shared" si="38"/>
        <v>-1</v>
      </c>
      <c r="AO97" s="30"/>
      <c r="AP97" s="196">
        <f t="shared" si="39"/>
        <v>0</v>
      </c>
      <c r="AQ97" s="197">
        <f t="shared" si="40"/>
        <v>0</v>
      </c>
      <c r="AR97" s="196">
        <f t="shared" si="41"/>
        <v>0</v>
      </c>
      <c r="AS97" s="197">
        <f t="shared" si="42"/>
        <v>0</v>
      </c>
    </row>
    <row r="98" spans="1:45" x14ac:dyDescent="0.2">
      <c r="A98" s="30"/>
      <c r="B98" s="56"/>
      <c r="C98" s="57"/>
      <c r="D98" s="58"/>
      <c r="E98" s="76"/>
      <c r="F98" s="58"/>
      <c r="G98" s="60"/>
      <c r="H98" s="61"/>
      <c r="I98" s="62">
        <f t="shared" si="43"/>
        <v>0</v>
      </c>
      <c r="J98" s="63">
        <f t="shared" si="44"/>
        <v>0</v>
      </c>
      <c r="K98" s="64">
        <f t="shared" si="45"/>
        <v>0</v>
      </c>
      <c r="L98" s="62">
        <f t="shared" si="46"/>
        <v>0</v>
      </c>
      <c r="M98" s="65">
        <f t="shared" si="47"/>
        <v>0</v>
      </c>
      <c r="N98" s="64">
        <f t="shared" si="48"/>
        <v>0</v>
      </c>
      <c r="O98" s="135">
        <f t="shared" si="34"/>
        <v>0</v>
      </c>
      <c r="P98" s="136">
        <f t="shared" si="49"/>
        <v>0</v>
      </c>
      <c r="Q98" s="64">
        <f t="shared" si="50"/>
        <v>0</v>
      </c>
      <c r="R98" s="1188"/>
      <c r="S98" s="1189"/>
      <c r="T98" s="36"/>
      <c r="U98" s="27"/>
      <c r="V98" s="69"/>
      <c r="W98" s="74"/>
      <c r="X98" s="129"/>
      <c r="Y98" s="74"/>
      <c r="Z98" s="75"/>
      <c r="AA98" s="30">
        <f t="shared" si="35"/>
        <v>0</v>
      </c>
      <c r="AB98" s="327"/>
      <c r="AC98" s="327"/>
      <c r="AD98" s="327"/>
      <c r="AE98" s="327"/>
      <c r="AF98" s="327"/>
      <c r="AG98" s="328"/>
      <c r="AH98" s="68">
        <f t="shared" si="31"/>
        <v>0</v>
      </c>
      <c r="AI98" s="69"/>
      <c r="AJ98" s="1048">
        <f t="shared" si="36"/>
        <v>0</v>
      </c>
      <c r="AK98" s="54">
        <f t="shared" si="32"/>
        <v>0</v>
      </c>
      <c r="AL98" s="1049">
        <f t="shared" si="33"/>
        <v>0</v>
      </c>
      <c r="AM98" s="1048">
        <f t="shared" si="37"/>
        <v>0</v>
      </c>
      <c r="AN98" s="73">
        <f t="shared" si="38"/>
        <v>-1</v>
      </c>
      <c r="AO98" s="30"/>
      <c r="AP98" s="196">
        <f t="shared" si="39"/>
        <v>0</v>
      </c>
      <c r="AQ98" s="197">
        <f t="shared" si="40"/>
        <v>0</v>
      </c>
      <c r="AR98" s="196">
        <f t="shared" si="41"/>
        <v>0</v>
      </c>
      <c r="AS98" s="197">
        <f t="shared" si="42"/>
        <v>0</v>
      </c>
    </row>
    <row r="99" spans="1:45" x14ac:dyDescent="0.2">
      <c r="A99" s="30"/>
      <c r="B99" s="56"/>
      <c r="C99" s="57"/>
      <c r="D99" s="58"/>
      <c r="E99" s="76"/>
      <c r="F99" s="58"/>
      <c r="G99" s="60"/>
      <c r="H99" s="61"/>
      <c r="I99" s="62">
        <f t="shared" si="43"/>
        <v>0</v>
      </c>
      <c r="J99" s="63">
        <f t="shared" si="44"/>
        <v>0</v>
      </c>
      <c r="K99" s="64">
        <f t="shared" si="45"/>
        <v>0</v>
      </c>
      <c r="L99" s="62">
        <f t="shared" si="46"/>
        <v>0</v>
      </c>
      <c r="M99" s="65">
        <f t="shared" si="47"/>
        <v>0</v>
      </c>
      <c r="N99" s="64">
        <f t="shared" si="48"/>
        <v>0</v>
      </c>
      <c r="O99" s="135">
        <f t="shared" si="34"/>
        <v>0</v>
      </c>
      <c r="P99" s="136">
        <f t="shared" si="49"/>
        <v>0</v>
      </c>
      <c r="Q99" s="64">
        <f t="shared" si="50"/>
        <v>0</v>
      </c>
      <c r="R99" s="1188"/>
      <c r="S99" s="1189"/>
      <c r="T99" s="36"/>
      <c r="U99" s="27"/>
      <c r="V99" s="69"/>
      <c r="W99" s="74"/>
      <c r="X99" s="129"/>
      <c r="Y99" s="74"/>
      <c r="Z99" s="75"/>
      <c r="AA99" s="30">
        <f t="shared" si="35"/>
        <v>0</v>
      </c>
      <c r="AB99" s="327"/>
      <c r="AC99" s="327"/>
      <c r="AD99" s="327"/>
      <c r="AE99" s="327"/>
      <c r="AF99" s="327"/>
      <c r="AG99" s="328"/>
      <c r="AH99" s="68">
        <f t="shared" si="31"/>
        <v>0</v>
      </c>
      <c r="AI99" s="69"/>
      <c r="AJ99" s="1048">
        <f t="shared" si="36"/>
        <v>0</v>
      </c>
      <c r="AK99" s="54">
        <f t="shared" si="32"/>
        <v>0</v>
      </c>
      <c r="AL99" s="1049">
        <f t="shared" si="33"/>
        <v>0</v>
      </c>
      <c r="AM99" s="1048">
        <f t="shared" si="37"/>
        <v>0</v>
      </c>
      <c r="AN99" s="73">
        <f t="shared" si="38"/>
        <v>-1</v>
      </c>
      <c r="AO99" s="30"/>
      <c r="AP99" s="196">
        <f t="shared" si="39"/>
        <v>0</v>
      </c>
      <c r="AQ99" s="197">
        <f t="shared" si="40"/>
        <v>0</v>
      </c>
      <c r="AR99" s="196">
        <f t="shared" si="41"/>
        <v>0</v>
      </c>
      <c r="AS99" s="197">
        <f t="shared" si="42"/>
        <v>0</v>
      </c>
    </row>
    <row r="100" spans="1:45" x14ac:dyDescent="0.2">
      <c r="A100" s="30"/>
      <c r="B100" s="56"/>
      <c r="C100" s="57"/>
      <c r="D100" s="58"/>
      <c r="E100" s="76"/>
      <c r="F100" s="58"/>
      <c r="G100" s="60"/>
      <c r="H100" s="61"/>
      <c r="I100" s="62">
        <f t="shared" si="43"/>
        <v>0</v>
      </c>
      <c r="J100" s="63">
        <f t="shared" si="44"/>
        <v>0</v>
      </c>
      <c r="K100" s="64">
        <f t="shared" si="45"/>
        <v>0</v>
      </c>
      <c r="L100" s="62">
        <f t="shared" si="46"/>
        <v>0</v>
      </c>
      <c r="M100" s="65">
        <f t="shared" si="47"/>
        <v>0</v>
      </c>
      <c r="N100" s="64">
        <f t="shared" si="48"/>
        <v>0</v>
      </c>
      <c r="O100" s="135">
        <f t="shared" si="34"/>
        <v>0</v>
      </c>
      <c r="P100" s="136">
        <f t="shared" si="49"/>
        <v>0</v>
      </c>
      <c r="Q100" s="64">
        <f t="shared" si="50"/>
        <v>0</v>
      </c>
      <c r="R100" s="1188"/>
      <c r="S100" s="1189"/>
      <c r="T100" s="36"/>
      <c r="U100" s="27"/>
      <c r="V100" s="69"/>
      <c r="W100" s="74"/>
      <c r="X100" s="129"/>
      <c r="Y100" s="74"/>
      <c r="Z100" s="75"/>
      <c r="AA100" s="30">
        <f t="shared" si="35"/>
        <v>0</v>
      </c>
      <c r="AB100" s="327"/>
      <c r="AC100" s="327"/>
      <c r="AD100" s="327"/>
      <c r="AE100" s="327"/>
      <c r="AF100" s="327"/>
      <c r="AG100" s="328"/>
      <c r="AH100" s="68">
        <f t="shared" si="31"/>
        <v>0</v>
      </c>
      <c r="AI100" s="69"/>
      <c r="AJ100" s="1048">
        <f t="shared" si="36"/>
        <v>0</v>
      </c>
      <c r="AK100" s="54">
        <f t="shared" si="32"/>
        <v>0</v>
      </c>
      <c r="AL100" s="1049">
        <f t="shared" si="33"/>
        <v>0</v>
      </c>
      <c r="AM100" s="1048">
        <f t="shared" si="37"/>
        <v>0</v>
      </c>
      <c r="AN100" s="73">
        <f t="shared" si="38"/>
        <v>-1</v>
      </c>
      <c r="AO100" s="30"/>
      <c r="AP100" s="196">
        <f t="shared" si="39"/>
        <v>0</v>
      </c>
      <c r="AQ100" s="197">
        <f t="shared" si="40"/>
        <v>0</v>
      </c>
      <c r="AR100" s="196">
        <f t="shared" si="41"/>
        <v>0</v>
      </c>
      <c r="AS100" s="197">
        <f t="shared" si="42"/>
        <v>0</v>
      </c>
    </row>
    <row r="101" spans="1:45" x14ac:dyDescent="0.2">
      <c r="A101" s="30"/>
      <c r="B101" s="56"/>
      <c r="C101" s="57"/>
      <c r="D101" s="58"/>
      <c r="E101" s="76"/>
      <c r="F101" s="58"/>
      <c r="G101" s="60"/>
      <c r="H101" s="61"/>
      <c r="I101" s="62">
        <f t="shared" si="43"/>
        <v>0</v>
      </c>
      <c r="J101" s="63">
        <f t="shared" si="44"/>
        <v>0</v>
      </c>
      <c r="K101" s="64">
        <f t="shared" si="45"/>
        <v>0</v>
      </c>
      <c r="L101" s="62">
        <f t="shared" si="46"/>
        <v>0</v>
      </c>
      <c r="M101" s="65">
        <f t="shared" si="47"/>
        <v>0</v>
      </c>
      <c r="N101" s="64">
        <f t="shared" si="48"/>
        <v>0</v>
      </c>
      <c r="O101" s="135">
        <f t="shared" si="34"/>
        <v>0</v>
      </c>
      <c r="P101" s="136">
        <f t="shared" si="49"/>
        <v>0</v>
      </c>
      <c r="Q101" s="64">
        <f t="shared" si="50"/>
        <v>0</v>
      </c>
      <c r="R101" s="1188"/>
      <c r="S101" s="1189"/>
      <c r="T101" s="36"/>
      <c r="U101" s="27"/>
      <c r="V101" s="69"/>
      <c r="W101" s="74"/>
      <c r="X101" s="129"/>
      <c r="Y101" s="74"/>
      <c r="Z101" s="75"/>
      <c r="AA101" s="30">
        <f t="shared" si="35"/>
        <v>0</v>
      </c>
      <c r="AB101" s="327"/>
      <c r="AC101" s="327"/>
      <c r="AD101" s="327"/>
      <c r="AE101" s="327"/>
      <c r="AF101" s="327"/>
      <c r="AG101" s="328"/>
      <c r="AH101" s="68">
        <f t="shared" si="31"/>
        <v>0</v>
      </c>
      <c r="AI101" s="69"/>
      <c r="AJ101" s="1048">
        <f t="shared" si="36"/>
        <v>0</v>
      </c>
      <c r="AK101" s="54">
        <f t="shared" si="32"/>
        <v>0</v>
      </c>
      <c r="AL101" s="1049">
        <f t="shared" si="33"/>
        <v>0</v>
      </c>
      <c r="AM101" s="1048">
        <f t="shared" si="37"/>
        <v>0</v>
      </c>
      <c r="AN101" s="73">
        <f t="shared" si="38"/>
        <v>-1</v>
      </c>
      <c r="AO101" s="30"/>
      <c r="AP101" s="196">
        <f t="shared" si="39"/>
        <v>0</v>
      </c>
      <c r="AQ101" s="197">
        <f t="shared" si="40"/>
        <v>0</v>
      </c>
      <c r="AR101" s="196">
        <f t="shared" si="41"/>
        <v>0</v>
      </c>
      <c r="AS101" s="197">
        <f t="shared" si="42"/>
        <v>0</v>
      </c>
    </row>
    <row r="102" spans="1:45" x14ac:dyDescent="0.2">
      <c r="A102" s="30"/>
      <c r="B102" s="56"/>
      <c r="C102" s="57"/>
      <c r="D102" s="58"/>
      <c r="E102" s="76"/>
      <c r="F102" s="58"/>
      <c r="G102" s="60"/>
      <c r="H102" s="61"/>
      <c r="I102" s="62">
        <f t="shared" si="43"/>
        <v>0</v>
      </c>
      <c r="J102" s="63">
        <f t="shared" si="44"/>
        <v>0</v>
      </c>
      <c r="K102" s="64">
        <f t="shared" si="45"/>
        <v>0</v>
      </c>
      <c r="L102" s="62">
        <f t="shared" si="46"/>
        <v>0</v>
      </c>
      <c r="M102" s="65">
        <f t="shared" si="47"/>
        <v>0</v>
      </c>
      <c r="N102" s="64">
        <f t="shared" si="48"/>
        <v>0</v>
      </c>
      <c r="O102" s="135">
        <f t="shared" si="34"/>
        <v>0</v>
      </c>
      <c r="P102" s="136">
        <f t="shared" si="49"/>
        <v>0</v>
      </c>
      <c r="Q102" s="64">
        <f t="shared" si="50"/>
        <v>0</v>
      </c>
      <c r="R102" s="1188"/>
      <c r="S102" s="1189"/>
      <c r="T102" s="36"/>
      <c r="U102" s="27"/>
      <c r="V102" s="69"/>
      <c r="W102" s="74"/>
      <c r="X102" s="129"/>
      <c r="Y102" s="74"/>
      <c r="Z102" s="75"/>
      <c r="AA102" s="30">
        <f t="shared" si="35"/>
        <v>0</v>
      </c>
      <c r="AB102" s="327"/>
      <c r="AC102" s="327"/>
      <c r="AD102" s="327"/>
      <c r="AE102" s="327"/>
      <c r="AF102" s="327"/>
      <c r="AG102" s="328"/>
      <c r="AH102" s="68">
        <f t="shared" si="31"/>
        <v>0</v>
      </c>
      <c r="AI102" s="69"/>
      <c r="AJ102" s="1048">
        <f t="shared" si="36"/>
        <v>0</v>
      </c>
      <c r="AK102" s="54">
        <f t="shared" si="32"/>
        <v>0</v>
      </c>
      <c r="AL102" s="1049">
        <f t="shared" si="33"/>
        <v>0</v>
      </c>
      <c r="AM102" s="1048">
        <f t="shared" si="37"/>
        <v>0</v>
      </c>
      <c r="AN102" s="73">
        <f t="shared" si="38"/>
        <v>-1</v>
      </c>
      <c r="AO102" s="30"/>
      <c r="AP102" s="196">
        <f t="shared" si="39"/>
        <v>0</v>
      </c>
      <c r="AQ102" s="197">
        <f t="shared" si="40"/>
        <v>0</v>
      </c>
      <c r="AR102" s="196">
        <f t="shared" si="41"/>
        <v>0</v>
      </c>
      <c r="AS102" s="197">
        <f t="shared" si="42"/>
        <v>0</v>
      </c>
    </row>
    <row r="103" spans="1:45" x14ac:dyDescent="0.2">
      <c r="A103" s="30"/>
      <c r="B103" s="56"/>
      <c r="C103" s="57"/>
      <c r="D103" s="58"/>
      <c r="E103" s="59"/>
      <c r="F103" s="58"/>
      <c r="G103" s="60"/>
      <c r="H103" s="61"/>
      <c r="I103" s="62">
        <f t="shared" si="43"/>
        <v>0</v>
      </c>
      <c r="J103" s="63">
        <f t="shared" si="44"/>
        <v>0</v>
      </c>
      <c r="K103" s="64">
        <f t="shared" si="45"/>
        <v>0</v>
      </c>
      <c r="L103" s="62">
        <f t="shared" si="46"/>
        <v>0</v>
      </c>
      <c r="M103" s="65">
        <f t="shared" si="47"/>
        <v>0</v>
      </c>
      <c r="N103" s="64">
        <f t="shared" si="48"/>
        <v>0</v>
      </c>
      <c r="O103" s="135">
        <f t="shared" si="34"/>
        <v>0</v>
      </c>
      <c r="P103" s="136">
        <f t="shared" si="49"/>
        <v>0</v>
      </c>
      <c r="Q103" s="64">
        <f t="shared" si="50"/>
        <v>0</v>
      </c>
      <c r="R103" s="1188"/>
      <c r="S103" s="1189"/>
      <c r="T103" s="36"/>
      <c r="U103" s="27"/>
      <c r="V103" s="69"/>
      <c r="W103" s="74"/>
      <c r="X103" s="129"/>
      <c r="Y103" s="74"/>
      <c r="Z103" s="75"/>
      <c r="AA103" s="30">
        <f t="shared" si="35"/>
        <v>0</v>
      </c>
      <c r="AB103" s="327"/>
      <c r="AC103" s="327"/>
      <c r="AD103" s="327"/>
      <c r="AE103" s="327"/>
      <c r="AF103" s="327"/>
      <c r="AG103" s="328"/>
      <c r="AH103" s="68">
        <f t="shared" si="31"/>
        <v>0</v>
      </c>
      <c r="AI103" s="69"/>
      <c r="AJ103" s="1048">
        <f t="shared" si="36"/>
        <v>0</v>
      </c>
      <c r="AK103" s="54">
        <f t="shared" si="32"/>
        <v>0</v>
      </c>
      <c r="AL103" s="1049">
        <f t="shared" si="33"/>
        <v>0</v>
      </c>
      <c r="AM103" s="1048">
        <f t="shared" si="37"/>
        <v>0</v>
      </c>
      <c r="AN103" s="73">
        <f t="shared" si="38"/>
        <v>-1</v>
      </c>
      <c r="AO103" s="30"/>
      <c r="AP103" s="196">
        <f t="shared" si="39"/>
        <v>0</v>
      </c>
      <c r="AQ103" s="197">
        <f t="shared" si="40"/>
        <v>0</v>
      </c>
      <c r="AR103" s="196">
        <f t="shared" si="41"/>
        <v>0</v>
      </c>
      <c r="AS103" s="197">
        <f t="shared" si="42"/>
        <v>0</v>
      </c>
    </row>
    <row r="104" spans="1:45" x14ac:dyDescent="0.2">
      <c r="A104" s="30"/>
      <c r="B104" s="56"/>
      <c r="C104" s="57"/>
      <c r="D104" s="58"/>
      <c r="E104" s="59"/>
      <c r="F104" s="58"/>
      <c r="G104" s="60"/>
      <c r="H104" s="61"/>
      <c r="I104" s="62">
        <f t="shared" si="43"/>
        <v>0</v>
      </c>
      <c r="J104" s="63">
        <f t="shared" si="44"/>
        <v>0</v>
      </c>
      <c r="K104" s="64">
        <f t="shared" si="45"/>
        <v>0</v>
      </c>
      <c r="L104" s="62">
        <f t="shared" si="46"/>
        <v>0</v>
      </c>
      <c r="M104" s="65">
        <f t="shared" si="47"/>
        <v>0</v>
      </c>
      <c r="N104" s="64">
        <f t="shared" si="48"/>
        <v>0</v>
      </c>
      <c r="O104" s="135">
        <f t="shared" si="34"/>
        <v>0</v>
      </c>
      <c r="P104" s="136">
        <f t="shared" si="49"/>
        <v>0</v>
      </c>
      <c r="Q104" s="64">
        <f t="shared" si="50"/>
        <v>0</v>
      </c>
      <c r="R104" s="1188"/>
      <c r="S104" s="1189"/>
      <c r="T104" s="36"/>
      <c r="U104" s="27"/>
      <c r="V104" s="69"/>
      <c r="W104" s="74"/>
      <c r="X104" s="129"/>
      <c r="Y104" s="74"/>
      <c r="Z104" s="75"/>
      <c r="AA104" s="30">
        <f t="shared" si="35"/>
        <v>0</v>
      </c>
      <c r="AB104" s="327"/>
      <c r="AC104" s="327"/>
      <c r="AD104" s="327"/>
      <c r="AE104" s="327"/>
      <c r="AF104" s="327"/>
      <c r="AG104" s="328"/>
      <c r="AH104" s="68">
        <f t="shared" si="31"/>
        <v>0</v>
      </c>
      <c r="AI104" s="69"/>
      <c r="AJ104" s="1048">
        <f t="shared" si="36"/>
        <v>0</v>
      </c>
      <c r="AK104" s="54">
        <f t="shared" si="32"/>
        <v>0</v>
      </c>
      <c r="AL104" s="1049">
        <f t="shared" si="33"/>
        <v>0</v>
      </c>
      <c r="AM104" s="1048">
        <f t="shared" si="37"/>
        <v>0</v>
      </c>
      <c r="AN104" s="73">
        <f t="shared" si="38"/>
        <v>-1</v>
      </c>
      <c r="AO104" s="30"/>
      <c r="AP104" s="196">
        <f t="shared" si="39"/>
        <v>0</v>
      </c>
      <c r="AQ104" s="197">
        <f t="shared" si="40"/>
        <v>0</v>
      </c>
      <c r="AR104" s="196">
        <f t="shared" si="41"/>
        <v>0</v>
      </c>
      <c r="AS104" s="197">
        <f t="shared" si="42"/>
        <v>0</v>
      </c>
    </row>
    <row r="105" spans="1:45" x14ac:dyDescent="0.2">
      <c r="A105" s="30"/>
      <c r="B105" s="56"/>
      <c r="C105" s="57"/>
      <c r="D105" s="58"/>
      <c r="E105" s="59"/>
      <c r="F105" s="58"/>
      <c r="G105" s="60"/>
      <c r="H105" s="61"/>
      <c r="I105" s="62">
        <f t="shared" si="43"/>
        <v>0</v>
      </c>
      <c r="J105" s="63">
        <f t="shared" si="44"/>
        <v>0</v>
      </c>
      <c r="K105" s="64">
        <f t="shared" si="45"/>
        <v>0</v>
      </c>
      <c r="L105" s="62">
        <f t="shared" si="46"/>
        <v>0</v>
      </c>
      <c r="M105" s="65">
        <f t="shared" si="47"/>
        <v>0</v>
      </c>
      <c r="N105" s="64">
        <f t="shared" si="48"/>
        <v>0</v>
      </c>
      <c r="O105" s="135">
        <f t="shared" si="34"/>
        <v>0</v>
      </c>
      <c r="P105" s="136">
        <f t="shared" si="49"/>
        <v>0</v>
      </c>
      <c r="Q105" s="64">
        <f t="shared" si="50"/>
        <v>0</v>
      </c>
      <c r="R105" s="1188"/>
      <c r="S105" s="1189"/>
      <c r="T105" s="36"/>
      <c r="U105" s="27"/>
      <c r="V105" s="69"/>
      <c r="W105" s="74"/>
      <c r="X105" s="129"/>
      <c r="Y105" s="74"/>
      <c r="Z105" s="75"/>
      <c r="AA105" s="30">
        <f t="shared" si="35"/>
        <v>0</v>
      </c>
      <c r="AB105" s="327"/>
      <c r="AC105" s="327"/>
      <c r="AD105" s="327"/>
      <c r="AE105" s="327"/>
      <c r="AF105" s="327"/>
      <c r="AG105" s="328"/>
      <c r="AH105" s="68">
        <f t="shared" si="31"/>
        <v>0</v>
      </c>
      <c r="AI105" s="69"/>
      <c r="AJ105" s="1048">
        <f t="shared" si="36"/>
        <v>0</v>
      </c>
      <c r="AK105" s="54">
        <f t="shared" si="32"/>
        <v>0</v>
      </c>
      <c r="AL105" s="1049">
        <f t="shared" si="33"/>
        <v>0</v>
      </c>
      <c r="AM105" s="1048">
        <f t="shared" si="37"/>
        <v>0</v>
      </c>
      <c r="AN105" s="73">
        <f t="shared" si="38"/>
        <v>-1</v>
      </c>
      <c r="AO105" s="30"/>
      <c r="AP105" s="196">
        <f t="shared" si="39"/>
        <v>0</v>
      </c>
      <c r="AQ105" s="197">
        <f t="shared" si="40"/>
        <v>0</v>
      </c>
      <c r="AR105" s="196">
        <f t="shared" si="41"/>
        <v>0</v>
      </c>
      <c r="AS105" s="197">
        <f t="shared" si="42"/>
        <v>0</v>
      </c>
    </row>
    <row r="106" spans="1:45" x14ac:dyDescent="0.2">
      <c r="A106" s="30"/>
      <c r="B106" s="56"/>
      <c r="C106" s="57"/>
      <c r="D106" s="58"/>
      <c r="E106" s="59"/>
      <c r="F106" s="58"/>
      <c r="G106" s="60"/>
      <c r="H106" s="61"/>
      <c r="I106" s="62">
        <f t="shared" si="43"/>
        <v>0</v>
      </c>
      <c r="J106" s="63">
        <f t="shared" si="44"/>
        <v>0</v>
      </c>
      <c r="K106" s="64">
        <f t="shared" si="45"/>
        <v>0</v>
      </c>
      <c r="L106" s="62">
        <f t="shared" si="46"/>
        <v>0</v>
      </c>
      <c r="M106" s="65">
        <f t="shared" si="47"/>
        <v>0</v>
      </c>
      <c r="N106" s="64">
        <f t="shared" si="48"/>
        <v>0</v>
      </c>
      <c r="O106" s="135">
        <f t="shared" si="34"/>
        <v>0</v>
      </c>
      <c r="P106" s="136">
        <f t="shared" si="49"/>
        <v>0</v>
      </c>
      <c r="Q106" s="64">
        <f t="shared" si="50"/>
        <v>0</v>
      </c>
      <c r="R106" s="1188"/>
      <c r="S106" s="1189"/>
      <c r="T106" s="36"/>
      <c r="U106" s="27"/>
      <c r="V106" s="69"/>
      <c r="W106" s="74"/>
      <c r="X106" s="129"/>
      <c r="Y106" s="74"/>
      <c r="Z106" s="75"/>
      <c r="AA106" s="30">
        <f t="shared" si="35"/>
        <v>0</v>
      </c>
      <c r="AB106" s="327"/>
      <c r="AC106" s="327"/>
      <c r="AD106" s="327"/>
      <c r="AE106" s="327"/>
      <c r="AF106" s="327"/>
      <c r="AG106" s="328"/>
      <c r="AH106" s="68">
        <f t="shared" si="31"/>
        <v>0</v>
      </c>
      <c r="AI106" s="69"/>
      <c r="AJ106" s="1048">
        <f t="shared" si="36"/>
        <v>0</v>
      </c>
      <c r="AK106" s="54">
        <f t="shared" si="32"/>
        <v>0</v>
      </c>
      <c r="AL106" s="1049">
        <f t="shared" si="33"/>
        <v>0</v>
      </c>
      <c r="AM106" s="1048">
        <f t="shared" si="37"/>
        <v>0</v>
      </c>
      <c r="AN106" s="73">
        <f t="shared" si="38"/>
        <v>-1</v>
      </c>
      <c r="AO106" s="30"/>
      <c r="AP106" s="196">
        <f t="shared" si="39"/>
        <v>0</v>
      </c>
      <c r="AQ106" s="197">
        <f t="shared" si="40"/>
        <v>0</v>
      </c>
      <c r="AR106" s="196">
        <f t="shared" si="41"/>
        <v>0</v>
      </c>
      <c r="AS106" s="197">
        <f t="shared" si="42"/>
        <v>0</v>
      </c>
    </row>
    <row r="107" spans="1:45" x14ac:dyDescent="0.2">
      <c r="A107" s="30"/>
      <c r="B107" s="56"/>
      <c r="C107" s="57"/>
      <c r="D107" s="58"/>
      <c r="E107" s="59"/>
      <c r="F107" s="58"/>
      <c r="G107" s="60"/>
      <c r="H107" s="61"/>
      <c r="I107" s="62">
        <f t="shared" si="43"/>
        <v>0</v>
      </c>
      <c r="J107" s="63">
        <f t="shared" si="44"/>
        <v>0</v>
      </c>
      <c r="K107" s="64">
        <f t="shared" si="45"/>
        <v>0</v>
      </c>
      <c r="L107" s="62">
        <f t="shared" si="46"/>
        <v>0</v>
      </c>
      <c r="M107" s="65">
        <f t="shared" si="47"/>
        <v>0</v>
      </c>
      <c r="N107" s="64">
        <f t="shared" si="48"/>
        <v>0</v>
      </c>
      <c r="O107" s="135">
        <f t="shared" si="34"/>
        <v>0</v>
      </c>
      <c r="P107" s="136">
        <f t="shared" si="49"/>
        <v>0</v>
      </c>
      <c r="Q107" s="64">
        <f t="shared" si="50"/>
        <v>0</v>
      </c>
      <c r="R107" s="1188"/>
      <c r="S107" s="1189"/>
      <c r="T107" s="36"/>
      <c r="U107" s="27"/>
      <c r="V107" s="69"/>
      <c r="W107" s="74"/>
      <c r="X107" s="129"/>
      <c r="Y107" s="74"/>
      <c r="Z107" s="75"/>
      <c r="AA107" s="30">
        <f t="shared" si="35"/>
        <v>0</v>
      </c>
      <c r="AB107" s="327"/>
      <c r="AC107" s="327"/>
      <c r="AD107" s="327"/>
      <c r="AE107" s="327"/>
      <c r="AF107" s="327"/>
      <c r="AG107" s="328"/>
      <c r="AH107" s="68">
        <f t="shared" si="31"/>
        <v>0</v>
      </c>
      <c r="AI107" s="69"/>
      <c r="AJ107" s="1048">
        <f t="shared" si="36"/>
        <v>0</v>
      </c>
      <c r="AK107" s="54">
        <f t="shared" si="32"/>
        <v>0</v>
      </c>
      <c r="AL107" s="1049">
        <f t="shared" si="33"/>
        <v>0</v>
      </c>
      <c r="AM107" s="1048">
        <f t="shared" si="37"/>
        <v>0</v>
      </c>
      <c r="AN107" s="73">
        <f t="shared" si="38"/>
        <v>-1</v>
      </c>
      <c r="AO107" s="30"/>
      <c r="AP107" s="196">
        <f t="shared" si="39"/>
        <v>0</v>
      </c>
      <c r="AQ107" s="197">
        <f t="shared" si="40"/>
        <v>0</v>
      </c>
      <c r="AR107" s="196">
        <f t="shared" si="41"/>
        <v>0</v>
      </c>
      <c r="AS107" s="197">
        <f t="shared" si="42"/>
        <v>0</v>
      </c>
    </row>
    <row r="108" spans="1:45" x14ac:dyDescent="0.2">
      <c r="A108" s="30"/>
      <c r="B108" s="56"/>
      <c r="C108" s="57"/>
      <c r="D108" s="58"/>
      <c r="E108" s="59"/>
      <c r="F108" s="58"/>
      <c r="G108" s="60"/>
      <c r="H108" s="61"/>
      <c r="I108" s="62">
        <f t="shared" si="43"/>
        <v>0</v>
      </c>
      <c r="J108" s="63">
        <f t="shared" si="44"/>
        <v>0</v>
      </c>
      <c r="K108" s="64">
        <f t="shared" si="45"/>
        <v>0</v>
      </c>
      <c r="L108" s="62">
        <f t="shared" si="46"/>
        <v>0</v>
      </c>
      <c r="M108" s="65">
        <f t="shared" si="47"/>
        <v>0</v>
      </c>
      <c r="N108" s="64">
        <f t="shared" si="48"/>
        <v>0</v>
      </c>
      <c r="O108" s="135">
        <f t="shared" si="34"/>
        <v>0</v>
      </c>
      <c r="P108" s="136">
        <f t="shared" si="49"/>
        <v>0</v>
      </c>
      <c r="Q108" s="64">
        <f t="shared" si="50"/>
        <v>0</v>
      </c>
      <c r="R108" s="1188"/>
      <c r="S108" s="1189"/>
      <c r="T108" s="36"/>
      <c r="U108" s="27"/>
      <c r="V108" s="69"/>
      <c r="W108" s="74"/>
      <c r="X108" s="129"/>
      <c r="Y108" s="74"/>
      <c r="Z108" s="75"/>
      <c r="AA108" s="30">
        <f t="shared" si="35"/>
        <v>0</v>
      </c>
      <c r="AB108" s="327"/>
      <c r="AC108" s="327"/>
      <c r="AD108" s="327"/>
      <c r="AE108" s="327"/>
      <c r="AF108" s="327"/>
      <c r="AG108" s="328"/>
      <c r="AH108" s="68">
        <f t="shared" si="31"/>
        <v>0</v>
      </c>
      <c r="AI108" s="69"/>
      <c r="AJ108" s="1048">
        <f t="shared" si="36"/>
        <v>0</v>
      </c>
      <c r="AK108" s="54">
        <f t="shared" si="32"/>
        <v>0</v>
      </c>
      <c r="AL108" s="1049">
        <f t="shared" si="33"/>
        <v>0</v>
      </c>
      <c r="AM108" s="1048">
        <f t="shared" si="37"/>
        <v>0</v>
      </c>
      <c r="AN108" s="73">
        <f t="shared" si="38"/>
        <v>-1</v>
      </c>
      <c r="AO108" s="30"/>
      <c r="AP108" s="196">
        <f t="shared" si="39"/>
        <v>0</v>
      </c>
      <c r="AQ108" s="197">
        <f t="shared" si="40"/>
        <v>0</v>
      </c>
      <c r="AR108" s="196">
        <f t="shared" si="41"/>
        <v>0</v>
      </c>
      <c r="AS108" s="197">
        <f t="shared" si="42"/>
        <v>0</v>
      </c>
    </row>
    <row r="109" spans="1:45" x14ac:dyDescent="0.2">
      <c r="A109" s="30"/>
      <c r="B109" s="56"/>
      <c r="C109" s="57"/>
      <c r="D109" s="58"/>
      <c r="E109" s="59"/>
      <c r="F109" s="58"/>
      <c r="G109" s="60"/>
      <c r="H109" s="61"/>
      <c r="I109" s="62">
        <f t="shared" si="43"/>
        <v>0</v>
      </c>
      <c r="J109" s="63">
        <f t="shared" si="44"/>
        <v>0</v>
      </c>
      <c r="K109" s="64">
        <f t="shared" si="45"/>
        <v>0</v>
      </c>
      <c r="L109" s="62">
        <f t="shared" si="46"/>
        <v>0</v>
      </c>
      <c r="M109" s="65">
        <f t="shared" si="47"/>
        <v>0</v>
      </c>
      <c r="N109" s="64">
        <f t="shared" si="48"/>
        <v>0</v>
      </c>
      <c r="O109" s="135">
        <f t="shared" si="34"/>
        <v>0</v>
      </c>
      <c r="P109" s="136">
        <f t="shared" si="49"/>
        <v>0</v>
      </c>
      <c r="Q109" s="64">
        <f t="shared" si="50"/>
        <v>0</v>
      </c>
      <c r="R109" s="1188"/>
      <c r="S109" s="1189"/>
      <c r="T109" s="36"/>
      <c r="U109" s="27"/>
      <c r="V109" s="69"/>
      <c r="W109" s="74"/>
      <c r="X109" s="129"/>
      <c r="Y109" s="74"/>
      <c r="Z109" s="75"/>
      <c r="AA109" s="30">
        <f t="shared" si="35"/>
        <v>0</v>
      </c>
      <c r="AB109" s="327"/>
      <c r="AC109" s="327"/>
      <c r="AD109" s="327"/>
      <c r="AE109" s="327"/>
      <c r="AF109" s="327"/>
      <c r="AG109" s="328"/>
      <c r="AH109" s="68">
        <f t="shared" si="31"/>
        <v>0</v>
      </c>
      <c r="AI109" s="69"/>
      <c r="AJ109" s="1048">
        <f t="shared" si="36"/>
        <v>0</v>
      </c>
      <c r="AK109" s="54">
        <f t="shared" si="32"/>
        <v>0</v>
      </c>
      <c r="AL109" s="1049">
        <f t="shared" si="33"/>
        <v>0</v>
      </c>
      <c r="AM109" s="1048">
        <f t="shared" si="37"/>
        <v>0</v>
      </c>
      <c r="AN109" s="73">
        <f t="shared" si="38"/>
        <v>-1</v>
      </c>
      <c r="AO109" s="30"/>
      <c r="AP109" s="196">
        <f t="shared" si="39"/>
        <v>0</v>
      </c>
      <c r="AQ109" s="197">
        <f t="shared" si="40"/>
        <v>0</v>
      </c>
      <c r="AR109" s="196">
        <f t="shared" si="41"/>
        <v>0</v>
      </c>
      <c r="AS109" s="197">
        <f t="shared" si="42"/>
        <v>0</v>
      </c>
    </row>
    <row r="110" spans="1:45" x14ac:dyDescent="0.2">
      <c r="A110" s="30"/>
      <c r="B110" s="56"/>
      <c r="C110" s="57"/>
      <c r="D110" s="58"/>
      <c r="E110" s="59"/>
      <c r="F110" s="58"/>
      <c r="G110" s="60"/>
      <c r="H110" s="61"/>
      <c r="I110" s="62">
        <f t="shared" si="43"/>
        <v>0</v>
      </c>
      <c r="J110" s="63">
        <f t="shared" si="44"/>
        <v>0</v>
      </c>
      <c r="K110" s="64">
        <f t="shared" si="45"/>
        <v>0</v>
      </c>
      <c r="L110" s="62">
        <f t="shared" si="46"/>
        <v>0</v>
      </c>
      <c r="M110" s="65">
        <f t="shared" si="47"/>
        <v>0</v>
      </c>
      <c r="N110" s="64">
        <f t="shared" si="48"/>
        <v>0</v>
      </c>
      <c r="O110" s="135">
        <f t="shared" si="34"/>
        <v>0</v>
      </c>
      <c r="P110" s="136">
        <f t="shared" si="49"/>
        <v>0</v>
      </c>
      <c r="Q110" s="64">
        <f t="shared" si="50"/>
        <v>0</v>
      </c>
      <c r="R110" s="1188"/>
      <c r="S110" s="1189"/>
      <c r="T110" s="36"/>
      <c r="U110" s="27"/>
      <c r="V110" s="69"/>
      <c r="W110" s="74"/>
      <c r="X110" s="129"/>
      <c r="Y110" s="74"/>
      <c r="Z110" s="75"/>
      <c r="AA110" s="30">
        <f t="shared" si="35"/>
        <v>0</v>
      </c>
      <c r="AB110" s="327"/>
      <c r="AC110" s="327"/>
      <c r="AD110" s="327"/>
      <c r="AE110" s="327"/>
      <c r="AF110" s="327"/>
      <c r="AG110" s="328"/>
      <c r="AH110" s="68">
        <f t="shared" ref="AH110:AH130" si="51">B110</f>
        <v>0</v>
      </c>
      <c r="AI110" s="69"/>
      <c r="AJ110" s="1048">
        <f t="shared" ref="AJ110:AJ130" si="52">IF(ABS(AI109-AI110)&gt;0,MAX(AI109,AI110),AI109)</f>
        <v>0</v>
      </c>
      <c r="AK110" s="54">
        <f t="shared" si="32"/>
        <v>0</v>
      </c>
      <c r="AL110" s="1049">
        <f t="shared" si="33"/>
        <v>0</v>
      </c>
      <c r="AM110" s="1048">
        <f t="shared" ref="AM110:AM130" si="53">IF(ABS(AK109-AK110)&gt;0,MAX(AK109,AK110),AK109)+IF(ABS(AL109-AL110)&gt;0,MAX(AL109,AL110),AL109)</f>
        <v>0</v>
      </c>
      <c r="AN110" s="73">
        <f t="shared" ref="AN110:AN130" si="54">AJ110+AM110-1</f>
        <v>-1</v>
      </c>
      <c r="AO110" s="30"/>
      <c r="AP110" s="196">
        <f t="shared" si="39"/>
        <v>0</v>
      </c>
      <c r="AQ110" s="197">
        <f t="shared" si="40"/>
        <v>0</v>
      </c>
      <c r="AR110" s="196">
        <f t="shared" si="41"/>
        <v>0</v>
      </c>
      <c r="AS110" s="197">
        <f t="shared" si="42"/>
        <v>0</v>
      </c>
    </row>
    <row r="111" spans="1:45" x14ac:dyDescent="0.2">
      <c r="A111" s="30"/>
      <c r="B111" s="56"/>
      <c r="C111" s="57"/>
      <c r="D111" s="58"/>
      <c r="E111" s="59"/>
      <c r="F111" s="58"/>
      <c r="G111" s="60"/>
      <c r="H111" s="61"/>
      <c r="I111" s="62">
        <f t="shared" si="43"/>
        <v>0</v>
      </c>
      <c r="J111" s="63">
        <f t="shared" si="44"/>
        <v>0</v>
      </c>
      <c r="K111" s="64">
        <f t="shared" si="45"/>
        <v>0</v>
      </c>
      <c r="L111" s="62">
        <f t="shared" si="46"/>
        <v>0</v>
      </c>
      <c r="M111" s="65">
        <f t="shared" si="47"/>
        <v>0</v>
      </c>
      <c r="N111" s="64">
        <f t="shared" si="48"/>
        <v>0</v>
      </c>
      <c r="O111" s="135">
        <f t="shared" si="34"/>
        <v>0</v>
      </c>
      <c r="P111" s="136">
        <f t="shared" si="49"/>
        <v>0</v>
      </c>
      <c r="Q111" s="64">
        <f t="shared" si="50"/>
        <v>0</v>
      </c>
      <c r="R111" s="1188"/>
      <c r="S111" s="1189"/>
      <c r="T111" s="36"/>
      <c r="U111" s="27"/>
      <c r="V111" s="69"/>
      <c r="W111" s="74"/>
      <c r="X111" s="129"/>
      <c r="Y111" s="74"/>
      <c r="Z111" s="75"/>
      <c r="AA111" s="30">
        <f t="shared" si="35"/>
        <v>0</v>
      </c>
      <c r="AB111" s="327"/>
      <c r="AC111" s="327"/>
      <c r="AD111" s="327"/>
      <c r="AE111" s="327"/>
      <c r="AF111" s="327"/>
      <c r="AG111" s="328"/>
      <c r="AH111" s="68">
        <f t="shared" si="51"/>
        <v>0</v>
      </c>
      <c r="AI111" s="69"/>
      <c r="AJ111" s="1048">
        <f t="shared" si="52"/>
        <v>0</v>
      </c>
      <c r="AK111" s="54">
        <f t="shared" si="32"/>
        <v>0</v>
      </c>
      <c r="AL111" s="1049">
        <f t="shared" si="33"/>
        <v>0</v>
      </c>
      <c r="AM111" s="1048">
        <f t="shared" si="53"/>
        <v>0</v>
      </c>
      <c r="AN111" s="73">
        <f t="shared" si="54"/>
        <v>-1</v>
      </c>
      <c r="AO111" s="30"/>
      <c r="AP111" s="196">
        <f t="shared" si="39"/>
        <v>0</v>
      </c>
      <c r="AQ111" s="197">
        <f t="shared" si="40"/>
        <v>0</v>
      </c>
      <c r="AR111" s="196">
        <f t="shared" si="41"/>
        <v>0</v>
      </c>
      <c r="AS111" s="197">
        <f t="shared" si="42"/>
        <v>0</v>
      </c>
    </row>
    <row r="112" spans="1:45" x14ac:dyDescent="0.2">
      <c r="A112" s="30"/>
      <c r="B112" s="56"/>
      <c r="C112" s="57"/>
      <c r="D112" s="58"/>
      <c r="E112" s="59"/>
      <c r="F112" s="58"/>
      <c r="G112" s="60"/>
      <c r="H112" s="61"/>
      <c r="I112" s="62">
        <f t="shared" si="43"/>
        <v>0</v>
      </c>
      <c r="J112" s="63">
        <f t="shared" si="44"/>
        <v>0</v>
      </c>
      <c r="K112" s="64">
        <f t="shared" si="45"/>
        <v>0</v>
      </c>
      <c r="L112" s="62">
        <f t="shared" si="46"/>
        <v>0</v>
      </c>
      <c r="M112" s="65">
        <f t="shared" si="47"/>
        <v>0</v>
      </c>
      <c r="N112" s="64">
        <f t="shared" si="48"/>
        <v>0</v>
      </c>
      <c r="O112" s="135">
        <f t="shared" si="34"/>
        <v>0</v>
      </c>
      <c r="P112" s="136">
        <f t="shared" si="49"/>
        <v>0</v>
      </c>
      <c r="Q112" s="64">
        <f t="shared" si="50"/>
        <v>0</v>
      </c>
      <c r="R112" s="1188"/>
      <c r="S112" s="1189"/>
      <c r="T112" s="36"/>
      <c r="U112" s="27"/>
      <c r="V112" s="69"/>
      <c r="W112" s="74"/>
      <c r="X112" s="129"/>
      <c r="Y112" s="74"/>
      <c r="Z112" s="75"/>
      <c r="AA112" s="30">
        <f t="shared" si="35"/>
        <v>0</v>
      </c>
      <c r="AB112" s="327"/>
      <c r="AC112" s="327"/>
      <c r="AD112" s="327"/>
      <c r="AE112" s="327"/>
      <c r="AF112" s="327"/>
      <c r="AG112" s="328"/>
      <c r="AH112" s="68">
        <f t="shared" si="51"/>
        <v>0</v>
      </c>
      <c r="AI112" s="69"/>
      <c r="AJ112" s="1048">
        <f t="shared" si="52"/>
        <v>0</v>
      </c>
      <c r="AK112" s="54">
        <f t="shared" si="32"/>
        <v>0</v>
      </c>
      <c r="AL112" s="1049">
        <f t="shared" si="33"/>
        <v>0</v>
      </c>
      <c r="AM112" s="1048">
        <f t="shared" si="53"/>
        <v>0</v>
      </c>
      <c r="AN112" s="73">
        <f t="shared" si="54"/>
        <v>-1</v>
      </c>
      <c r="AO112" s="30"/>
      <c r="AP112" s="196">
        <f t="shared" si="39"/>
        <v>0</v>
      </c>
      <c r="AQ112" s="197">
        <f t="shared" si="40"/>
        <v>0</v>
      </c>
      <c r="AR112" s="196">
        <f t="shared" si="41"/>
        <v>0</v>
      </c>
      <c r="AS112" s="197">
        <f t="shared" si="42"/>
        <v>0</v>
      </c>
    </row>
    <row r="113" spans="1:45" x14ac:dyDescent="0.2">
      <c r="A113" s="30"/>
      <c r="B113" s="56"/>
      <c r="C113" s="57"/>
      <c r="D113" s="58"/>
      <c r="E113" s="59"/>
      <c r="F113" s="58"/>
      <c r="G113" s="60"/>
      <c r="H113" s="61"/>
      <c r="I113" s="62">
        <f t="shared" si="43"/>
        <v>0</v>
      </c>
      <c r="J113" s="63">
        <f t="shared" si="44"/>
        <v>0</v>
      </c>
      <c r="K113" s="64">
        <f t="shared" si="45"/>
        <v>0</v>
      </c>
      <c r="L113" s="62">
        <f t="shared" si="46"/>
        <v>0</v>
      </c>
      <c r="M113" s="65">
        <f t="shared" si="47"/>
        <v>0</v>
      </c>
      <c r="N113" s="64">
        <f t="shared" si="48"/>
        <v>0</v>
      </c>
      <c r="O113" s="135">
        <f t="shared" si="34"/>
        <v>0</v>
      </c>
      <c r="P113" s="136">
        <f t="shared" si="49"/>
        <v>0</v>
      </c>
      <c r="Q113" s="64">
        <f t="shared" si="50"/>
        <v>0</v>
      </c>
      <c r="R113" s="1188"/>
      <c r="S113" s="1189"/>
      <c r="T113" s="36"/>
      <c r="U113" s="27"/>
      <c r="V113" s="69"/>
      <c r="W113" s="74"/>
      <c r="X113" s="129"/>
      <c r="Y113" s="74"/>
      <c r="Z113" s="75"/>
      <c r="AA113" s="30">
        <f t="shared" si="35"/>
        <v>0</v>
      </c>
      <c r="AB113" s="327"/>
      <c r="AC113" s="327"/>
      <c r="AD113" s="327"/>
      <c r="AE113" s="327"/>
      <c r="AF113" s="327"/>
      <c r="AG113" s="328"/>
      <c r="AH113" s="68">
        <f t="shared" si="51"/>
        <v>0</v>
      </c>
      <c r="AI113" s="69"/>
      <c r="AJ113" s="1048">
        <f t="shared" si="52"/>
        <v>0</v>
      </c>
      <c r="AK113" s="54">
        <f t="shared" si="32"/>
        <v>0</v>
      </c>
      <c r="AL113" s="1049">
        <f t="shared" si="33"/>
        <v>0</v>
      </c>
      <c r="AM113" s="1048">
        <f t="shared" si="53"/>
        <v>0</v>
      </c>
      <c r="AN113" s="73">
        <f t="shared" si="54"/>
        <v>-1</v>
      </c>
      <c r="AO113" s="30"/>
      <c r="AP113" s="196">
        <f t="shared" si="39"/>
        <v>0</v>
      </c>
      <c r="AQ113" s="197">
        <f t="shared" si="40"/>
        <v>0</v>
      </c>
      <c r="AR113" s="196">
        <f t="shared" si="41"/>
        <v>0</v>
      </c>
      <c r="AS113" s="197">
        <f t="shared" si="42"/>
        <v>0</v>
      </c>
    </row>
    <row r="114" spans="1:45" x14ac:dyDescent="0.2">
      <c r="A114" s="30"/>
      <c r="B114" s="77"/>
      <c r="C114" s="78"/>
      <c r="D114" s="79"/>
      <c r="E114" s="76"/>
      <c r="F114" s="79"/>
      <c r="G114" s="60"/>
      <c r="H114" s="61"/>
      <c r="I114" s="62">
        <f t="shared" si="43"/>
        <v>0</v>
      </c>
      <c r="J114" s="63">
        <f t="shared" si="44"/>
        <v>0</v>
      </c>
      <c r="K114" s="64">
        <f t="shared" si="45"/>
        <v>0</v>
      </c>
      <c r="L114" s="62">
        <f t="shared" si="46"/>
        <v>0</v>
      </c>
      <c r="M114" s="65">
        <f t="shared" si="47"/>
        <v>0</v>
      </c>
      <c r="N114" s="64">
        <f t="shared" si="48"/>
        <v>0</v>
      </c>
      <c r="O114" s="135">
        <f t="shared" si="34"/>
        <v>0</v>
      </c>
      <c r="P114" s="136">
        <f t="shared" si="49"/>
        <v>0</v>
      </c>
      <c r="Q114" s="64">
        <f t="shared" si="50"/>
        <v>0</v>
      </c>
      <c r="R114" s="1188"/>
      <c r="S114" s="1189"/>
      <c r="T114" s="36"/>
      <c r="U114" s="27"/>
      <c r="V114" s="69"/>
      <c r="W114" s="74"/>
      <c r="X114" s="129"/>
      <c r="Y114" s="74"/>
      <c r="Z114" s="75"/>
      <c r="AA114" s="30">
        <f t="shared" si="35"/>
        <v>0</v>
      </c>
      <c r="AB114" s="327"/>
      <c r="AC114" s="327"/>
      <c r="AD114" s="327"/>
      <c r="AE114" s="327"/>
      <c r="AF114" s="327"/>
      <c r="AG114" s="328"/>
      <c r="AH114" s="68">
        <f t="shared" si="51"/>
        <v>0</v>
      </c>
      <c r="AI114" s="69"/>
      <c r="AJ114" s="1048">
        <f t="shared" si="52"/>
        <v>0</v>
      </c>
      <c r="AK114" s="54">
        <f t="shared" si="32"/>
        <v>0</v>
      </c>
      <c r="AL114" s="1049">
        <f t="shared" si="33"/>
        <v>0</v>
      </c>
      <c r="AM114" s="1048">
        <f t="shared" si="53"/>
        <v>0</v>
      </c>
      <c r="AN114" s="73">
        <f t="shared" si="54"/>
        <v>-1</v>
      </c>
      <c r="AO114" s="30"/>
      <c r="AP114" s="196">
        <f t="shared" si="39"/>
        <v>0</v>
      </c>
      <c r="AQ114" s="197">
        <f t="shared" si="40"/>
        <v>0</v>
      </c>
      <c r="AR114" s="196">
        <f t="shared" si="41"/>
        <v>0</v>
      </c>
      <c r="AS114" s="197">
        <f t="shared" si="42"/>
        <v>0</v>
      </c>
    </row>
    <row r="115" spans="1:45" x14ac:dyDescent="0.2">
      <c r="A115" s="30"/>
      <c r="B115" s="77"/>
      <c r="C115" s="78"/>
      <c r="D115" s="79"/>
      <c r="E115" s="76"/>
      <c r="F115" s="79"/>
      <c r="G115" s="60"/>
      <c r="H115" s="61"/>
      <c r="I115" s="62">
        <f t="shared" si="43"/>
        <v>0</v>
      </c>
      <c r="J115" s="63">
        <f t="shared" si="44"/>
        <v>0</v>
      </c>
      <c r="K115" s="64">
        <f t="shared" si="45"/>
        <v>0</v>
      </c>
      <c r="L115" s="62">
        <f t="shared" si="46"/>
        <v>0</v>
      </c>
      <c r="M115" s="65">
        <f t="shared" si="47"/>
        <v>0</v>
      </c>
      <c r="N115" s="64">
        <f t="shared" si="48"/>
        <v>0</v>
      </c>
      <c r="O115" s="135">
        <f t="shared" si="34"/>
        <v>0</v>
      </c>
      <c r="P115" s="136">
        <f t="shared" si="49"/>
        <v>0</v>
      </c>
      <c r="Q115" s="64">
        <f t="shared" si="50"/>
        <v>0</v>
      </c>
      <c r="R115" s="1188"/>
      <c r="S115" s="1189"/>
      <c r="T115" s="36"/>
      <c r="U115" s="27"/>
      <c r="V115" s="69"/>
      <c r="W115" s="74"/>
      <c r="X115" s="129"/>
      <c r="Y115" s="74"/>
      <c r="Z115" s="75"/>
      <c r="AA115" s="30">
        <f t="shared" si="35"/>
        <v>0</v>
      </c>
      <c r="AB115" s="327"/>
      <c r="AC115" s="327"/>
      <c r="AD115" s="327"/>
      <c r="AE115" s="327"/>
      <c r="AF115" s="327"/>
      <c r="AG115" s="328"/>
      <c r="AH115" s="68">
        <f t="shared" si="51"/>
        <v>0</v>
      </c>
      <c r="AI115" s="69"/>
      <c r="AJ115" s="1048">
        <f t="shared" si="52"/>
        <v>0</v>
      </c>
      <c r="AK115" s="54">
        <f t="shared" si="32"/>
        <v>0</v>
      </c>
      <c r="AL115" s="1049">
        <f t="shared" si="33"/>
        <v>0</v>
      </c>
      <c r="AM115" s="1048">
        <f t="shared" si="53"/>
        <v>0</v>
      </c>
      <c r="AN115" s="73">
        <f t="shared" si="54"/>
        <v>-1</v>
      </c>
      <c r="AO115" s="30"/>
      <c r="AP115" s="196">
        <f t="shared" si="39"/>
        <v>0</v>
      </c>
      <c r="AQ115" s="197">
        <f t="shared" si="40"/>
        <v>0</v>
      </c>
      <c r="AR115" s="196">
        <f t="shared" si="41"/>
        <v>0</v>
      </c>
      <c r="AS115" s="197">
        <f t="shared" si="42"/>
        <v>0</v>
      </c>
    </row>
    <row r="116" spans="1:45" x14ac:dyDescent="0.2">
      <c r="A116" s="30"/>
      <c r="B116" s="77"/>
      <c r="C116" s="78"/>
      <c r="D116" s="79"/>
      <c r="E116" s="76"/>
      <c r="F116" s="79"/>
      <c r="G116" s="60"/>
      <c r="H116" s="61"/>
      <c r="I116" s="62">
        <f t="shared" si="43"/>
        <v>0</v>
      </c>
      <c r="J116" s="63">
        <f t="shared" si="44"/>
        <v>0</v>
      </c>
      <c r="K116" s="64">
        <f t="shared" si="45"/>
        <v>0</v>
      </c>
      <c r="L116" s="62">
        <f t="shared" si="46"/>
        <v>0</v>
      </c>
      <c r="M116" s="65">
        <f t="shared" si="47"/>
        <v>0</v>
      </c>
      <c r="N116" s="64">
        <f t="shared" si="48"/>
        <v>0</v>
      </c>
      <c r="O116" s="135">
        <f t="shared" si="34"/>
        <v>0</v>
      </c>
      <c r="P116" s="136">
        <f t="shared" si="49"/>
        <v>0</v>
      </c>
      <c r="Q116" s="64">
        <f t="shared" si="50"/>
        <v>0</v>
      </c>
      <c r="R116" s="1188"/>
      <c r="S116" s="1189"/>
      <c r="T116" s="36"/>
      <c r="U116" s="27"/>
      <c r="V116" s="69"/>
      <c r="W116" s="74"/>
      <c r="X116" s="129"/>
      <c r="Y116" s="74"/>
      <c r="Z116" s="75"/>
      <c r="AA116" s="30">
        <f t="shared" si="35"/>
        <v>0</v>
      </c>
      <c r="AB116" s="327"/>
      <c r="AC116" s="327"/>
      <c r="AD116" s="327"/>
      <c r="AE116" s="327"/>
      <c r="AF116" s="327"/>
      <c r="AG116" s="328"/>
      <c r="AH116" s="68">
        <f t="shared" si="51"/>
        <v>0</v>
      </c>
      <c r="AI116" s="69"/>
      <c r="AJ116" s="1048">
        <f t="shared" si="52"/>
        <v>0</v>
      </c>
      <c r="AK116" s="54">
        <f t="shared" si="32"/>
        <v>0</v>
      </c>
      <c r="AL116" s="1049">
        <f t="shared" si="33"/>
        <v>0</v>
      </c>
      <c r="AM116" s="1048">
        <f t="shared" si="53"/>
        <v>0</v>
      </c>
      <c r="AN116" s="73">
        <f t="shared" si="54"/>
        <v>-1</v>
      </c>
      <c r="AO116" s="30"/>
      <c r="AP116" s="196">
        <f t="shared" si="39"/>
        <v>0</v>
      </c>
      <c r="AQ116" s="197">
        <f t="shared" si="40"/>
        <v>0</v>
      </c>
      <c r="AR116" s="196">
        <f t="shared" si="41"/>
        <v>0</v>
      </c>
      <c r="AS116" s="197">
        <f t="shared" si="42"/>
        <v>0</v>
      </c>
    </row>
    <row r="117" spans="1:45" x14ac:dyDescent="0.2">
      <c r="A117" s="30"/>
      <c r="B117" s="77"/>
      <c r="C117" s="78"/>
      <c r="D117" s="79"/>
      <c r="E117" s="76"/>
      <c r="F117" s="79"/>
      <c r="G117" s="60"/>
      <c r="H117" s="61"/>
      <c r="I117" s="62">
        <f t="shared" si="43"/>
        <v>0</v>
      </c>
      <c r="J117" s="63">
        <f t="shared" si="44"/>
        <v>0</v>
      </c>
      <c r="K117" s="64">
        <f t="shared" si="45"/>
        <v>0</v>
      </c>
      <c r="L117" s="62">
        <f t="shared" si="46"/>
        <v>0</v>
      </c>
      <c r="M117" s="65">
        <f t="shared" si="47"/>
        <v>0</v>
      </c>
      <c r="N117" s="64">
        <f t="shared" si="48"/>
        <v>0</v>
      </c>
      <c r="O117" s="135">
        <f t="shared" si="34"/>
        <v>0</v>
      </c>
      <c r="P117" s="136">
        <f t="shared" si="49"/>
        <v>0</v>
      </c>
      <c r="Q117" s="64">
        <f t="shared" si="50"/>
        <v>0</v>
      </c>
      <c r="R117" s="1188"/>
      <c r="S117" s="1189"/>
      <c r="T117" s="36"/>
      <c r="U117" s="27"/>
      <c r="V117" s="69"/>
      <c r="W117" s="74"/>
      <c r="X117" s="129"/>
      <c r="Y117" s="74"/>
      <c r="Z117" s="75"/>
      <c r="AA117" s="30">
        <f t="shared" si="35"/>
        <v>0</v>
      </c>
      <c r="AB117" s="327"/>
      <c r="AC117" s="327"/>
      <c r="AD117" s="327"/>
      <c r="AE117" s="327"/>
      <c r="AF117" s="327"/>
      <c r="AG117" s="328"/>
      <c r="AH117" s="68">
        <f t="shared" si="51"/>
        <v>0</v>
      </c>
      <c r="AI117" s="69"/>
      <c r="AJ117" s="1048">
        <f t="shared" si="52"/>
        <v>0</v>
      </c>
      <c r="AK117" s="54">
        <f t="shared" si="32"/>
        <v>0</v>
      </c>
      <c r="AL117" s="1049">
        <f t="shared" si="33"/>
        <v>0</v>
      </c>
      <c r="AM117" s="1048">
        <f t="shared" si="53"/>
        <v>0</v>
      </c>
      <c r="AN117" s="73">
        <f t="shared" si="54"/>
        <v>-1</v>
      </c>
      <c r="AO117" s="30"/>
      <c r="AP117" s="196">
        <f t="shared" si="39"/>
        <v>0</v>
      </c>
      <c r="AQ117" s="197">
        <f t="shared" si="40"/>
        <v>0</v>
      </c>
      <c r="AR117" s="196">
        <f t="shared" si="41"/>
        <v>0</v>
      </c>
      <c r="AS117" s="197">
        <f t="shared" si="42"/>
        <v>0</v>
      </c>
    </row>
    <row r="118" spans="1:45" x14ac:dyDescent="0.2">
      <c r="A118" s="30"/>
      <c r="B118" s="56"/>
      <c r="C118" s="78"/>
      <c r="D118" s="58"/>
      <c r="E118" s="59"/>
      <c r="F118" s="79"/>
      <c r="G118" s="60"/>
      <c r="H118" s="61"/>
      <c r="I118" s="62">
        <f t="shared" si="43"/>
        <v>0</v>
      </c>
      <c r="J118" s="63">
        <f t="shared" si="44"/>
        <v>0</v>
      </c>
      <c r="K118" s="64">
        <f t="shared" si="45"/>
        <v>0</v>
      </c>
      <c r="L118" s="62">
        <f t="shared" si="46"/>
        <v>0</v>
      </c>
      <c r="M118" s="65">
        <f t="shared" si="47"/>
        <v>0</v>
      </c>
      <c r="N118" s="64">
        <f t="shared" si="48"/>
        <v>0</v>
      </c>
      <c r="O118" s="135">
        <f t="shared" si="34"/>
        <v>0</v>
      </c>
      <c r="P118" s="136">
        <f t="shared" si="49"/>
        <v>0</v>
      </c>
      <c r="Q118" s="64">
        <f t="shared" si="50"/>
        <v>0</v>
      </c>
      <c r="R118" s="1188"/>
      <c r="S118" s="1189"/>
      <c r="T118" s="36"/>
      <c r="U118" s="27"/>
      <c r="V118" s="69"/>
      <c r="W118" s="74"/>
      <c r="X118" s="129"/>
      <c r="Y118" s="74"/>
      <c r="Z118" s="75"/>
      <c r="AA118" s="30">
        <f t="shared" si="35"/>
        <v>0</v>
      </c>
      <c r="AB118" s="327"/>
      <c r="AC118" s="327"/>
      <c r="AD118" s="327"/>
      <c r="AE118" s="327"/>
      <c r="AF118" s="327"/>
      <c r="AG118" s="328"/>
      <c r="AH118" s="68">
        <f t="shared" si="51"/>
        <v>0</v>
      </c>
      <c r="AI118" s="69"/>
      <c r="AJ118" s="1048">
        <f t="shared" si="52"/>
        <v>0</v>
      </c>
      <c r="AK118" s="54">
        <f t="shared" si="32"/>
        <v>0</v>
      </c>
      <c r="AL118" s="1049">
        <f t="shared" si="33"/>
        <v>0</v>
      </c>
      <c r="AM118" s="1048">
        <f t="shared" si="53"/>
        <v>0</v>
      </c>
      <c r="AN118" s="73">
        <f t="shared" si="54"/>
        <v>-1</v>
      </c>
      <c r="AO118" s="30"/>
      <c r="AP118" s="196">
        <f t="shared" si="39"/>
        <v>0</v>
      </c>
      <c r="AQ118" s="197">
        <f t="shared" si="40"/>
        <v>0</v>
      </c>
      <c r="AR118" s="196">
        <f t="shared" si="41"/>
        <v>0</v>
      </c>
      <c r="AS118" s="197">
        <f t="shared" si="42"/>
        <v>0</v>
      </c>
    </row>
    <row r="119" spans="1:45" x14ac:dyDescent="0.2">
      <c r="A119" s="30"/>
      <c r="B119" s="56"/>
      <c r="C119" s="78"/>
      <c r="D119" s="58"/>
      <c r="E119" s="59"/>
      <c r="F119" s="79"/>
      <c r="G119" s="60"/>
      <c r="H119" s="61"/>
      <c r="I119" s="62">
        <f t="shared" si="43"/>
        <v>0</v>
      </c>
      <c r="J119" s="63">
        <f t="shared" si="44"/>
        <v>0</v>
      </c>
      <c r="K119" s="64">
        <f t="shared" si="45"/>
        <v>0</v>
      </c>
      <c r="L119" s="62">
        <f t="shared" si="46"/>
        <v>0</v>
      </c>
      <c r="M119" s="65">
        <f t="shared" si="47"/>
        <v>0</v>
      </c>
      <c r="N119" s="64">
        <f t="shared" si="48"/>
        <v>0</v>
      </c>
      <c r="O119" s="135">
        <f t="shared" si="34"/>
        <v>0</v>
      </c>
      <c r="P119" s="136">
        <f t="shared" si="49"/>
        <v>0</v>
      </c>
      <c r="Q119" s="64">
        <f t="shared" si="50"/>
        <v>0</v>
      </c>
      <c r="R119" s="1188"/>
      <c r="S119" s="1189"/>
      <c r="T119" s="36"/>
      <c r="U119" s="27"/>
      <c r="V119" s="69"/>
      <c r="W119" s="74"/>
      <c r="X119" s="129"/>
      <c r="Y119" s="74"/>
      <c r="Z119" s="75"/>
      <c r="AA119" s="30">
        <f t="shared" si="35"/>
        <v>0</v>
      </c>
      <c r="AB119" s="327"/>
      <c r="AC119" s="327"/>
      <c r="AD119" s="327"/>
      <c r="AE119" s="327"/>
      <c r="AF119" s="327"/>
      <c r="AG119" s="328"/>
      <c r="AH119" s="68">
        <f t="shared" si="51"/>
        <v>0</v>
      </c>
      <c r="AI119" s="69"/>
      <c r="AJ119" s="1048">
        <f t="shared" si="52"/>
        <v>0</v>
      </c>
      <c r="AK119" s="54">
        <f t="shared" si="32"/>
        <v>0</v>
      </c>
      <c r="AL119" s="1049">
        <f t="shared" si="33"/>
        <v>0</v>
      </c>
      <c r="AM119" s="1048">
        <f t="shared" si="53"/>
        <v>0</v>
      </c>
      <c r="AN119" s="73">
        <f t="shared" si="54"/>
        <v>-1</v>
      </c>
      <c r="AO119" s="30"/>
      <c r="AP119" s="196">
        <f t="shared" si="39"/>
        <v>0</v>
      </c>
      <c r="AQ119" s="197">
        <f t="shared" si="40"/>
        <v>0</v>
      </c>
      <c r="AR119" s="196">
        <f t="shared" si="41"/>
        <v>0</v>
      </c>
      <c r="AS119" s="197">
        <f t="shared" si="42"/>
        <v>0</v>
      </c>
    </row>
    <row r="120" spans="1:45" x14ac:dyDescent="0.2">
      <c r="A120" s="30"/>
      <c r="B120" s="56"/>
      <c r="C120" s="78"/>
      <c r="D120" s="58"/>
      <c r="E120" s="59"/>
      <c r="F120" s="79"/>
      <c r="G120" s="60"/>
      <c r="H120" s="61"/>
      <c r="I120" s="62">
        <f t="shared" si="43"/>
        <v>0</v>
      </c>
      <c r="J120" s="63">
        <f t="shared" si="44"/>
        <v>0</v>
      </c>
      <c r="K120" s="64">
        <f t="shared" si="45"/>
        <v>0</v>
      </c>
      <c r="L120" s="62">
        <f t="shared" si="46"/>
        <v>0</v>
      </c>
      <c r="M120" s="65">
        <f t="shared" si="47"/>
        <v>0</v>
      </c>
      <c r="N120" s="64">
        <f t="shared" si="48"/>
        <v>0</v>
      </c>
      <c r="O120" s="135">
        <f t="shared" si="34"/>
        <v>0</v>
      </c>
      <c r="P120" s="136">
        <f t="shared" si="49"/>
        <v>0</v>
      </c>
      <c r="Q120" s="64">
        <f t="shared" si="50"/>
        <v>0</v>
      </c>
      <c r="R120" s="1188"/>
      <c r="S120" s="1189"/>
      <c r="T120" s="36"/>
      <c r="U120" s="27"/>
      <c r="V120" s="69"/>
      <c r="W120" s="74"/>
      <c r="X120" s="129"/>
      <c r="Y120" s="74"/>
      <c r="Z120" s="75"/>
      <c r="AA120" s="30">
        <f t="shared" si="35"/>
        <v>0</v>
      </c>
      <c r="AB120" s="327"/>
      <c r="AC120" s="327"/>
      <c r="AD120" s="327"/>
      <c r="AE120" s="327"/>
      <c r="AF120" s="327"/>
      <c r="AG120" s="328"/>
      <c r="AH120" s="68">
        <f t="shared" si="51"/>
        <v>0</v>
      </c>
      <c r="AI120" s="69"/>
      <c r="AJ120" s="1048">
        <f t="shared" si="52"/>
        <v>0</v>
      </c>
      <c r="AK120" s="54">
        <f t="shared" si="32"/>
        <v>0</v>
      </c>
      <c r="AL120" s="1049">
        <f t="shared" si="33"/>
        <v>0</v>
      </c>
      <c r="AM120" s="1048">
        <f t="shared" si="53"/>
        <v>0</v>
      </c>
      <c r="AN120" s="73">
        <f t="shared" si="54"/>
        <v>-1</v>
      </c>
      <c r="AO120" s="30"/>
      <c r="AP120" s="196">
        <f t="shared" si="39"/>
        <v>0</v>
      </c>
      <c r="AQ120" s="197">
        <f t="shared" si="40"/>
        <v>0</v>
      </c>
      <c r="AR120" s="196">
        <f t="shared" si="41"/>
        <v>0</v>
      </c>
      <c r="AS120" s="197">
        <f t="shared" si="42"/>
        <v>0</v>
      </c>
    </row>
    <row r="121" spans="1:45" x14ac:dyDescent="0.2">
      <c r="A121" s="30"/>
      <c r="B121" s="56"/>
      <c r="C121" s="78"/>
      <c r="D121" s="58"/>
      <c r="E121" s="59"/>
      <c r="F121" s="79"/>
      <c r="G121" s="60"/>
      <c r="H121" s="61"/>
      <c r="I121" s="62">
        <f t="shared" si="43"/>
        <v>0</v>
      </c>
      <c r="J121" s="63">
        <f t="shared" si="44"/>
        <v>0</v>
      </c>
      <c r="K121" s="64">
        <f t="shared" si="45"/>
        <v>0</v>
      </c>
      <c r="L121" s="62">
        <f t="shared" si="46"/>
        <v>0</v>
      </c>
      <c r="M121" s="65">
        <f t="shared" si="47"/>
        <v>0</v>
      </c>
      <c r="N121" s="64">
        <f t="shared" si="48"/>
        <v>0</v>
      </c>
      <c r="O121" s="135">
        <f t="shared" si="34"/>
        <v>0</v>
      </c>
      <c r="P121" s="136">
        <f t="shared" si="49"/>
        <v>0</v>
      </c>
      <c r="Q121" s="64">
        <f t="shared" si="50"/>
        <v>0</v>
      </c>
      <c r="R121" s="1188"/>
      <c r="S121" s="1189"/>
      <c r="T121" s="36"/>
      <c r="U121" s="27"/>
      <c r="V121" s="69"/>
      <c r="W121" s="74"/>
      <c r="X121" s="129"/>
      <c r="Y121" s="74"/>
      <c r="Z121" s="75"/>
      <c r="AA121" s="30">
        <f t="shared" si="35"/>
        <v>0</v>
      </c>
      <c r="AB121" s="327"/>
      <c r="AC121" s="327"/>
      <c r="AD121" s="327"/>
      <c r="AE121" s="327"/>
      <c r="AF121" s="327"/>
      <c r="AG121" s="328"/>
      <c r="AH121" s="68">
        <f t="shared" si="51"/>
        <v>0</v>
      </c>
      <c r="AI121" s="69"/>
      <c r="AJ121" s="1048">
        <f t="shared" si="52"/>
        <v>0</v>
      </c>
      <c r="AK121" s="54">
        <f t="shared" si="32"/>
        <v>0</v>
      </c>
      <c r="AL121" s="1049">
        <f t="shared" si="33"/>
        <v>0</v>
      </c>
      <c r="AM121" s="1048">
        <f t="shared" si="53"/>
        <v>0</v>
      </c>
      <c r="AN121" s="73">
        <f t="shared" si="54"/>
        <v>-1</v>
      </c>
      <c r="AO121" s="30"/>
      <c r="AP121" s="196">
        <f t="shared" si="39"/>
        <v>0</v>
      </c>
      <c r="AQ121" s="197">
        <f t="shared" si="40"/>
        <v>0</v>
      </c>
      <c r="AR121" s="196">
        <f t="shared" si="41"/>
        <v>0</v>
      </c>
      <c r="AS121" s="197">
        <f t="shared" si="42"/>
        <v>0</v>
      </c>
    </row>
    <row r="122" spans="1:45" x14ac:dyDescent="0.2">
      <c r="A122" s="30"/>
      <c r="B122" s="56"/>
      <c r="C122" s="78"/>
      <c r="D122" s="58"/>
      <c r="E122" s="59"/>
      <c r="F122" s="79"/>
      <c r="G122" s="60"/>
      <c r="H122" s="61"/>
      <c r="I122" s="62">
        <f t="shared" si="43"/>
        <v>0</v>
      </c>
      <c r="J122" s="63">
        <f t="shared" si="44"/>
        <v>0</v>
      </c>
      <c r="K122" s="64">
        <f t="shared" si="45"/>
        <v>0</v>
      </c>
      <c r="L122" s="62">
        <f t="shared" si="46"/>
        <v>0</v>
      </c>
      <c r="M122" s="65">
        <f t="shared" si="47"/>
        <v>0</v>
      </c>
      <c r="N122" s="64">
        <f t="shared" si="48"/>
        <v>0</v>
      </c>
      <c r="O122" s="135">
        <f t="shared" si="34"/>
        <v>0</v>
      </c>
      <c r="P122" s="136">
        <f t="shared" si="49"/>
        <v>0</v>
      </c>
      <c r="Q122" s="64">
        <f t="shared" si="50"/>
        <v>0</v>
      </c>
      <c r="R122" s="1188"/>
      <c r="S122" s="1189"/>
      <c r="T122" s="36"/>
      <c r="U122" s="27"/>
      <c r="V122" s="69"/>
      <c r="W122" s="74"/>
      <c r="X122" s="129"/>
      <c r="Y122" s="74"/>
      <c r="Z122" s="75"/>
      <c r="AA122" s="30">
        <f t="shared" si="35"/>
        <v>0</v>
      </c>
      <c r="AB122" s="327"/>
      <c r="AC122" s="327"/>
      <c r="AD122" s="327"/>
      <c r="AE122" s="327"/>
      <c r="AF122" s="327"/>
      <c r="AG122" s="328"/>
      <c r="AH122" s="68">
        <f t="shared" si="51"/>
        <v>0</v>
      </c>
      <c r="AI122" s="69"/>
      <c r="AJ122" s="1048">
        <f t="shared" si="52"/>
        <v>0</v>
      </c>
      <c r="AK122" s="54">
        <f t="shared" si="32"/>
        <v>0</v>
      </c>
      <c r="AL122" s="1049">
        <f t="shared" si="33"/>
        <v>0</v>
      </c>
      <c r="AM122" s="1048">
        <f t="shared" si="53"/>
        <v>0</v>
      </c>
      <c r="AN122" s="73">
        <f t="shared" si="54"/>
        <v>-1</v>
      </c>
      <c r="AO122" s="30"/>
      <c r="AP122" s="196">
        <f t="shared" si="39"/>
        <v>0</v>
      </c>
      <c r="AQ122" s="197">
        <f t="shared" si="40"/>
        <v>0</v>
      </c>
      <c r="AR122" s="196">
        <f t="shared" si="41"/>
        <v>0</v>
      </c>
      <c r="AS122" s="197">
        <f t="shared" si="42"/>
        <v>0</v>
      </c>
    </row>
    <row r="123" spans="1:45" x14ac:dyDescent="0.2">
      <c r="A123" s="30"/>
      <c r="B123" s="56"/>
      <c r="C123" s="78"/>
      <c r="D123" s="58"/>
      <c r="E123" s="59"/>
      <c r="F123" s="79"/>
      <c r="G123" s="60"/>
      <c r="H123" s="61"/>
      <c r="I123" s="62">
        <f t="shared" si="43"/>
        <v>0</v>
      </c>
      <c r="J123" s="63">
        <f t="shared" si="44"/>
        <v>0</v>
      </c>
      <c r="K123" s="64">
        <f t="shared" si="45"/>
        <v>0</v>
      </c>
      <c r="L123" s="62">
        <f t="shared" si="46"/>
        <v>0</v>
      </c>
      <c r="M123" s="65">
        <f t="shared" si="47"/>
        <v>0</v>
      </c>
      <c r="N123" s="64">
        <f t="shared" si="48"/>
        <v>0</v>
      </c>
      <c r="O123" s="135">
        <f t="shared" si="34"/>
        <v>0</v>
      </c>
      <c r="P123" s="136">
        <f t="shared" si="49"/>
        <v>0</v>
      </c>
      <c r="Q123" s="64">
        <f t="shared" si="50"/>
        <v>0</v>
      </c>
      <c r="R123" s="1188"/>
      <c r="S123" s="1189"/>
      <c r="T123" s="36"/>
      <c r="U123" s="27"/>
      <c r="V123" s="69"/>
      <c r="W123" s="74"/>
      <c r="X123" s="129"/>
      <c r="Y123" s="74"/>
      <c r="Z123" s="75"/>
      <c r="AA123" s="30">
        <f t="shared" si="35"/>
        <v>0</v>
      </c>
      <c r="AB123" s="327"/>
      <c r="AC123" s="327"/>
      <c r="AD123" s="327"/>
      <c r="AE123" s="327"/>
      <c r="AF123" s="327"/>
      <c r="AG123" s="328"/>
      <c r="AH123" s="68">
        <f t="shared" si="51"/>
        <v>0</v>
      </c>
      <c r="AI123" s="69"/>
      <c r="AJ123" s="1048">
        <f t="shared" si="52"/>
        <v>0</v>
      </c>
      <c r="AK123" s="54">
        <f t="shared" si="32"/>
        <v>0</v>
      </c>
      <c r="AL123" s="1049">
        <f t="shared" si="33"/>
        <v>0</v>
      </c>
      <c r="AM123" s="1048">
        <f t="shared" si="53"/>
        <v>0</v>
      </c>
      <c r="AN123" s="73">
        <f t="shared" si="54"/>
        <v>-1</v>
      </c>
      <c r="AO123" s="30"/>
      <c r="AP123" s="196">
        <f t="shared" si="39"/>
        <v>0</v>
      </c>
      <c r="AQ123" s="197">
        <f t="shared" si="40"/>
        <v>0</v>
      </c>
      <c r="AR123" s="196">
        <f t="shared" si="41"/>
        <v>0</v>
      </c>
      <c r="AS123" s="197">
        <f t="shared" si="42"/>
        <v>0</v>
      </c>
    </row>
    <row r="124" spans="1:45" x14ac:dyDescent="0.2">
      <c r="A124" s="30"/>
      <c r="B124" s="56"/>
      <c r="C124" s="78"/>
      <c r="D124" s="58"/>
      <c r="E124" s="59"/>
      <c r="F124" s="79"/>
      <c r="G124" s="60"/>
      <c r="H124" s="61"/>
      <c r="I124" s="62">
        <f t="shared" si="43"/>
        <v>0</v>
      </c>
      <c r="J124" s="63">
        <f t="shared" si="44"/>
        <v>0</v>
      </c>
      <c r="K124" s="64">
        <f t="shared" si="45"/>
        <v>0</v>
      </c>
      <c r="L124" s="62">
        <f t="shared" si="46"/>
        <v>0</v>
      </c>
      <c r="M124" s="65">
        <f t="shared" si="47"/>
        <v>0</v>
      </c>
      <c r="N124" s="64">
        <f t="shared" si="48"/>
        <v>0</v>
      </c>
      <c r="O124" s="135">
        <f t="shared" si="34"/>
        <v>0</v>
      </c>
      <c r="P124" s="136">
        <f t="shared" si="49"/>
        <v>0</v>
      </c>
      <c r="Q124" s="64">
        <f t="shared" si="50"/>
        <v>0</v>
      </c>
      <c r="R124" s="1188"/>
      <c r="S124" s="1189"/>
      <c r="T124" s="36"/>
      <c r="U124" s="27"/>
      <c r="V124" s="69"/>
      <c r="W124" s="74"/>
      <c r="X124" s="129"/>
      <c r="Y124" s="74"/>
      <c r="Z124" s="75"/>
      <c r="AA124" s="30">
        <f t="shared" si="35"/>
        <v>0</v>
      </c>
      <c r="AB124" s="327"/>
      <c r="AC124" s="327"/>
      <c r="AD124" s="327"/>
      <c r="AE124" s="327"/>
      <c r="AF124" s="327"/>
      <c r="AG124" s="328"/>
      <c r="AH124" s="68">
        <f t="shared" si="51"/>
        <v>0</v>
      </c>
      <c r="AI124" s="69"/>
      <c r="AJ124" s="1048">
        <f t="shared" si="52"/>
        <v>0</v>
      </c>
      <c r="AK124" s="54">
        <f t="shared" si="32"/>
        <v>0</v>
      </c>
      <c r="AL124" s="1049">
        <f t="shared" si="33"/>
        <v>0</v>
      </c>
      <c r="AM124" s="1048">
        <f t="shared" si="53"/>
        <v>0</v>
      </c>
      <c r="AN124" s="73">
        <f t="shared" si="54"/>
        <v>-1</v>
      </c>
      <c r="AO124" s="30"/>
      <c r="AP124" s="196">
        <f t="shared" si="39"/>
        <v>0</v>
      </c>
      <c r="AQ124" s="197">
        <f t="shared" si="40"/>
        <v>0</v>
      </c>
      <c r="AR124" s="196">
        <f t="shared" si="41"/>
        <v>0</v>
      </c>
      <c r="AS124" s="197">
        <f t="shared" si="42"/>
        <v>0</v>
      </c>
    </row>
    <row r="125" spans="1:45" x14ac:dyDescent="0.2">
      <c r="A125" s="30"/>
      <c r="B125" s="56"/>
      <c r="C125" s="78"/>
      <c r="D125" s="58"/>
      <c r="E125" s="59"/>
      <c r="F125" s="79"/>
      <c r="G125" s="60"/>
      <c r="H125" s="61"/>
      <c r="I125" s="62">
        <f t="shared" si="43"/>
        <v>0</v>
      </c>
      <c r="J125" s="63">
        <f t="shared" si="44"/>
        <v>0</v>
      </c>
      <c r="K125" s="64">
        <f t="shared" si="45"/>
        <v>0</v>
      </c>
      <c r="L125" s="62">
        <f t="shared" si="46"/>
        <v>0</v>
      </c>
      <c r="M125" s="65">
        <f t="shared" si="47"/>
        <v>0</v>
      </c>
      <c r="N125" s="64">
        <f t="shared" si="48"/>
        <v>0</v>
      </c>
      <c r="O125" s="135">
        <f t="shared" si="34"/>
        <v>0</v>
      </c>
      <c r="P125" s="136">
        <f t="shared" si="49"/>
        <v>0</v>
      </c>
      <c r="Q125" s="64">
        <f t="shared" si="50"/>
        <v>0</v>
      </c>
      <c r="R125" s="1188"/>
      <c r="S125" s="1189"/>
      <c r="T125" s="36"/>
      <c r="U125" s="27"/>
      <c r="V125" s="69"/>
      <c r="W125" s="74"/>
      <c r="X125" s="129"/>
      <c r="Y125" s="74"/>
      <c r="Z125" s="75"/>
      <c r="AA125" s="30">
        <f t="shared" si="35"/>
        <v>0</v>
      </c>
      <c r="AB125" s="327"/>
      <c r="AC125" s="327"/>
      <c r="AD125" s="327"/>
      <c r="AE125" s="327"/>
      <c r="AF125" s="327"/>
      <c r="AG125" s="328"/>
      <c r="AH125" s="68">
        <f t="shared" si="51"/>
        <v>0</v>
      </c>
      <c r="AI125" s="69"/>
      <c r="AJ125" s="1048">
        <f t="shared" si="52"/>
        <v>0</v>
      </c>
      <c r="AK125" s="54">
        <f t="shared" si="32"/>
        <v>0</v>
      </c>
      <c r="AL125" s="1049">
        <f t="shared" si="33"/>
        <v>0</v>
      </c>
      <c r="AM125" s="1048">
        <f t="shared" si="53"/>
        <v>0</v>
      </c>
      <c r="AN125" s="73">
        <f t="shared" si="54"/>
        <v>-1</v>
      </c>
      <c r="AO125" s="30"/>
      <c r="AP125" s="196">
        <f t="shared" si="39"/>
        <v>0</v>
      </c>
      <c r="AQ125" s="197">
        <f t="shared" si="40"/>
        <v>0</v>
      </c>
      <c r="AR125" s="196">
        <f t="shared" si="41"/>
        <v>0</v>
      </c>
      <c r="AS125" s="197">
        <f t="shared" si="42"/>
        <v>0</v>
      </c>
    </row>
    <row r="126" spans="1:45" x14ac:dyDescent="0.2">
      <c r="A126" s="30"/>
      <c r="B126" s="56"/>
      <c r="C126" s="78"/>
      <c r="D126" s="58"/>
      <c r="E126" s="59"/>
      <c r="F126" s="79"/>
      <c r="G126" s="60"/>
      <c r="H126" s="61"/>
      <c r="I126" s="62">
        <f t="shared" si="43"/>
        <v>0</v>
      </c>
      <c r="J126" s="63">
        <f t="shared" si="44"/>
        <v>0</v>
      </c>
      <c r="K126" s="64">
        <f t="shared" si="45"/>
        <v>0</v>
      </c>
      <c r="L126" s="62">
        <f t="shared" si="46"/>
        <v>0</v>
      </c>
      <c r="M126" s="65">
        <f t="shared" si="47"/>
        <v>0</v>
      </c>
      <c r="N126" s="64">
        <f t="shared" si="48"/>
        <v>0</v>
      </c>
      <c r="O126" s="135">
        <f t="shared" si="34"/>
        <v>0</v>
      </c>
      <c r="P126" s="136">
        <f t="shared" si="49"/>
        <v>0</v>
      </c>
      <c r="Q126" s="64">
        <f t="shared" si="50"/>
        <v>0</v>
      </c>
      <c r="R126" s="1188"/>
      <c r="S126" s="1189"/>
      <c r="T126" s="36"/>
      <c r="U126" s="27"/>
      <c r="V126" s="69"/>
      <c r="W126" s="74"/>
      <c r="X126" s="129"/>
      <c r="Y126" s="74"/>
      <c r="Z126" s="75"/>
      <c r="AA126" s="30">
        <f t="shared" si="35"/>
        <v>0</v>
      </c>
      <c r="AB126" s="327"/>
      <c r="AC126" s="327"/>
      <c r="AD126" s="327"/>
      <c r="AE126" s="327"/>
      <c r="AF126" s="327"/>
      <c r="AG126" s="328"/>
      <c r="AH126" s="68">
        <f t="shared" si="51"/>
        <v>0</v>
      </c>
      <c r="AI126" s="69"/>
      <c r="AJ126" s="1048">
        <f t="shared" si="52"/>
        <v>0</v>
      </c>
      <c r="AK126" s="54">
        <f t="shared" si="32"/>
        <v>0</v>
      </c>
      <c r="AL126" s="1049">
        <f t="shared" si="33"/>
        <v>0</v>
      </c>
      <c r="AM126" s="1048">
        <f t="shared" si="53"/>
        <v>0</v>
      </c>
      <c r="AN126" s="73">
        <f t="shared" si="54"/>
        <v>-1</v>
      </c>
      <c r="AO126" s="30"/>
      <c r="AP126" s="196">
        <f t="shared" si="39"/>
        <v>0</v>
      </c>
      <c r="AQ126" s="197">
        <f t="shared" si="40"/>
        <v>0</v>
      </c>
      <c r="AR126" s="196">
        <f t="shared" si="41"/>
        <v>0</v>
      </c>
      <c r="AS126" s="197">
        <f t="shared" si="42"/>
        <v>0</v>
      </c>
    </row>
    <row r="127" spans="1:45" x14ac:dyDescent="0.2">
      <c r="A127" s="30"/>
      <c r="B127" s="56"/>
      <c r="C127" s="78"/>
      <c r="D127" s="58"/>
      <c r="E127" s="59"/>
      <c r="F127" s="79"/>
      <c r="G127" s="60"/>
      <c r="H127" s="61"/>
      <c r="I127" s="62">
        <f t="shared" si="43"/>
        <v>0</v>
      </c>
      <c r="J127" s="63">
        <f t="shared" si="44"/>
        <v>0</v>
      </c>
      <c r="K127" s="64">
        <f t="shared" si="45"/>
        <v>0</v>
      </c>
      <c r="L127" s="62">
        <f t="shared" si="46"/>
        <v>0</v>
      </c>
      <c r="M127" s="65">
        <f t="shared" si="47"/>
        <v>0</v>
      </c>
      <c r="N127" s="64">
        <f t="shared" si="48"/>
        <v>0</v>
      </c>
      <c r="O127" s="135">
        <f t="shared" si="34"/>
        <v>0</v>
      </c>
      <c r="P127" s="136">
        <f t="shared" si="49"/>
        <v>0</v>
      </c>
      <c r="Q127" s="64">
        <f t="shared" si="50"/>
        <v>0</v>
      </c>
      <c r="R127" s="1188"/>
      <c r="S127" s="1189"/>
      <c r="T127" s="36"/>
      <c r="U127" s="27"/>
      <c r="V127" s="69"/>
      <c r="W127" s="74"/>
      <c r="X127" s="129"/>
      <c r="Y127" s="74"/>
      <c r="Z127" s="75"/>
      <c r="AA127" s="30">
        <f t="shared" si="35"/>
        <v>0</v>
      </c>
      <c r="AB127" s="30"/>
      <c r="AC127" s="30"/>
      <c r="AD127" s="30"/>
      <c r="AE127" s="30"/>
      <c r="AF127" s="30"/>
      <c r="AG127" s="30"/>
      <c r="AH127" s="68">
        <f t="shared" si="51"/>
        <v>0</v>
      </c>
      <c r="AI127" s="69"/>
      <c r="AJ127" s="1048">
        <f t="shared" si="52"/>
        <v>0</v>
      </c>
      <c r="AK127" s="54">
        <f t="shared" si="32"/>
        <v>0</v>
      </c>
      <c r="AL127" s="1049">
        <f t="shared" si="33"/>
        <v>0</v>
      </c>
      <c r="AM127" s="1048">
        <f t="shared" si="53"/>
        <v>0</v>
      </c>
      <c r="AN127" s="73">
        <f t="shared" si="54"/>
        <v>-1</v>
      </c>
      <c r="AO127" s="30"/>
      <c r="AP127" s="196">
        <f t="shared" si="39"/>
        <v>0</v>
      </c>
      <c r="AQ127" s="197">
        <f t="shared" si="40"/>
        <v>0</v>
      </c>
      <c r="AR127" s="196">
        <f t="shared" si="41"/>
        <v>0</v>
      </c>
      <c r="AS127" s="197">
        <f t="shared" si="42"/>
        <v>0</v>
      </c>
    </row>
    <row r="128" spans="1:45" x14ac:dyDescent="0.2">
      <c r="A128" s="30"/>
      <c r="B128" s="56"/>
      <c r="C128" s="78"/>
      <c r="D128" s="58"/>
      <c r="E128" s="59"/>
      <c r="F128" s="79"/>
      <c r="G128" s="60"/>
      <c r="H128" s="61"/>
      <c r="I128" s="62">
        <f t="shared" si="43"/>
        <v>0</v>
      </c>
      <c r="J128" s="63">
        <f t="shared" si="44"/>
        <v>0</v>
      </c>
      <c r="K128" s="64">
        <f t="shared" si="45"/>
        <v>0</v>
      </c>
      <c r="L128" s="62">
        <f t="shared" si="46"/>
        <v>0</v>
      </c>
      <c r="M128" s="65">
        <f t="shared" si="47"/>
        <v>0</v>
      </c>
      <c r="N128" s="64">
        <f t="shared" si="48"/>
        <v>0</v>
      </c>
      <c r="O128" s="135">
        <f t="shared" si="34"/>
        <v>0</v>
      </c>
      <c r="P128" s="136">
        <f t="shared" si="49"/>
        <v>0</v>
      </c>
      <c r="Q128" s="64">
        <f t="shared" si="50"/>
        <v>0</v>
      </c>
      <c r="R128" s="1188"/>
      <c r="S128" s="1189"/>
      <c r="T128" s="36"/>
      <c r="U128" s="27"/>
      <c r="V128" s="69"/>
      <c r="W128" s="74"/>
      <c r="X128" s="129"/>
      <c r="Y128" s="74"/>
      <c r="Z128" s="75"/>
      <c r="AA128" s="30">
        <f t="shared" si="35"/>
        <v>0</v>
      </c>
      <c r="AB128" s="30"/>
      <c r="AC128" s="30"/>
      <c r="AD128" s="30"/>
      <c r="AE128" s="30"/>
      <c r="AF128" s="30"/>
      <c r="AG128" s="30"/>
      <c r="AH128" s="68">
        <f t="shared" si="51"/>
        <v>0</v>
      </c>
      <c r="AI128" s="69"/>
      <c r="AJ128" s="1048">
        <f t="shared" si="52"/>
        <v>0</v>
      </c>
      <c r="AK128" s="54">
        <f t="shared" si="32"/>
        <v>0</v>
      </c>
      <c r="AL128" s="1049">
        <f t="shared" si="33"/>
        <v>0</v>
      </c>
      <c r="AM128" s="1048">
        <f t="shared" si="53"/>
        <v>0</v>
      </c>
      <c r="AN128" s="73">
        <f t="shared" si="54"/>
        <v>-1</v>
      </c>
      <c r="AO128" s="30"/>
      <c r="AP128" s="196">
        <f t="shared" si="39"/>
        <v>0</v>
      </c>
      <c r="AQ128" s="197">
        <f t="shared" si="40"/>
        <v>0</v>
      </c>
      <c r="AR128" s="196">
        <f t="shared" si="41"/>
        <v>0</v>
      </c>
      <c r="AS128" s="197">
        <f t="shared" si="42"/>
        <v>0</v>
      </c>
    </row>
    <row r="129" spans="1:45" x14ac:dyDescent="0.2">
      <c r="A129" s="30"/>
      <c r="B129" s="56"/>
      <c r="C129" s="78"/>
      <c r="D129" s="58"/>
      <c r="E129" s="59"/>
      <c r="F129" s="79"/>
      <c r="G129" s="60"/>
      <c r="H129" s="61"/>
      <c r="I129" s="62">
        <f t="shared" si="43"/>
        <v>0</v>
      </c>
      <c r="J129" s="63">
        <f t="shared" si="44"/>
        <v>0</v>
      </c>
      <c r="K129" s="64">
        <f t="shared" si="45"/>
        <v>0</v>
      </c>
      <c r="L129" s="62">
        <f t="shared" si="46"/>
        <v>0</v>
      </c>
      <c r="M129" s="65">
        <f t="shared" si="47"/>
        <v>0</v>
      </c>
      <c r="N129" s="64">
        <f t="shared" si="48"/>
        <v>0</v>
      </c>
      <c r="O129" s="135">
        <f t="shared" si="34"/>
        <v>0</v>
      </c>
      <c r="P129" s="136">
        <f t="shared" si="49"/>
        <v>0</v>
      </c>
      <c r="Q129" s="64">
        <f t="shared" si="50"/>
        <v>0</v>
      </c>
      <c r="R129" s="1188"/>
      <c r="S129" s="1189"/>
      <c r="T129" s="36"/>
      <c r="U129" s="27"/>
      <c r="V129" s="69"/>
      <c r="W129" s="74"/>
      <c r="X129" s="129"/>
      <c r="Y129" s="74"/>
      <c r="Z129" s="75"/>
      <c r="AA129" s="30">
        <f t="shared" si="35"/>
        <v>0</v>
      </c>
      <c r="AB129" s="30"/>
      <c r="AC129" s="30"/>
      <c r="AD129" s="30"/>
      <c r="AE129" s="30"/>
      <c r="AF129" s="30"/>
      <c r="AG129" s="30"/>
      <c r="AH129" s="68">
        <f t="shared" si="51"/>
        <v>0</v>
      </c>
      <c r="AI129" s="69"/>
      <c r="AJ129" s="1048">
        <f t="shared" si="52"/>
        <v>0</v>
      </c>
      <c r="AK129" s="54">
        <f t="shared" si="32"/>
        <v>0</v>
      </c>
      <c r="AL129" s="1049">
        <f t="shared" si="33"/>
        <v>0</v>
      </c>
      <c r="AM129" s="1048">
        <f t="shared" si="53"/>
        <v>0</v>
      </c>
      <c r="AN129" s="73">
        <f t="shared" si="54"/>
        <v>-1</v>
      </c>
      <c r="AO129" s="30"/>
      <c r="AP129" s="196">
        <f t="shared" si="39"/>
        <v>0</v>
      </c>
      <c r="AQ129" s="197">
        <f t="shared" si="40"/>
        <v>0</v>
      </c>
      <c r="AR129" s="196">
        <f t="shared" si="41"/>
        <v>0</v>
      </c>
      <c r="AS129" s="197">
        <f t="shared" si="42"/>
        <v>0</v>
      </c>
    </row>
    <row r="130" spans="1:45" ht="12.75" customHeight="1" thickBot="1" x14ac:dyDescent="0.25">
      <c r="A130" s="30"/>
      <c r="B130" s="56"/>
      <c r="C130" s="78"/>
      <c r="D130" s="58"/>
      <c r="E130" s="59"/>
      <c r="F130" s="79"/>
      <c r="G130" s="60"/>
      <c r="H130" s="61"/>
      <c r="I130" s="62">
        <f t="shared" si="43"/>
        <v>0</v>
      </c>
      <c r="J130" s="63">
        <f t="shared" si="44"/>
        <v>0</v>
      </c>
      <c r="K130" s="64">
        <f t="shared" si="45"/>
        <v>0</v>
      </c>
      <c r="L130" s="62">
        <f t="shared" si="46"/>
        <v>0</v>
      </c>
      <c r="M130" s="65">
        <f t="shared" si="47"/>
        <v>0</v>
      </c>
      <c r="N130" s="64">
        <f t="shared" si="48"/>
        <v>0</v>
      </c>
      <c r="O130" s="135">
        <f t="shared" si="34"/>
        <v>0</v>
      </c>
      <c r="P130" s="136">
        <f t="shared" si="49"/>
        <v>0</v>
      </c>
      <c r="Q130" s="64">
        <f t="shared" si="50"/>
        <v>0</v>
      </c>
      <c r="R130" s="1301"/>
      <c r="S130" s="1302"/>
      <c r="T130" s="36"/>
      <c r="U130" s="27"/>
      <c r="V130" s="80"/>
      <c r="W130" s="734"/>
      <c r="X130" s="735"/>
      <c r="Y130" s="734"/>
      <c r="Z130" s="736"/>
      <c r="AA130" s="30">
        <f t="shared" si="35"/>
        <v>0</v>
      </c>
      <c r="AB130" s="30"/>
      <c r="AC130" s="30"/>
      <c r="AD130" s="30"/>
      <c r="AE130" s="30"/>
      <c r="AF130" s="30"/>
      <c r="AG130" s="30"/>
      <c r="AH130" s="68">
        <f t="shared" si="51"/>
        <v>0</v>
      </c>
      <c r="AI130" s="69"/>
      <c r="AJ130" s="1048">
        <f t="shared" si="52"/>
        <v>0</v>
      </c>
      <c r="AK130" s="54">
        <f t="shared" si="32"/>
        <v>0</v>
      </c>
      <c r="AL130" s="1049">
        <f t="shared" si="33"/>
        <v>0</v>
      </c>
      <c r="AM130" s="1048">
        <f t="shared" si="53"/>
        <v>0</v>
      </c>
      <c r="AN130" s="73">
        <f t="shared" si="54"/>
        <v>-1</v>
      </c>
      <c r="AO130" s="30"/>
      <c r="AP130" s="196">
        <f t="shared" si="39"/>
        <v>0</v>
      </c>
      <c r="AQ130" s="197">
        <f t="shared" si="40"/>
        <v>0</v>
      </c>
      <c r="AR130" s="196">
        <f t="shared" si="41"/>
        <v>0</v>
      </c>
      <c r="AS130" s="197">
        <f t="shared" si="42"/>
        <v>0</v>
      </c>
    </row>
    <row r="131" spans="1:45" ht="12.75" customHeight="1" thickBot="1" x14ac:dyDescent="0.25">
      <c r="A131" s="30"/>
      <c r="B131" s="117"/>
      <c r="C131" s="118"/>
      <c r="D131" s="118"/>
      <c r="E131" s="118"/>
      <c r="F131" s="118"/>
      <c r="G131" s="118" t="s">
        <v>34</v>
      </c>
      <c r="H131" s="119"/>
      <c r="I131" s="120">
        <f t="shared" ref="I131:Q131" si="55">SUM(I91:I130)</f>
        <v>0</v>
      </c>
      <c r="J131" s="120">
        <f t="shared" si="55"/>
        <v>0</v>
      </c>
      <c r="K131" s="120">
        <f t="shared" si="55"/>
        <v>0</v>
      </c>
      <c r="L131" s="120">
        <f t="shared" si="55"/>
        <v>0</v>
      </c>
      <c r="M131" s="120">
        <f t="shared" si="55"/>
        <v>0</v>
      </c>
      <c r="N131" s="120">
        <f t="shared" si="55"/>
        <v>0</v>
      </c>
      <c r="O131" s="120">
        <f t="shared" si="55"/>
        <v>0</v>
      </c>
      <c r="P131" s="120">
        <f t="shared" si="55"/>
        <v>0</v>
      </c>
      <c r="Q131" s="120">
        <f t="shared" si="55"/>
        <v>0</v>
      </c>
      <c r="R131" s="120"/>
      <c r="S131" s="118"/>
      <c r="T131" s="82"/>
      <c r="U131" s="27"/>
      <c r="V131" s="117"/>
      <c r="W131" s="117"/>
      <c r="X131" s="117"/>
      <c r="Y131" s="117"/>
      <c r="Z131" s="117"/>
      <c r="AA131" s="30"/>
      <c r="AB131" s="30"/>
      <c r="AC131" s="30"/>
      <c r="AD131" s="30"/>
      <c r="AE131" s="30"/>
      <c r="AF131" s="30"/>
      <c r="AG131" s="30"/>
      <c r="AH131" s="84"/>
      <c r="AI131" s="85"/>
      <c r="AJ131" s="85"/>
      <c r="AK131" s="85"/>
      <c r="AL131" s="85"/>
      <c r="AM131" s="85"/>
      <c r="AN131" s="85"/>
      <c r="AO131" s="30"/>
      <c r="AP131" s="732">
        <f>SUM(AP91:AP130)</f>
        <v>0</v>
      </c>
      <c r="AQ131" s="733">
        <f>SUM(AQ91:AQ130)</f>
        <v>0</v>
      </c>
      <c r="AR131" s="732">
        <f>SUM(AR91:AR130)</f>
        <v>0</v>
      </c>
      <c r="AS131" s="733">
        <f>SUM(AS91:AS130)</f>
        <v>0</v>
      </c>
    </row>
    <row r="132" spans="1:45" ht="12.75" customHeight="1" x14ac:dyDescent="0.2">
      <c r="A132" s="30"/>
      <c r="B132" s="86" t="s">
        <v>338</v>
      </c>
      <c r="C132" s="82"/>
      <c r="D132" s="82"/>
      <c r="E132" s="82"/>
      <c r="F132" s="82"/>
      <c r="G132" s="82"/>
      <c r="H132" s="82"/>
      <c r="I132" s="82"/>
      <c r="J132" s="82"/>
      <c r="K132" s="83"/>
      <c r="L132" s="87"/>
      <c r="M132" s="87"/>
      <c r="N132" s="87"/>
      <c r="O132" s="87"/>
      <c r="P132" s="87"/>
      <c r="Q132" s="87"/>
      <c r="R132" s="87"/>
      <c r="S132" s="82"/>
      <c r="T132" s="82"/>
      <c r="U132" s="27"/>
      <c r="V132" s="556"/>
      <c r="W132" s="556"/>
      <c r="X132" s="556"/>
      <c r="Y132" s="556"/>
      <c r="Z132" s="401"/>
      <c r="AA132" s="40"/>
      <c r="AB132" s="40"/>
      <c r="AC132" s="89"/>
      <c r="AD132" s="40"/>
      <c r="AE132" s="40"/>
      <c r="AF132" s="40"/>
      <c r="AG132" s="40"/>
      <c r="AH132" s="30"/>
      <c r="AI132" s="30"/>
      <c r="AJ132" s="30"/>
      <c r="AK132" s="30"/>
      <c r="AL132" s="30"/>
      <c r="AM132" s="30"/>
      <c r="AN132" s="27"/>
    </row>
    <row r="133" spans="1:45" ht="12.75" customHeight="1" x14ac:dyDescent="0.2">
      <c r="A133" s="30"/>
      <c r="B133" s="86" t="s">
        <v>365</v>
      </c>
      <c r="C133" s="82"/>
      <c r="D133" s="82"/>
      <c r="E133" s="82"/>
      <c r="F133" s="82"/>
      <c r="G133" s="82"/>
      <c r="H133" s="82"/>
      <c r="I133" s="82"/>
      <c r="J133" s="82"/>
      <c r="K133" s="82"/>
      <c r="L133" s="82"/>
      <c r="M133" s="82"/>
      <c r="N133" s="82"/>
      <c r="O133" s="82"/>
      <c r="P133" s="82"/>
      <c r="Q133" s="82"/>
      <c r="R133" s="82"/>
      <c r="S133" s="82"/>
      <c r="T133" s="82"/>
      <c r="U133" s="27"/>
      <c r="V133" s="401"/>
      <c r="W133" s="556"/>
      <c r="X133" s="556"/>
      <c r="Y133" s="556"/>
      <c r="Z133" s="401"/>
      <c r="AA133" s="600"/>
      <c r="AB133" s="40"/>
      <c r="AC133" s="89"/>
      <c r="AD133" s="40"/>
      <c r="AE133" s="40"/>
      <c r="AF133" s="40"/>
      <c r="AG133" s="40"/>
      <c r="AH133" s="858"/>
      <c r="AI133" s="858"/>
      <c r="AJ133" s="858"/>
      <c r="AK133" s="858"/>
      <c r="AL133" s="858"/>
      <c r="AM133" s="30"/>
      <c r="AN133" s="27"/>
    </row>
    <row r="134" spans="1:45" ht="12.75" customHeight="1" x14ac:dyDescent="0.2">
      <c r="A134" s="30"/>
      <c r="B134" s="86" t="str">
        <f>IF(OR($M$67=$AA$64,$M$68=$AA$64),"*** An additional "&amp;Q142-Q131&amp;" lft of liquid asphalt sealant has been added to cover corrugations that are not within 1' of a joint."," ")</f>
        <v xml:space="preserve"> </v>
      </c>
      <c r="C134" s="82"/>
      <c r="D134" s="82"/>
      <c r="E134" s="82"/>
      <c r="F134" s="82"/>
      <c r="G134" s="82"/>
      <c r="H134" s="82"/>
      <c r="I134" s="82"/>
      <c r="J134" s="82"/>
      <c r="K134" s="82"/>
      <c r="L134" s="82"/>
      <c r="M134" s="82"/>
      <c r="N134" s="82"/>
      <c r="O134" s="82"/>
      <c r="P134" s="82"/>
      <c r="Q134" s="82"/>
      <c r="R134" s="82"/>
      <c r="S134" s="82"/>
      <c r="T134" s="82"/>
      <c r="U134" s="27"/>
      <c r="V134" s="401"/>
      <c r="W134" s="556"/>
      <c r="X134" s="556"/>
      <c r="Y134" s="556"/>
      <c r="Z134" s="401"/>
      <c r="AA134" s="600"/>
      <c r="AB134" s="40"/>
      <c r="AC134" s="89"/>
      <c r="AD134" s="40"/>
      <c r="AE134" s="40"/>
      <c r="AF134" s="40"/>
      <c r="AG134" s="40"/>
      <c r="AH134" s="858"/>
      <c r="AI134" s="858"/>
      <c r="AJ134" s="858"/>
      <c r="AK134" s="858"/>
      <c r="AL134" s="858"/>
      <c r="AM134" s="30"/>
      <c r="AN134" s="27"/>
    </row>
    <row r="135" spans="1:45" ht="12.75" customHeight="1" x14ac:dyDescent="0.2">
      <c r="A135" s="30"/>
      <c r="B135" s="86"/>
      <c r="C135" s="82"/>
      <c r="D135" s="82"/>
      <c r="E135" s="82"/>
      <c r="F135" s="82"/>
      <c r="G135" s="82"/>
      <c r="H135" s="82"/>
      <c r="I135" s="82"/>
      <c r="J135" s="82"/>
      <c r="K135" s="82"/>
      <c r="L135" s="82"/>
      <c r="M135" s="82"/>
      <c r="N135" s="82"/>
      <c r="O135" s="82"/>
      <c r="P135" s="82"/>
      <c r="Q135" s="82"/>
      <c r="R135" s="82"/>
      <c r="S135" s="82"/>
      <c r="T135" s="82"/>
      <c r="U135" s="27"/>
      <c r="V135" s="401"/>
      <c r="W135" s="556"/>
      <c r="X135" s="556"/>
      <c r="Y135" s="556"/>
      <c r="Z135" s="401"/>
      <c r="AA135" s="600"/>
      <c r="AB135" s="40"/>
      <c r="AC135" s="89"/>
      <c r="AD135" s="40"/>
      <c r="AE135" s="40"/>
      <c r="AF135" s="40"/>
      <c r="AG135" s="40"/>
      <c r="AH135" s="858"/>
      <c r="AI135" s="858"/>
      <c r="AJ135" s="858"/>
      <c r="AK135" s="858"/>
      <c r="AL135" s="858"/>
      <c r="AM135" s="30"/>
      <c r="AN135" s="27"/>
    </row>
    <row r="136" spans="1:45" ht="15.75" thickBot="1" x14ac:dyDescent="0.25">
      <c r="A136" s="30"/>
      <c r="B136" s="92"/>
      <c r="C136" s="93"/>
      <c r="D136" s="93"/>
      <c r="E136" s="93"/>
      <c r="F136" s="1172" t="s">
        <v>55</v>
      </c>
      <c r="G136" s="1172"/>
      <c r="H136" s="1172"/>
      <c r="I136" s="1172"/>
      <c r="J136" s="1172"/>
      <c r="K136" s="1172"/>
      <c r="L136" s="1172"/>
      <c r="M136" s="1172"/>
      <c r="N136" s="1172"/>
      <c r="O136" s="1172"/>
      <c r="P136" s="1172"/>
      <c r="Q136" s="1172"/>
      <c r="R136" s="1172"/>
      <c r="S136" s="82"/>
      <c r="T136" s="82"/>
      <c r="U136" s="27"/>
      <c r="V136" s="799"/>
      <c r="W136" s="795"/>
      <c r="X136" s="800"/>
      <c r="Y136" s="549"/>
      <c r="Z136" s="401"/>
      <c r="AA136" s="40"/>
      <c r="AB136" s="556"/>
      <c r="AC136" s="89"/>
      <c r="AD136" s="40"/>
      <c r="AE136" s="40"/>
      <c r="AF136" s="40"/>
      <c r="AG136" s="40"/>
      <c r="AH136" s="858"/>
      <c r="AI136" s="858"/>
      <c r="AJ136" s="858"/>
      <c r="AK136" s="858"/>
      <c r="AL136" s="858"/>
      <c r="AM136" s="30"/>
      <c r="AN136" s="27"/>
    </row>
    <row r="137" spans="1:45" ht="12.75" customHeight="1" x14ac:dyDescent="0.2">
      <c r="A137" s="30"/>
      <c r="B137" s="93"/>
      <c r="C137" s="94"/>
      <c r="D137" s="30"/>
      <c r="E137" s="30"/>
      <c r="F137" s="1209" t="str">
        <f>$V$52</f>
        <v>Mainline</v>
      </c>
      <c r="G137" s="1210"/>
      <c r="H137" s="1209" t="str">
        <f>$V$56</f>
        <v>Shoulder</v>
      </c>
      <c r="I137" s="1210"/>
      <c r="J137" s="1183" t="s">
        <v>32</v>
      </c>
      <c r="K137" s="1183">
        <f>IF(AND($W$60=$W$67,$W$61&lt;&gt;"Asphalt Millings"),"Comp. Agg. No. "&amp;$Y$60,$W$61)</f>
        <v>0</v>
      </c>
      <c r="L137" s="1212" t="s">
        <v>23</v>
      </c>
      <c r="M137" s="1213"/>
      <c r="N137" s="1214"/>
      <c r="O137" s="1176" t="s">
        <v>330</v>
      </c>
      <c r="P137" s="1177"/>
      <c r="Q137" s="1199" t="str">
        <f>"Liquid Asphalt Sealant"&amp;IF(OR($M$67=$AA$64,$M$68=$AA$64)," ***"," ")</f>
        <v xml:space="preserve">Liquid Asphalt Sealant </v>
      </c>
      <c r="R137" s="1215" t="s">
        <v>837</v>
      </c>
      <c r="S137" s="30"/>
      <c r="T137" s="30"/>
      <c r="U137" s="27"/>
      <c r="V137" s="304"/>
      <c r="W137" s="40"/>
      <c r="X137" s="207"/>
      <c r="Y137" s="40"/>
      <c r="Z137" s="401"/>
      <c r="AA137" s="40"/>
      <c r="AB137" s="556"/>
      <c r="AC137" s="89"/>
      <c r="AD137" s="40"/>
      <c r="AE137" s="40"/>
      <c r="AF137" s="40"/>
      <c r="AG137" s="40"/>
      <c r="AH137" s="858"/>
      <c r="AI137" s="858"/>
      <c r="AJ137" s="858"/>
      <c r="AK137" s="858"/>
      <c r="AL137" s="858"/>
      <c r="AM137" s="30"/>
      <c r="AN137" s="27"/>
    </row>
    <row r="138" spans="1:45" ht="12.75" customHeight="1" x14ac:dyDescent="0.2">
      <c r="A138" s="30"/>
      <c r="B138" s="93"/>
      <c r="C138" s="94"/>
      <c r="D138" s="30"/>
      <c r="E138" s="30"/>
      <c r="F138" s="1174">
        <f>IF(F139="SMA",$AA$54,IF($W$52=$AA$59,"check pavement treatment",$W$52))</f>
        <v>0</v>
      </c>
      <c r="G138" s="1175"/>
      <c r="H138" s="1174">
        <f>IF($W$56=$AA$55,"check pavement treatment",$W$56)</f>
        <v>0</v>
      </c>
      <c r="I138" s="1182"/>
      <c r="J138" s="1184"/>
      <c r="K138" s="1184"/>
      <c r="L138" s="1202" t="str">
        <f>IF($AC$6=$AA$63, "Asphalt",IF(AG6=AE63,AG6,IF(AG6=AE64,"Asphalt Remov-","Scarifi-cation")))</f>
        <v>Scarifi-cation</v>
      </c>
      <c r="M138" s="1204" t="s">
        <v>351</v>
      </c>
      <c r="N138" s="1207" t="s">
        <v>24</v>
      </c>
      <c r="O138" s="1178"/>
      <c r="P138" s="1179"/>
      <c r="Q138" s="1200"/>
      <c r="R138" s="1216"/>
      <c r="S138" s="30"/>
      <c r="T138" s="30"/>
      <c r="U138" s="27"/>
      <c r="V138" s="304"/>
      <c r="W138" s="40"/>
      <c r="X138" s="207"/>
      <c r="Y138" s="40"/>
      <c r="Z138" s="401"/>
      <c r="AA138" s="40"/>
      <c r="AB138" s="556"/>
      <c r="AC138" s="89"/>
      <c r="AD138" s="40"/>
      <c r="AE138" s="40"/>
      <c r="AF138" s="40"/>
      <c r="AG138" s="40"/>
      <c r="AH138" s="858"/>
      <c r="AI138" s="858"/>
      <c r="AJ138" s="858"/>
      <c r="AK138" s="858"/>
      <c r="AL138" s="858"/>
      <c r="AM138" s="30"/>
      <c r="AN138" s="27"/>
    </row>
    <row r="139" spans="1:45" ht="12.75" customHeight="1" x14ac:dyDescent="0.2">
      <c r="A139" s="30"/>
      <c r="B139" s="93"/>
      <c r="C139" s="93"/>
      <c r="D139" s="30"/>
      <c r="E139" s="30"/>
      <c r="F139" s="96">
        <f>IF($W$52=$AA$54,$V$53,IF($W$52=$AA$55,"SMA",0))</f>
        <v>0</v>
      </c>
      <c r="G139" s="97">
        <f>IF(AND($W$52=$AA$54,AQ131&gt;0),$V$54,IF(AND($W$52=$AA$55,AQ131&gt;0),"HMA",0))</f>
        <v>0</v>
      </c>
      <c r="H139" s="138">
        <f>IF($W$56=$AA$54,$V$57,0)</f>
        <v>0</v>
      </c>
      <c r="I139" s="97">
        <f>IF(AND($W$56=$AA$54,AS131&gt;0),$V$58,0)</f>
        <v>0</v>
      </c>
      <c r="J139" s="1184"/>
      <c r="K139" s="1211"/>
      <c r="L139" s="1203"/>
      <c r="M139" s="1205"/>
      <c r="N139" s="1208"/>
      <c r="O139" s="1180"/>
      <c r="P139" s="1181"/>
      <c r="Q139" s="1200"/>
      <c r="R139" s="1216"/>
      <c r="S139" s="30"/>
      <c r="T139" s="30"/>
      <c r="U139" s="27"/>
      <c r="V139" s="304"/>
      <c r="W139" s="304"/>
      <c r="X139" s="401"/>
      <c r="Y139" s="207"/>
      <c r="Z139" s="401"/>
      <c r="AA139" s="40"/>
      <c r="AB139" s="556"/>
      <c r="AC139" s="89"/>
      <c r="AD139" s="40"/>
      <c r="AE139" s="40"/>
      <c r="AF139" s="40"/>
      <c r="AG139" s="40"/>
      <c r="AH139" s="858"/>
      <c r="AI139" s="858"/>
      <c r="AJ139" s="858"/>
      <c r="AK139" s="858"/>
      <c r="AL139" s="858"/>
      <c r="AM139" s="30"/>
      <c r="AN139" s="27"/>
    </row>
    <row r="140" spans="1:45" ht="12.75" customHeight="1" x14ac:dyDescent="0.2">
      <c r="A140" s="30"/>
      <c r="B140" s="93"/>
      <c r="C140" s="93"/>
      <c r="D140" s="30"/>
      <c r="E140" s="30"/>
      <c r="F140" s="124">
        <f>IF(OR($W$52=$AA$54,$W$52=$AA$55),$W$53,0)</f>
        <v>0</v>
      </c>
      <c r="G140" s="125">
        <f>IF(AND(AQ131&gt;0,OR($W$52=$AA$54,$W$52=$AA$55)),$W$54,0)</f>
        <v>0</v>
      </c>
      <c r="H140" s="139">
        <f>IF($W$56=$AA$54,$W$57,0)</f>
        <v>0</v>
      </c>
      <c r="I140" s="125">
        <f>IF(AND(AS131&gt;0,$W$56=$AA$54),$W$58,0)</f>
        <v>0</v>
      </c>
      <c r="J140" s="1185"/>
      <c r="K140" s="1030">
        <f>$W$62</f>
        <v>0</v>
      </c>
      <c r="L140" s="1032">
        <f>IF($AC$6=$AA$63,$AE$6,IF(AG6=AE64,"al",0))</f>
        <v>0</v>
      </c>
      <c r="M140" s="1206"/>
      <c r="N140" s="1031">
        <f>$AA$6</f>
        <v>0</v>
      </c>
      <c r="O140" s="96" t="s">
        <v>31</v>
      </c>
      <c r="P140" s="98" t="s">
        <v>33</v>
      </c>
      <c r="Q140" s="1201"/>
      <c r="R140" s="1185"/>
      <c r="S140" s="30"/>
      <c r="T140" s="30"/>
      <c r="U140" s="27"/>
      <c r="V140" s="799"/>
      <c r="W140" s="40"/>
      <c r="X140" s="800"/>
      <c r="Y140" s="549"/>
      <c r="Z140" s="401"/>
      <c r="AA140" s="40"/>
      <c r="AB140" s="556"/>
      <c r="AC140" s="89"/>
      <c r="AD140" s="40"/>
      <c r="AE140" s="40"/>
      <c r="AF140" s="40"/>
      <c r="AG140" s="40"/>
      <c r="AH140" s="858"/>
      <c r="AI140" s="858"/>
      <c r="AJ140" s="858"/>
      <c r="AK140" s="858"/>
      <c r="AL140" s="858"/>
      <c r="AM140" s="30"/>
      <c r="AN140" s="27"/>
    </row>
    <row r="141" spans="1:45" ht="12.75" customHeight="1" thickBot="1" x14ac:dyDescent="0.25">
      <c r="A141" s="30"/>
      <c r="B141" s="102"/>
      <c r="C141" s="30"/>
      <c r="D141" s="30"/>
      <c r="E141" s="30"/>
      <c r="F141" s="710" t="str">
        <f>IF(OR($W$52=$AA$54,$W$52=$AA$55),"(ton)",IF($W$52=0," ","(sys)"))</f>
        <v xml:space="preserve"> </v>
      </c>
      <c r="G141" s="709">
        <f>IF(AND(AQ131&gt;0,OR($W$52=$AA$54,$W$52=$AA$55)),"(ton)",0)</f>
        <v>0</v>
      </c>
      <c r="H141" s="710" t="str">
        <f>IF($W$56=$AA$54,"(ton)",IF(OR($W$56=0,$W$56=$AA$55)," ","(sys)"))</f>
        <v xml:space="preserve"> </v>
      </c>
      <c r="I141" s="709">
        <f>IF(AND(AS131&gt;0,$W$56=$AA$54),"(ton)",0)</f>
        <v>0</v>
      </c>
      <c r="J141" s="815" t="s">
        <v>35</v>
      </c>
      <c r="K141" s="329" t="s">
        <v>35</v>
      </c>
      <c r="L141" s="710" t="s">
        <v>210</v>
      </c>
      <c r="M141" s="479" t="s">
        <v>210</v>
      </c>
      <c r="N141" s="709" t="s">
        <v>210</v>
      </c>
      <c r="O141" s="816" t="s">
        <v>19</v>
      </c>
      <c r="P141" s="817" t="s">
        <v>19</v>
      </c>
      <c r="Q141" s="818" t="s">
        <v>19</v>
      </c>
      <c r="R141" s="819" t="s">
        <v>19</v>
      </c>
      <c r="S141" s="30"/>
      <c r="T141" s="30"/>
      <c r="U141" s="27"/>
      <c r="V141" s="304"/>
      <c r="W141" s="40"/>
      <c r="X141" s="207"/>
      <c r="Y141" s="40"/>
      <c r="Z141" s="401"/>
      <c r="AA141" s="40"/>
      <c r="AB141" s="556"/>
      <c r="AC141" s="89"/>
      <c r="AD141" s="40"/>
      <c r="AE141" s="40"/>
      <c r="AF141" s="40"/>
      <c r="AG141" s="40"/>
      <c r="AH141" s="858"/>
      <c r="AI141" s="858"/>
      <c r="AJ141" s="858"/>
      <c r="AK141" s="858"/>
      <c r="AL141" s="858"/>
      <c r="AM141" s="30"/>
      <c r="AN141" s="27"/>
    </row>
    <row r="142" spans="1:45" ht="18.75" customHeight="1" thickBot="1" x14ac:dyDescent="0.25">
      <c r="A142" s="30"/>
      <c r="B142" s="102"/>
      <c r="C142" s="94"/>
      <c r="D142" s="102"/>
      <c r="E142" s="102"/>
      <c r="F142" s="104">
        <f>IF(OR($W$52=$AA$56,$W$52=$AA$57,$W$52=$AA$58),I131,IF($W$52=$AA$59,"check pavement treatment",IF(OR($W$52=$AA$54,$W$52=$AA$55),ROUNDUP(AP131*$W$53/2000,0)+ROUNDUP(AQ131*$W$53/2000,0),0)))</f>
        <v>0</v>
      </c>
      <c r="G142" s="105">
        <f>IF(AND(OR($W$52=$AA$54,$W$52=$AA$55),AQ131&gt;0),ROUNDUP(AQ131*$W$54/2000,0),0)</f>
        <v>0</v>
      </c>
      <c r="H142" s="140">
        <f>IF(OR($W$56=$AA$56,$W$56=$AA$57,$W$56=$AA$58,$W$56=$AA$59),J131,IF($W$56=$AA$55,"check pavement treatment",IF($W$56=$AA$54,ROUNDUP(AR131*$W$57/2000,0)+ROUNDUP(AS131*$W$57/2000,0),0)))</f>
        <v>0</v>
      </c>
      <c r="I142" s="141">
        <f>IF(AND($W$56=$AA$54,AS131&gt;0),ROUNDUP(AS131*$W$58/2000,0),0)</f>
        <v>0</v>
      </c>
      <c r="J142" s="142">
        <f>IF(OR($W$52=$AA$54,$W$52=$AA$55),ROUNDUP(0.00025*(($Y$53+$Y$54)*I131),1),0)+IF(OR($W$56=$AA$54,$W$56=$AA$55),ROUNDUP(0.00025*(($Y$57+$Y$58)*J131),1),0)</f>
        <v>0</v>
      </c>
      <c r="K142" s="106">
        <f>ROUNDUP(2*K131*(($W$62/12)/3),0)</f>
        <v>0</v>
      </c>
      <c r="L142" s="107">
        <f>L131</f>
        <v>0</v>
      </c>
      <c r="M142" s="108">
        <f>M131</f>
        <v>0</v>
      </c>
      <c r="N142" s="109">
        <f>N131</f>
        <v>0</v>
      </c>
      <c r="O142" s="140">
        <f>O131</f>
        <v>0</v>
      </c>
      <c r="P142" s="144">
        <f>P131</f>
        <v>0</v>
      </c>
      <c r="Q142" s="145">
        <f>IF(AND($F$65=$AA$63,$F$67=$AA$63,$J$67=$AG$62,$M$68=$AA$63),Q131,
IF(AND($F$65=$AA$63,$F$67=$AA$63,$J$67=$AG$62,$M$68=$AA$64),Q131+$M$73-SUM($M$74:$M$81)-'Pave Mark'!$AU$48,
IF(AND($F$65=$AA$63,$F$67=$AA$63,$J$67=$AG$63,$M$67=$AA$63),Q131,
IF(AND($F$65=$AA$63,$F$67=$AA$63,$J$67=$AG$63,$M$67=$AA$64),Q131+$M$73-SUM($M$74:$M$81)-'Pave Mark'!$AX$48,
IF(AND($F$65=$AA$63,$F$67=$AA$63,$J$67=$AG$64,$M$67=$AA$63,$M$68=$AA$63),Q131,
IF(AND($F$65=$AA$63,$F$67=$AA$63,$J$67=$AG$64,$M$67=$AA$63,$M$68=$AA$64),Q131+$R$73-SUM($R$74:$R$81)-'Pave Mark'!$AU$48,
IF(AND($F$65=$AA$63,$F$67=$AA$63,$J$67=$AG$64,$M$67=$AA$64,$M$68=$AA$63),Q131+$R$73-SUM($R$74:$R$81)-'Pave Mark'!$AX$48,
IF(AND($F$65=$AA$63,$F$67=$AA$63,$J$67=$AG$64,$M$67=$AA$64,$M$68=$AA$64),Q131+2*($R$73-SUM($R$74:$R$81))-'Pave Mark'!$AU$48-'Pave Mark'!$AX$48,0))))))))</f>
        <v>0</v>
      </c>
      <c r="R142" s="814">
        <f>IF(AND($F$65=$AA$63,$F$67=$AA$63,OR($J$67=$AG$62,$J$67=$AG$63)),($R$73-SUM($R$74:$R$81))-'Pave Mark'!$AU$48,IF(AND($F$65=$AA$63,$F$67=$AA$63,$J$67=$AG$64),2*($R$73-SUM($R$74:$R$81))-'Pave Mark'!$AU$48,0))</f>
        <v>0</v>
      </c>
      <c r="S142" s="30"/>
      <c r="T142" s="30"/>
      <c r="U142" s="27"/>
      <c r="V142" s="304"/>
      <c r="W142" s="40"/>
      <c r="X142" s="207"/>
      <c r="Y142" s="40"/>
      <c r="Z142" s="401"/>
      <c r="AA142" s="401"/>
      <c r="AB142" s="40"/>
      <c r="AC142" s="89"/>
      <c r="AD142" s="40"/>
      <c r="AE142" s="40"/>
      <c r="AF142" s="40"/>
      <c r="AG142" s="40"/>
      <c r="AH142" s="858"/>
      <c r="AI142" s="858"/>
      <c r="AJ142" s="858"/>
      <c r="AK142" s="858"/>
      <c r="AL142" s="858"/>
      <c r="AM142" s="30"/>
      <c r="AN142" s="27"/>
    </row>
    <row r="143" spans="1:45" ht="6.75" customHeight="1" x14ac:dyDescent="0.2">
      <c r="A143" s="30"/>
      <c r="B143" s="102"/>
      <c r="C143" s="94"/>
      <c r="D143" s="94"/>
      <c r="E143" s="93"/>
      <c r="F143" s="30"/>
      <c r="G143" s="30"/>
      <c r="H143" s="30"/>
      <c r="I143" s="30"/>
      <c r="J143" s="30"/>
      <c r="K143" s="30"/>
      <c r="L143" s="30"/>
      <c r="M143" s="30"/>
      <c r="N143" s="82"/>
      <c r="O143" s="82"/>
      <c r="P143" s="82"/>
      <c r="Q143" s="82"/>
      <c r="R143" s="82"/>
      <c r="S143" s="30"/>
      <c r="T143" s="30"/>
      <c r="U143" s="27"/>
      <c r="V143" s="304"/>
      <c r="W143" s="40"/>
      <c r="X143" s="207"/>
      <c r="Y143" s="401"/>
      <c r="Z143" s="401"/>
      <c r="AA143" s="401"/>
      <c r="AB143" s="40"/>
      <c r="AC143" s="89"/>
      <c r="AD143" s="40"/>
      <c r="AE143" s="40"/>
      <c r="AF143" s="40"/>
      <c r="AG143" s="40"/>
      <c r="AH143" s="858"/>
      <c r="AI143" s="858"/>
      <c r="AJ143" s="858"/>
      <c r="AK143" s="858"/>
      <c r="AL143" s="858"/>
      <c r="AM143" s="30"/>
      <c r="AN143" s="27"/>
    </row>
    <row r="144" spans="1:45" x14ac:dyDescent="0.2">
      <c r="A144" s="30"/>
      <c r="B144" s="110"/>
      <c r="C144" s="110"/>
      <c r="D144" s="111"/>
      <c r="E144" s="112"/>
      <c r="F144" s="27"/>
      <c r="G144" s="27"/>
      <c r="H144" s="27"/>
      <c r="I144" s="27"/>
      <c r="J144" s="27"/>
      <c r="K144" s="27"/>
      <c r="L144" s="27"/>
      <c r="M144" s="27"/>
      <c r="N144" s="113"/>
      <c r="O144" s="113"/>
      <c r="P144" s="113"/>
      <c r="Q144" s="113"/>
      <c r="R144" s="113"/>
      <c r="S144" s="27"/>
      <c r="T144" s="30"/>
      <c r="U144" s="27"/>
      <c r="V144" s="304"/>
      <c r="W144" s="40"/>
      <c r="X144" s="801"/>
      <c r="Y144" s="40"/>
      <c r="Z144" s="401"/>
      <c r="AA144" s="40"/>
      <c r="AB144" s="40"/>
      <c r="AC144" s="40"/>
      <c r="AD144" s="40"/>
      <c r="AE144" s="40"/>
      <c r="AF144" s="40"/>
      <c r="AG144" s="40"/>
      <c r="AH144" s="858"/>
      <c r="AI144" s="858"/>
      <c r="AJ144" s="858"/>
      <c r="AK144" s="858"/>
      <c r="AL144" s="858"/>
      <c r="AM144" s="30"/>
      <c r="AN144" s="27"/>
    </row>
    <row r="145" spans="1:40" x14ac:dyDescent="0.2">
      <c r="A145" s="27"/>
      <c r="B145" s="113"/>
      <c r="C145" s="113"/>
      <c r="D145" s="113"/>
      <c r="E145" s="113"/>
      <c r="F145" s="113"/>
      <c r="G145" s="113"/>
      <c r="H145" s="113"/>
      <c r="I145" s="113"/>
      <c r="J145" s="113"/>
      <c r="K145" s="113"/>
      <c r="L145" s="113"/>
      <c r="M145" s="113"/>
      <c r="N145" s="113"/>
      <c r="O145" s="113"/>
      <c r="P145" s="113"/>
      <c r="Q145" s="113"/>
      <c r="R145" s="113"/>
      <c r="S145" s="113"/>
      <c r="T145" s="113"/>
      <c r="U145" s="114"/>
      <c r="V145" s="304"/>
      <c r="W145" s="40"/>
      <c r="X145" s="802"/>
      <c r="Y145" s="802"/>
      <c r="Z145" s="401"/>
      <c r="AA145" s="40"/>
      <c r="AB145" s="40"/>
      <c r="AC145" s="40"/>
      <c r="AD145" s="40"/>
      <c r="AE145" s="40"/>
      <c r="AF145" s="40"/>
      <c r="AG145" s="40"/>
      <c r="AH145" s="858"/>
      <c r="AI145" s="858"/>
      <c r="AJ145" s="858"/>
      <c r="AK145" s="858"/>
      <c r="AL145" s="858"/>
      <c r="AM145" s="30"/>
      <c r="AN145" s="27"/>
    </row>
    <row r="146" spans="1:40" x14ac:dyDescent="0.2">
      <c r="A146" s="27"/>
      <c r="B146" s="113"/>
      <c r="C146" s="113"/>
      <c r="D146" s="113"/>
      <c r="E146" s="113"/>
      <c r="F146" s="113"/>
      <c r="G146" s="113"/>
      <c r="H146" s="113"/>
      <c r="I146" s="113"/>
      <c r="J146" s="113"/>
      <c r="K146" s="113"/>
      <c r="L146" s="113"/>
      <c r="M146" s="113"/>
      <c r="N146" s="113"/>
      <c r="O146" s="113"/>
      <c r="P146" s="113"/>
      <c r="Q146" s="113"/>
      <c r="R146" s="113"/>
      <c r="S146" s="113"/>
      <c r="T146" s="113"/>
      <c r="U146" s="27"/>
      <c r="V146" s="304"/>
      <c r="W146" s="798"/>
      <c r="X146" s="207"/>
      <c r="Y146" s="401"/>
      <c r="Z146" s="401"/>
      <c r="AA146" s="40"/>
      <c r="AB146" s="40"/>
      <c r="AC146" s="40"/>
      <c r="AD146" s="40"/>
      <c r="AE146" s="40"/>
      <c r="AF146" s="40"/>
      <c r="AG146" s="40"/>
      <c r="AH146" s="858"/>
      <c r="AI146" s="858"/>
      <c r="AJ146" s="858"/>
      <c r="AK146" s="858"/>
      <c r="AL146" s="858"/>
      <c r="AM146" s="30"/>
      <c r="AN146" s="27"/>
    </row>
    <row r="147" spans="1:40" x14ac:dyDescent="0.2">
      <c r="A147" s="27"/>
      <c r="B147" s="113"/>
      <c r="C147" s="113"/>
      <c r="D147" s="113"/>
      <c r="E147" s="113"/>
      <c r="F147" s="1173"/>
      <c r="G147" s="1173"/>
      <c r="H147" s="1173"/>
      <c r="I147" s="1173"/>
      <c r="J147" s="1173"/>
      <c r="K147" s="1173"/>
      <c r="L147" s="1173"/>
      <c r="M147" s="1173"/>
      <c r="N147" s="113"/>
      <c r="O147" s="113"/>
      <c r="P147" s="113"/>
      <c r="Q147" s="113"/>
      <c r="R147" s="113"/>
      <c r="S147" s="113"/>
      <c r="T147" s="113"/>
      <c r="U147" s="27"/>
      <c r="V147" s="802"/>
      <c r="W147" s="802"/>
      <c r="X147" s="304"/>
      <c r="Y147" s="40"/>
      <c r="Z147" s="401"/>
      <c r="AA147" s="401"/>
      <c r="AB147" s="40"/>
      <c r="AC147" s="89"/>
      <c r="AD147" s="40"/>
      <c r="AE147" s="40"/>
      <c r="AF147" s="40"/>
      <c r="AG147" s="40"/>
      <c r="AH147" s="858"/>
      <c r="AI147" s="858"/>
      <c r="AJ147" s="858"/>
      <c r="AK147" s="858"/>
      <c r="AL147" s="858"/>
      <c r="AM147" s="30"/>
      <c r="AN147" s="27"/>
    </row>
    <row r="148" spans="1:40" x14ac:dyDescent="0.2">
      <c r="A148" s="27"/>
      <c r="B148" s="113"/>
      <c r="C148" s="113"/>
      <c r="D148" s="113"/>
      <c r="E148" s="113"/>
      <c r="F148" s="806"/>
      <c r="G148" s="806"/>
      <c r="H148" s="806"/>
      <c r="I148" s="806"/>
      <c r="J148" s="806"/>
      <c r="K148" s="806"/>
      <c r="L148" s="806"/>
      <c r="M148" s="806"/>
      <c r="N148" s="113"/>
      <c r="O148" s="113"/>
      <c r="P148" s="113"/>
      <c r="Q148" s="113"/>
      <c r="R148" s="113"/>
      <c r="S148" s="113"/>
      <c r="T148" s="113"/>
      <c r="U148" s="27"/>
      <c r="V148" s="401"/>
      <c r="W148" s="401"/>
      <c r="X148" s="401"/>
      <c r="Y148" s="401"/>
      <c r="Z148" s="401"/>
      <c r="AA148" s="401"/>
      <c r="AB148" s="40"/>
      <c r="AC148" s="89"/>
      <c r="AD148" s="40"/>
      <c r="AE148" s="40"/>
      <c r="AF148" s="40"/>
      <c r="AG148" s="40"/>
      <c r="AH148" s="858"/>
      <c r="AI148" s="858"/>
      <c r="AJ148" s="858"/>
      <c r="AK148" s="858"/>
      <c r="AL148" s="858"/>
      <c r="AM148" s="30"/>
      <c r="AN148" s="27"/>
    </row>
    <row r="149" spans="1:40" x14ac:dyDescent="0.2">
      <c r="A149" s="27"/>
      <c r="B149" s="113"/>
      <c r="C149" s="113"/>
      <c r="D149" s="113"/>
      <c r="E149" s="113"/>
      <c r="F149" s="806"/>
      <c r="G149" s="805"/>
      <c r="H149" s="806"/>
      <c r="I149" s="806"/>
      <c r="J149" s="805"/>
      <c r="K149" s="806"/>
      <c r="L149" s="806"/>
      <c r="M149" s="806"/>
      <c r="N149" s="113"/>
      <c r="O149" s="113"/>
      <c r="P149" s="113"/>
      <c r="Q149" s="113"/>
      <c r="R149" s="113"/>
      <c r="S149" s="113"/>
      <c r="T149" s="113"/>
      <c r="U149" s="27"/>
      <c r="V149" s="401"/>
      <c r="W149" s="600"/>
      <c r="X149" s="40"/>
      <c r="Y149" s="600"/>
      <c r="Z149" s="803"/>
      <c r="AA149" s="401"/>
      <c r="AB149" s="40"/>
      <c r="AC149" s="89"/>
      <c r="AD149" s="40"/>
      <c r="AE149" s="40"/>
      <c r="AF149" s="40"/>
      <c r="AG149" s="40"/>
      <c r="AH149" s="858"/>
      <c r="AI149" s="858"/>
      <c r="AJ149" s="858"/>
      <c r="AK149" s="858"/>
      <c r="AL149" s="858"/>
      <c r="AM149" s="30"/>
      <c r="AN149" s="27"/>
    </row>
    <row r="150" spans="1:40" x14ac:dyDescent="0.2">
      <c r="A150" s="27"/>
      <c r="B150" s="113"/>
      <c r="C150" s="113"/>
      <c r="D150" s="113"/>
      <c r="E150" s="113"/>
      <c r="F150" s="113"/>
      <c r="G150" s="113"/>
      <c r="H150" s="113"/>
      <c r="I150" s="113"/>
      <c r="J150" s="113"/>
      <c r="K150" s="113"/>
      <c r="L150" s="113"/>
      <c r="M150" s="113"/>
      <c r="N150" s="113"/>
      <c r="O150" s="113"/>
      <c r="P150" s="113"/>
      <c r="Q150" s="113"/>
      <c r="R150" s="113"/>
      <c r="S150" s="113"/>
      <c r="T150" s="113"/>
      <c r="U150" s="27"/>
      <c r="V150" s="401"/>
      <c r="W150" s="40"/>
      <c r="X150" s="40"/>
      <c r="Y150" s="40"/>
      <c r="Z150" s="1196"/>
      <c r="AA150" s="1197"/>
      <c r="AB150" s="1197"/>
      <c r="AC150" s="1197"/>
      <c r="AD150" s="40"/>
      <c r="AE150" s="40"/>
      <c r="AF150" s="40"/>
      <c r="AG150" s="40"/>
      <c r="AH150" s="858"/>
      <c r="AI150" s="858"/>
      <c r="AJ150" s="858"/>
      <c r="AK150" s="858"/>
      <c r="AL150" s="858"/>
      <c r="AM150" s="30"/>
      <c r="AN150" s="27"/>
    </row>
    <row r="151" spans="1:40" x14ac:dyDescent="0.2">
      <c r="A151" s="27"/>
      <c r="B151" s="113"/>
      <c r="C151" s="113"/>
      <c r="D151" s="113"/>
      <c r="E151" s="113"/>
      <c r="F151" s="113"/>
      <c r="G151" s="113"/>
      <c r="H151" s="113"/>
      <c r="I151" s="113"/>
      <c r="J151" s="113"/>
      <c r="K151" s="113"/>
      <c r="L151" s="113"/>
      <c r="M151" s="113"/>
      <c r="N151" s="113"/>
      <c r="O151" s="113"/>
      <c r="P151" s="113"/>
      <c r="Q151" s="113"/>
      <c r="R151" s="113"/>
      <c r="S151" s="113"/>
      <c r="T151" s="113"/>
      <c r="U151" s="27"/>
      <c r="V151" s="401"/>
      <c r="W151" s="40"/>
      <c r="X151" s="40"/>
      <c r="Y151" s="40"/>
      <c r="Z151" s="1197"/>
      <c r="AA151" s="1197"/>
      <c r="AB151" s="1197"/>
      <c r="AC151" s="1197"/>
      <c r="AD151" s="40"/>
      <c r="AE151" s="40"/>
      <c r="AF151" s="40"/>
      <c r="AG151" s="40"/>
      <c r="AH151" s="858"/>
      <c r="AI151" s="858"/>
      <c r="AJ151" s="858"/>
      <c r="AK151" s="858"/>
      <c r="AL151" s="858"/>
      <c r="AM151" s="30"/>
      <c r="AN151" s="27"/>
    </row>
    <row r="152" spans="1:40" x14ac:dyDescent="0.2">
      <c r="A152" s="27"/>
      <c r="B152" s="113"/>
      <c r="C152" s="113"/>
      <c r="D152" s="113"/>
      <c r="E152" s="113"/>
      <c r="F152" s="113"/>
      <c r="G152" s="113"/>
      <c r="H152" s="113"/>
      <c r="I152" s="113"/>
      <c r="J152" s="113"/>
      <c r="K152" s="113"/>
      <c r="L152" s="113"/>
      <c r="M152" s="113"/>
      <c r="N152" s="113"/>
      <c r="O152" s="113"/>
      <c r="P152" s="113"/>
      <c r="Q152" s="113"/>
      <c r="R152" s="113"/>
      <c r="S152" s="113"/>
      <c r="T152" s="113"/>
      <c r="U152" s="27"/>
      <c r="V152" s="401"/>
      <c r="W152" s="40"/>
      <c r="X152" s="40"/>
      <c r="Y152" s="40"/>
      <c r="Z152" s="401"/>
      <c r="AA152" s="802"/>
      <c r="AB152" s="40"/>
      <c r="AC152" s="40"/>
      <c r="AD152" s="40"/>
      <c r="AE152" s="40"/>
      <c r="AF152" s="40"/>
      <c r="AG152" s="40"/>
      <c r="AH152" s="858"/>
      <c r="AI152" s="858"/>
      <c r="AJ152" s="858"/>
      <c r="AK152" s="858"/>
      <c r="AL152" s="858"/>
      <c r="AM152" s="30"/>
      <c r="AN152" s="27"/>
    </row>
    <row r="153" spans="1:40" x14ac:dyDescent="0.2">
      <c r="A153" s="27"/>
      <c r="B153" s="113"/>
      <c r="C153" s="113"/>
      <c r="D153" s="113"/>
      <c r="E153" s="113"/>
      <c r="F153" s="113"/>
      <c r="G153" s="113"/>
      <c r="H153" s="113"/>
      <c r="I153" s="113"/>
      <c r="J153" s="113"/>
      <c r="K153" s="113"/>
      <c r="L153" s="113"/>
      <c r="M153" s="113"/>
      <c r="N153" s="113"/>
      <c r="O153" s="113"/>
      <c r="P153" s="113"/>
      <c r="Q153" s="113"/>
      <c r="R153" s="113"/>
      <c r="S153" s="113"/>
      <c r="T153" s="113"/>
      <c r="U153" s="27"/>
      <c r="V153" s="401"/>
      <c r="W153" s="40"/>
      <c r="X153" s="401"/>
      <c r="Y153" s="40"/>
      <c r="Z153" s="401"/>
      <c r="AA153" s="802"/>
      <c r="AB153" s="40"/>
      <c r="AC153" s="40"/>
      <c r="AD153" s="91"/>
      <c r="AE153" s="91"/>
      <c r="AF153" s="91"/>
      <c r="AG153" s="91"/>
      <c r="AH153" s="858"/>
      <c r="AI153" s="858"/>
      <c r="AJ153" s="858"/>
      <c r="AK153" s="858"/>
      <c r="AL153" s="858"/>
      <c r="AM153" s="30"/>
      <c r="AN153" s="27"/>
    </row>
    <row r="154" spans="1:40" x14ac:dyDescent="0.2">
      <c r="A154" s="27"/>
      <c r="B154" s="113"/>
      <c r="C154" s="113"/>
      <c r="D154" s="113"/>
      <c r="E154" s="113"/>
      <c r="F154" s="113"/>
      <c r="G154" s="113"/>
      <c r="H154" s="113"/>
      <c r="I154" s="113"/>
      <c r="J154" s="113"/>
      <c r="K154" s="113"/>
      <c r="L154" s="113"/>
      <c r="M154" s="113"/>
      <c r="N154" s="113"/>
      <c r="O154" s="113"/>
      <c r="P154" s="113"/>
      <c r="Q154" s="113"/>
      <c r="R154" s="113"/>
      <c r="S154" s="113"/>
      <c r="T154" s="113"/>
      <c r="U154" s="27"/>
      <c r="V154" s="401"/>
      <c r="W154" s="40"/>
      <c r="X154" s="401"/>
      <c r="Y154" s="40"/>
      <c r="Z154" s="401"/>
      <c r="AA154" s="802"/>
      <c r="AB154" s="40"/>
      <c r="AC154" s="40"/>
      <c r="AD154" s="91"/>
      <c r="AE154" s="91"/>
      <c r="AF154" s="91"/>
      <c r="AG154" s="91"/>
      <c r="AH154" s="858"/>
      <c r="AI154" s="858"/>
      <c r="AJ154" s="858"/>
      <c r="AK154" s="858"/>
      <c r="AL154" s="858"/>
      <c r="AM154" s="30"/>
      <c r="AN154" s="27"/>
    </row>
    <row r="155" spans="1:40" x14ac:dyDescent="0.2">
      <c r="A155" s="27"/>
      <c r="B155" s="113"/>
      <c r="C155" s="113"/>
      <c r="D155" s="113"/>
      <c r="E155" s="113"/>
      <c r="F155" s="113"/>
      <c r="G155" s="113"/>
      <c r="H155" s="113"/>
      <c r="I155" s="113"/>
      <c r="J155" s="113"/>
      <c r="K155" s="113"/>
      <c r="L155" s="113"/>
      <c r="M155" s="113"/>
      <c r="N155" s="113"/>
      <c r="O155" s="113"/>
      <c r="P155" s="113"/>
      <c r="Q155" s="113"/>
      <c r="R155" s="113"/>
      <c r="S155" s="113"/>
      <c r="T155" s="113"/>
      <c r="U155" s="27"/>
      <c r="V155" s="401"/>
      <c r="W155" s="40"/>
      <c r="X155" s="401"/>
      <c r="Y155" s="40"/>
      <c r="Z155" s="804"/>
      <c r="AA155" s="802"/>
      <c r="AB155" s="768"/>
      <c r="AC155" s="40"/>
      <c r="AD155" s="91"/>
      <c r="AE155" s="91"/>
      <c r="AF155" s="91"/>
      <c r="AG155" s="91"/>
      <c r="AH155" s="858"/>
      <c r="AI155" s="858"/>
      <c r="AJ155" s="858"/>
      <c r="AK155" s="858"/>
      <c r="AL155" s="858"/>
      <c r="AM155" s="30"/>
      <c r="AN155" s="27"/>
    </row>
    <row r="156" spans="1:40" x14ac:dyDescent="0.2">
      <c r="A156" s="27"/>
      <c r="B156" s="113"/>
      <c r="C156" s="113"/>
      <c r="D156" s="113"/>
      <c r="E156" s="113"/>
      <c r="F156" s="113"/>
      <c r="G156" s="113"/>
      <c r="H156" s="113"/>
      <c r="I156" s="113"/>
      <c r="J156" s="113"/>
      <c r="K156" s="113"/>
      <c r="L156" s="113"/>
      <c r="M156" s="113"/>
      <c r="N156" s="113"/>
      <c r="O156" s="113"/>
      <c r="P156" s="113"/>
      <c r="Q156" s="113"/>
      <c r="R156" s="113"/>
      <c r="S156" s="113"/>
      <c r="T156" s="113"/>
      <c r="U156" s="27"/>
      <c r="V156" s="401"/>
      <c r="W156" s="802"/>
      <c r="X156" s="802"/>
      <c r="Y156" s="40"/>
      <c r="Z156" s="804"/>
      <c r="AA156" s="802"/>
      <c r="AB156" s="768"/>
      <c r="AC156" s="768"/>
      <c r="AD156" s="91"/>
      <c r="AE156" s="91"/>
      <c r="AF156" s="91"/>
      <c r="AG156" s="91"/>
      <c r="AH156" s="858"/>
      <c r="AI156" s="858"/>
      <c r="AJ156" s="858"/>
      <c r="AK156" s="858"/>
      <c r="AL156" s="858"/>
      <c r="AM156" s="30"/>
      <c r="AN156" s="27"/>
    </row>
    <row r="157" spans="1:40" x14ac:dyDescent="0.2">
      <c r="A157" s="27"/>
      <c r="B157" s="113"/>
      <c r="C157" s="113"/>
      <c r="D157" s="113"/>
      <c r="E157" s="113"/>
      <c r="F157" s="113"/>
      <c r="G157" s="113"/>
      <c r="H157" s="113"/>
      <c r="I157" s="113"/>
      <c r="J157" s="113"/>
      <c r="K157" s="113"/>
      <c r="L157" s="113"/>
      <c r="M157" s="113"/>
      <c r="N157" s="113"/>
      <c r="O157" s="113"/>
      <c r="P157" s="113"/>
      <c r="Q157" s="113"/>
      <c r="R157" s="113"/>
      <c r="S157" s="113"/>
      <c r="T157" s="113"/>
      <c r="U157" s="27"/>
      <c r="V157" s="804"/>
      <c r="W157" s="802"/>
      <c r="X157" s="802"/>
      <c r="Y157" s="40"/>
      <c r="Z157" s="804"/>
      <c r="AA157" s="802"/>
      <c r="AB157" s="768"/>
      <c r="AC157" s="768"/>
      <c r="AD157" s="91"/>
      <c r="AE157" s="91"/>
      <c r="AF157" s="91"/>
      <c r="AG157" s="91"/>
      <c r="AH157" s="858"/>
      <c r="AI157" s="858"/>
      <c r="AJ157" s="858"/>
      <c r="AK157" s="858"/>
      <c r="AL157" s="858"/>
      <c r="AM157" s="30"/>
      <c r="AN157" s="27"/>
    </row>
  </sheetData>
  <dataConsolidate/>
  <mergeCells count="246">
    <mergeCell ref="R119:S119"/>
    <mergeCell ref="R126:S126"/>
    <mergeCell ref="R127:S127"/>
    <mergeCell ref="R110:S110"/>
    <mergeCell ref="R111:S111"/>
    <mergeCell ref="R112:S112"/>
    <mergeCell ref="R113:S113"/>
    <mergeCell ref="R114:S114"/>
    <mergeCell ref="R115:S115"/>
    <mergeCell ref="R116:S116"/>
    <mergeCell ref="R128:S128"/>
    <mergeCell ref="R129:S129"/>
    <mergeCell ref="R130:S130"/>
    <mergeCell ref="R120:S120"/>
    <mergeCell ref="R121:S121"/>
    <mergeCell ref="R122:S122"/>
    <mergeCell ref="R123:S123"/>
    <mergeCell ref="R125:S125"/>
    <mergeCell ref="R124:S124"/>
    <mergeCell ref="R109:S109"/>
    <mergeCell ref="R98:S98"/>
    <mergeCell ref="R99:S99"/>
    <mergeCell ref="R100:S100"/>
    <mergeCell ref="R101:S101"/>
    <mergeCell ref="R102:S102"/>
    <mergeCell ref="R103:S103"/>
    <mergeCell ref="R117:S117"/>
    <mergeCell ref="R118:S118"/>
    <mergeCell ref="R104:S104"/>
    <mergeCell ref="R105:S105"/>
    <mergeCell ref="R106:S106"/>
    <mergeCell ref="R107:S107"/>
    <mergeCell ref="R108:S108"/>
    <mergeCell ref="R36:S36"/>
    <mergeCell ref="R37:S37"/>
    <mergeCell ref="AH49:AN61"/>
    <mergeCell ref="R38:S38"/>
    <mergeCell ref="R39:S39"/>
    <mergeCell ref="R40:S40"/>
    <mergeCell ref="R41:S41"/>
    <mergeCell ref="R42:S42"/>
    <mergeCell ref="R43:S43"/>
    <mergeCell ref="R44:S44"/>
    <mergeCell ref="R45:S45"/>
    <mergeCell ref="R46:S46"/>
    <mergeCell ref="F52:R52"/>
    <mergeCell ref="K53:K55"/>
    <mergeCell ref="M54:M56"/>
    <mergeCell ref="N54:N55"/>
    <mergeCell ref="V2:AE2"/>
    <mergeCell ref="B3:B5"/>
    <mergeCell ref="R8:S8"/>
    <mergeCell ref="R9:S9"/>
    <mergeCell ref="V1:AN1"/>
    <mergeCell ref="Z66:AC67"/>
    <mergeCell ref="Y4:Z4"/>
    <mergeCell ref="AJ4:AJ5"/>
    <mergeCell ref="V4:W4"/>
    <mergeCell ref="AK4:AM4"/>
    <mergeCell ref="AN4:AN5"/>
    <mergeCell ref="AB48:AE49"/>
    <mergeCell ref="AH2:AN2"/>
    <mergeCell ref="AH3:AN3"/>
    <mergeCell ref="R10:S10"/>
    <mergeCell ref="R11:S11"/>
    <mergeCell ref="R12:S12"/>
    <mergeCell ref="R13:S13"/>
    <mergeCell ref="R14:S14"/>
    <mergeCell ref="R15:S15"/>
    <mergeCell ref="R16:S16"/>
    <mergeCell ref="R17:S17"/>
    <mergeCell ref="R18:S18"/>
    <mergeCell ref="R19:S19"/>
    <mergeCell ref="A1:T1"/>
    <mergeCell ref="L53:N53"/>
    <mergeCell ref="E4:E5"/>
    <mergeCell ref="Q53:Q56"/>
    <mergeCell ref="F4:G4"/>
    <mergeCell ref="I4:I5"/>
    <mergeCell ref="R53:R56"/>
    <mergeCell ref="I3:K3"/>
    <mergeCell ref="F53:G53"/>
    <mergeCell ref="H53:I53"/>
    <mergeCell ref="J4:K4"/>
    <mergeCell ref="H3:H5"/>
    <mergeCell ref="L3:N3"/>
    <mergeCell ref="O3:P3"/>
    <mergeCell ref="C4:D4"/>
    <mergeCell ref="M4:M5"/>
    <mergeCell ref="L54:L55"/>
    <mergeCell ref="R6:S6"/>
    <mergeCell ref="R7:S7"/>
    <mergeCell ref="B2:S2"/>
    <mergeCell ref="C3:G3"/>
    <mergeCell ref="R20:S20"/>
    <mergeCell ref="R21:S21"/>
    <mergeCell ref="R22:S22"/>
    <mergeCell ref="V86:AE86"/>
    <mergeCell ref="AH86:AN86"/>
    <mergeCell ref="B87:B89"/>
    <mergeCell ref="C87:G87"/>
    <mergeCell ref="C88:D88"/>
    <mergeCell ref="E88:E89"/>
    <mergeCell ref="F88:G88"/>
    <mergeCell ref="I88:I89"/>
    <mergeCell ref="J88:K88"/>
    <mergeCell ref="AH88:AH89"/>
    <mergeCell ref="AH87:AN87"/>
    <mergeCell ref="C71:E72"/>
    <mergeCell ref="AP3:AS3"/>
    <mergeCell ref="AP4:AQ4"/>
    <mergeCell ref="AR4:AS4"/>
    <mergeCell ref="X4:X5"/>
    <mergeCell ref="Q3:Q4"/>
    <mergeCell ref="V3:Z3"/>
    <mergeCell ref="R3:S5"/>
    <mergeCell ref="AH4:AH5"/>
    <mergeCell ref="AI4:AI5"/>
    <mergeCell ref="AA3:AG4"/>
    <mergeCell ref="R25:S25"/>
    <mergeCell ref="R26:S26"/>
    <mergeCell ref="R27:S27"/>
    <mergeCell ref="R23:S23"/>
    <mergeCell ref="R24:S24"/>
    <mergeCell ref="R28:S28"/>
    <mergeCell ref="R29:S29"/>
    <mergeCell ref="R30:S30"/>
    <mergeCell ref="R31:S31"/>
    <mergeCell ref="R32:S32"/>
    <mergeCell ref="R33:S33"/>
    <mergeCell ref="R34:S34"/>
    <mergeCell ref="R35:S35"/>
    <mergeCell ref="R91:S91"/>
    <mergeCell ref="AR88:AS88"/>
    <mergeCell ref="V88:W88"/>
    <mergeCell ref="X88:X89"/>
    <mergeCell ref="Y88:Z88"/>
    <mergeCell ref="AP87:AS87"/>
    <mergeCell ref="AI88:AI89"/>
    <mergeCell ref="AJ88:AJ89"/>
    <mergeCell ref="AK88:AM88"/>
    <mergeCell ref="AN88:AN89"/>
    <mergeCell ref="V87:Z87"/>
    <mergeCell ref="AA87:AG88"/>
    <mergeCell ref="AP88:AQ88"/>
    <mergeCell ref="R87:S89"/>
    <mergeCell ref="R90:S90"/>
    <mergeCell ref="Z150:AC151"/>
    <mergeCell ref="H83:Q83"/>
    <mergeCell ref="Q137:Q140"/>
    <mergeCell ref="F138:G138"/>
    <mergeCell ref="H138:I138"/>
    <mergeCell ref="K79:L79"/>
    <mergeCell ref="O137:P139"/>
    <mergeCell ref="L138:L139"/>
    <mergeCell ref="M138:M140"/>
    <mergeCell ref="N138:N139"/>
    <mergeCell ref="F137:G137"/>
    <mergeCell ref="H137:I137"/>
    <mergeCell ref="J137:J140"/>
    <mergeCell ref="K137:K139"/>
    <mergeCell ref="L137:N137"/>
    <mergeCell ref="R137:R140"/>
    <mergeCell ref="H87:H89"/>
    <mergeCell ref="I87:K87"/>
    <mergeCell ref="L87:N87"/>
    <mergeCell ref="O87:P87"/>
    <mergeCell ref="Q87:Q88"/>
    <mergeCell ref="A85:T85"/>
    <mergeCell ref="M88:M89"/>
    <mergeCell ref="B86:S86"/>
    <mergeCell ref="F136:R136"/>
    <mergeCell ref="F147:M147"/>
    <mergeCell ref="F54:G54"/>
    <mergeCell ref="O53:P55"/>
    <mergeCell ref="H54:I54"/>
    <mergeCell ref="J53:J56"/>
    <mergeCell ref="F77:H77"/>
    <mergeCell ref="F76:H76"/>
    <mergeCell ref="F75:H75"/>
    <mergeCell ref="F74:H74"/>
    <mergeCell ref="F63:M63"/>
    <mergeCell ref="I78:J78"/>
    <mergeCell ref="I79:J79"/>
    <mergeCell ref="I75:J75"/>
    <mergeCell ref="R92:S92"/>
    <mergeCell ref="R93:S93"/>
    <mergeCell ref="I76:J76"/>
    <mergeCell ref="I77:J77"/>
    <mergeCell ref="F71:H72"/>
    <mergeCell ref="R94:S94"/>
    <mergeCell ref="F69:R70"/>
    <mergeCell ref="R95:S95"/>
    <mergeCell ref="R96:S96"/>
    <mergeCell ref="R97:S97"/>
    <mergeCell ref="C79:E79"/>
    <mergeCell ref="C80:E80"/>
    <mergeCell ref="C81:E81"/>
    <mergeCell ref="F81:H81"/>
    <mergeCell ref="F80:H80"/>
    <mergeCell ref="F79:H79"/>
    <mergeCell ref="C73:E73"/>
    <mergeCell ref="C74:E74"/>
    <mergeCell ref="C75:E75"/>
    <mergeCell ref="C76:E76"/>
    <mergeCell ref="C77:E77"/>
    <mergeCell ref="C78:E78"/>
    <mergeCell ref="F73:H73"/>
    <mergeCell ref="N72:O72"/>
    <mergeCell ref="P72:Q72"/>
    <mergeCell ref="K73:L73"/>
    <mergeCell ref="K74:L74"/>
    <mergeCell ref="K75:L75"/>
    <mergeCell ref="P75:Q75"/>
    <mergeCell ref="N75:O75"/>
    <mergeCell ref="P78:Q78"/>
    <mergeCell ref="I71:L71"/>
    <mergeCell ref="N71:Q71"/>
    <mergeCell ref="I72:J72"/>
    <mergeCell ref="I73:J73"/>
    <mergeCell ref="I74:J74"/>
    <mergeCell ref="P73:Q73"/>
    <mergeCell ref="P74:Q74"/>
    <mergeCell ref="N73:O73"/>
    <mergeCell ref="N74:O74"/>
    <mergeCell ref="K72:L72"/>
    <mergeCell ref="I80:J80"/>
    <mergeCell ref="N77:O77"/>
    <mergeCell ref="P77:Q77"/>
    <mergeCell ref="N78:O78"/>
    <mergeCell ref="I81:J81"/>
    <mergeCell ref="K76:L76"/>
    <mergeCell ref="K77:L77"/>
    <mergeCell ref="K78:L78"/>
    <mergeCell ref="F78:H78"/>
    <mergeCell ref="K81:L81"/>
    <mergeCell ref="K80:L80"/>
    <mergeCell ref="V85:AP85"/>
    <mergeCell ref="N80:O80"/>
    <mergeCell ref="N81:O81"/>
    <mergeCell ref="P81:Q81"/>
    <mergeCell ref="P76:Q76"/>
    <mergeCell ref="N76:O76"/>
    <mergeCell ref="P79:Q79"/>
    <mergeCell ref="N79:O79"/>
    <mergeCell ref="P80:Q80"/>
  </mergeCells>
  <phoneticPr fontId="1" type="noConversion"/>
  <conditionalFormatting sqref="AA91:AA130 AA7:AA46">
    <cfRule type="cellIs" dxfId="36" priority="29" stopIfTrue="1" operator="equal">
      <formula>"pick only 1 type of milling"</formula>
    </cfRule>
    <cfRule type="cellIs" dxfId="35" priority="30" stopIfTrue="1" operator="equal">
      <formula>"""pick only 1 type of milling"""</formula>
    </cfRule>
  </conditionalFormatting>
  <conditionalFormatting sqref="F54:I54 F58 H58 F138:I138 F142 H142">
    <cfRule type="cellIs" dxfId="34" priority="24" stopIfTrue="1" operator="equal">
      <formula>"check pavement treatment"</formula>
    </cfRule>
  </conditionalFormatting>
  <conditionalFormatting sqref="O91:R130 O7:R46">
    <cfRule type="cellIs" dxfId="33" priority="20" stopIfTrue="1" operator="equal">
      <formula>"see to RT"</formula>
    </cfRule>
  </conditionalFormatting>
  <conditionalFormatting sqref="V88:W88 V4:W4">
    <cfRule type="containsText" dxfId="32" priority="18" stopIfTrue="1" operator="containsText" text="Asphalt (2nd)">
      <formula>NOT(ISERROR(SEARCH("Asphalt (2nd)",V4)))</formula>
    </cfRule>
  </conditionalFormatting>
  <conditionalFormatting sqref="AH90:AH130">
    <cfRule type="duplicateValues" dxfId="31" priority="12" stopIfTrue="1"/>
  </conditionalFormatting>
  <conditionalFormatting sqref="H83:R83">
    <cfRule type="cellIs" dxfId="30" priority="11" stopIfTrue="1" operator="equal">
      <formula>"DO NOT USE TABLE BELOW UNLESS SELECT ''YES'' TO DIVIDED HIGHWAY ABOVE"</formula>
    </cfRule>
  </conditionalFormatting>
  <conditionalFormatting sqref="AG49:AG51">
    <cfRule type="cellIs" dxfId="29" priority="6" stopIfTrue="1" operator="equal">
      <formula>"cell W52 should not match cell W56"</formula>
    </cfRule>
    <cfRule type="cellIs" dxfId="28" priority="7" stopIfTrue="1" operator="equal">
      <formula>"cell W52 does not match cell W56"</formula>
    </cfRule>
  </conditionalFormatting>
  <conditionalFormatting sqref="M68">
    <cfRule type="expression" dxfId="27" priority="5" stopIfTrue="1">
      <formula>OR($F$65=$AA$64,$F$67=$AA$64,AND($F$67=$AA$63,$J$67=$AG$63))</formula>
    </cfRule>
  </conditionalFormatting>
  <conditionalFormatting sqref="M67">
    <cfRule type="expression" dxfId="26" priority="4" stopIfTrue="1">
      <formula>OR(AND($F$67=$AA$64,$M$65=$AA$64),AND($F$67=$AA$63,$J$67=$AG$62,$M$65=$AA$64))</formula>
    </cfRule>
  </conditionalFormatting>
  <conditionalFormatting sqref="AH6:AH46">
    <cfRule type="duplicateValues" dxfId="25" priority="40" stopIfTrue="1"/>
  </conditionalFormatting>
  <conditionalFormatting sqref="J67">
    <cfRule type="expression" dxfId="24" priority="3" stopIfTrue="1">
      <formula>$F$65=$AA$64</formula>
    </cfRule>
  </conditionalFormatting>
  <conditionalFormatting sqref="F67">
    <cfRule type="expression" dxfId="23" priority="2" stopIfTrue="1">
      <formula>$F$65=$AA$64</formula>
    </cfRule>
  </conditionalFormatting>
  <conditionalFormatting sqref="M65">
    <cfRule type="expression" dxfId="22" priority="1" stopIfTrue="1">
      <formula>$F$65=$AA$63</formula>
    </cfRule>
  </conditionalFormatting>
  <dataValidations count="9">
    <dataValidation type="list" showInputMessage="1" showErrorMessage="1" sqref="M65 M67:M68 AA49 F65 AC90 F149 F67 AC6 AF49 X49">
      <formula1>$AA$62:$AA$64</formula1>
    </dataValidation>
    <dataValidation type="list" showInputMessage="1" showErrorMessage="1" sqref="Y63 Y147">
      <formula1>$Y$65:$Y$82</formula1>
    </dataValidation>
    <dataValidation type="list" showInputMessage="1" showErrorMessage="1" sqref="W56 W52 W140 W136">
      <formula1>$AA$53:$AA$59</formula1>
    </dataValidation>
    <dataValidation type="list" showInputMessage="1" showErrorMessage="1" sqref="W60 W144">
      <formula1>$W$65:$W$71</formula1>
    </dataValidation>
    <dataValidation type="list" showInputMessage="1" showErrorMessage="1" sqref="W61 W145">
      <formula1>$X$65:$X$68</formula1>
    </dataValidation>
    <dataValidation type="list" allowBlank="1" showInputMessage="1" showErrorMessage="1" sqref="H90:H130 H6:H46">
      <formula1>$AO$6:$AQ$6</formula1>
    </dataValidation>
    <dataValidation type="list" showInputMessage="1" showErrorMessage="1" sqref="I65 I149">
      <formula1>$AC$62:$AC$64</formula1>
    </dataValidation>
    <dataValidation type="list" showInputMessage="1" showErrorMessage="1" sqref="J67">
      <formula1>$AG$61:$AG$64</formula1>
    </dataValidation>
    <dataValidation type="list" showInputMessage="1" showErrorMessage="1" sqref="AG6">
      <formula1>$AE$61:$AE$64</formula1>
    </dataValidation>
  </dataValidations>
  <printOptions horizontalCentered="1" verticalCentered="1"/>
  <pageMargins left="0.14499999999999999" right="0.14499999999999999" top="0.47099999999999997" bottom="0.47099999999999997" header="0.5" footer="0.5"/>
  <pageSetup firstPageNumber="31" orientation="landscape" useFirstPageNumber="1" r:id="rId1"/>
  <headerFooter alignWithMargins="0"/>
  <ignoredErrors>
    <ignoredError sqref="H55" formula="1"/>
  </ignoredErrors>
  <legacy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W1454"/>
  <sheetViews>
    <sheetView showGridLines="0" showZeros="0" zoomScale="75" zoomScaleNormal="75" zoomScaleSheetLayoutView="100" workbookViewId="0">
      <pane ySplit="4" topLeftCell="A5" activePane="bottomLeft" state="frozen"/>
      <selection pane="bottomLeft" activeCell="L1" sqref="L1:P1"/>
    </sheetView>
  </sheetViews>
  <sheetFormatPr defaultRowHeight="12.75" x14ac:dyDescent="0.2"/>
  <cols>
    <col min="1" max="1" width="1.7109375" customWidth="1"/>
    <col min="2" max="3" width="11.85546875" style="2" customWidth="1"/>
    <col min="4" max="4" width="17.7109375" style="2" customWidth="1"/>
    <col min="5" max="5" width="14.28515625" style="2" customWidth="1"/>
    <col min="6" max="6" width="14.5703125" style="2" customWidth="1"/>
    <col min="7" max="9" width="8.7109375" style="2" customWidth="1"/>
    <col min="10" max="10" width="1.7109375" style="2" customWidth="1"/>
    <col min="11" max="11" width="4.7109375" customWidth="1"/>
    <col min="13" max="13" width="10.42578125" customWidth="1"/>
    <col min="14" max="14" width="56.85546875" bestFit="1" customWidth="1"/>
    <col min="16" max="16" width="13.28515625" bestFit="1" customWidth="1"/>
    <col min="17" max="17" width="14.5703125" customWidth="1"/>
    <col min="18" max="18" width="5.140625" bestFit="1" customWidth="1"/>
    <col min="19" max="19" width="11.5703125" bestFit="1" customWidth="1"/>
  </cols>
  <sheetData>
    <row r="1" spans="1:23" s="2" customFormat="1" ht="18" x14ac:dyDescent="0.25">
      <c r="A1" s="1224" t="str">
        <f>UPPER("Patching Summary Table")</f>
        <v>PATCHING SUMMARY TABLE</v>
      </c>
      <c r="B1" s="1323"/>
      <c r="C1" s="1323"/>
      <c r="D1" s="1323"/>
      <c r="E1" s="1323"/>
      <c r="F1" s="1323"/>
      <c r="G1" s="1323"/>
      <c r="H1" s="1323"/>
      <c r="I1" s="1323"/>
      <c r="J1" s="1323"/>
      <c r="K1" s="82"/>
      <c r="L1" s="1321" t="s">
        <v>538</v>
      </c>
      <c r="M1" s="1321"/>
      <c r="N1" s="1321"/>
      <c r="O1" s="1321"/>
      <c r="P1" s="1321"/>
      <c r="Q1" s="8"/>
      <c r="R1" s="155"/>
      <c r="S1" s="155"/>
      <c r="T1" s="155"/>
      <c r="U1" s="155"/>
      <c r="V1" s="155"/>
      <c r="W1" s="155"/>
    </row>
    <row r="2" spans="1:23" ht="8.25" customHeight="1" thickBot="1" x14ac:dyDescent="0.25">
      <c r="A2" s="30"/>
      <c r="B2" s="31"/>
      <c r="C2" s="31"/>
      <c r="D2" s="31"/>
      <c r="E2" s="31"/>
      <c r="F2" s="31"/>
      <c r="G2" s="31"/>
      <c r="H2" s="31"/>
      <c r="I2" s="31"/>
      <c r="J2" s="31"/>
      <c r="K2" s="101"/>
      <c r="L2" s="1317" t="s">
        <v>571</v>
      </c>
      <c r="M2" s="1317"/>
      <c r="N2" s="1317"/>
      <c r="O2" s="30"/>
      <c r="P2" s="30"/>
      <c r="Q2" s="30"/>
      <c r="R2" s="30"/>
      <c r="S2" s="30"/>
      <c r="T2" s="30"/>
      <c r="U2" s="30"/>
      <c r="V2" s="30"/>
      <c r="W2" s="30"/>
    </row>
    <row r="3" spans="1:23" ht="13.5" customHeight="1" x14ac:dyDescent="0.2">
      <c r="A3" s="30"/>
      <c r="B3" s="1310" t="s">
        <v>2</v>
      </c>
      <c r="C3" s="1325" t="s">
        <v>3</v>
      </c>
      <c r="D3" s="1327" t="s">
        <v>39</v>
      </c>
      <c r="E3" s="1308" t="s">
        <v>4</v>
      </c>
      <c r="F3" s="1223" t="s">
        <v>535</v>
      </c>
      <c r="G3" s="261" t="s">
        <v>129</v>
      </c>
      <c r="H3" s="269" t="s">
        <v>102</v>
      </c>
      <c r="I3" s="152" t="s">
        <v>209</v>
      </c>
      <c r="J3" s="31"/>
      <c r="K3" s="158"/>
      <c r="L3" s="1318"/>
      <c r="M3" s="1318"/>
      <c r="N3" s="1318"/>
      <c r="O3" s="1159" t="s">
        <v>537</v>
      </c>
      <c r="P3" s="1305"/>
      <c r="Q3" s="1306"/>
      <c r="R3" s="30"/>
      <c r="S3" s="30"/>
      <c r="T3" s="30"/>
      <c r="U3" s="30"/>
      <c r="V3" s="30"/>
      <c r="W3" s="30"/>
    </row>
    <row r="4" spans="1:23" ht="13.5" customHeight="1" thickBot="1" x14ac:dyDescent="0.25">
      <c r="A4" s="30"/>
      <c r="B4" s="1324"/>
      <c r="C4" s="1326"/>
      <c r="D4" s="1328"/>
      <c r="E4" s="1309"/>
      <c r="F4" s="1307"/>
      <c r="G4" s="262" t="s">
        <v>100</v>
      </c>
      <c r="H4" s="270" t="s">
        <v>100</v>
      </c>
      <c r="I4" s="273" t="s">
        <v>210</v>
      </c>
      <c r="J4" s="31"/>
      <c r="K4" s="158"/>
      <c r="L4" s="1318"/>
      <c r="M4" s="1318"/>
      <c r="N4" s="1318"/>
      <c r="O4" s="41" t="str">
        <f>$Q$41</f>
        <v>Partial</v>
      </c>
      <c r="P4" s="42" t="str">
        <f>$Q$42</f>
        <v>Full ( HMA)</v>
      </c>
      <c r="Q4" s="43" t="str">
        <f>$Q$43</f>
        <v>Full (Composite)</v>
      </c>
      <c r="R4" s="30"/>
      <c r="S4" s="30"/>
      <c r="T4" s="30"/>
      <c r="U4" s="30"/>
      <c r="V4" s="30"/>
      <c r="W4" s="30"/>
    </row>
    <row r="5" spans="1:23" x14ac:dyDescent="0.2">
      <c r="A5" s="30"/>
      <c r="B5" s="159"/>
      <c r="C5" s="258"/>
      <c r="D5" s="265"/>
      <c r="E5" s="160"/>
      <c r="F5" s="266"/>
      <c r="G5" s="263">
        <f>ABS(C5-B5)</f>
        <v>0</v>
      </c>
      <c r="H5" s="271"/>
      <c r="I5" s="274">
        <f t="shared" ref="I5:I32" si="0">ROUNDUP((G5*H5)/9,0)</f>
        <v>0</v>
      </c>
      <c r="J5" s="161"/>
      <c r="K5" s="158"/>
      <c r="L5" s="30"/>
      <c r="M5" s="30"/>
      <c r="N5" s="30"/>
      <c r="O5" s="54">
        <f t="shared" ref="O5:O32" si="1">IF($F5=$Q$41,$I5,0)</f>
        <v>0</v>
      </c>
      <c r="P5" s="1069">
        <f t="shared" ref="P5:P32" si="2">IF($F5=$Q$42,$I5,0)</f>
        <v>0</v>
      </c>
      <c r="Q5" s="811">
        <f t="shared" ref="Q5:Q32" si="3">IF($F5=$Q$43,$I5,0)</f>
        <v>0</v>
      </c>
      <c r="R5" s="30"/>
      <c r="S5" s="30"/>
      <c r="T5" s="30"/>
      <c r="U5" s="30"/>
      <c r="V5" s="30"/>
      <c r="W5" s="30"/>
    </row>
    <row r="6" spans="1:23" ht="12.75" customHeight="1" x14ac:dyDescent="0.2">
      <c r="A6" s="30"/>
      <c r="B6" s="162"/>
      <c r="C6" s="259"/>
      <c r="D6" s="267"/>
      <c r="E6" s="35"/>
      <c r="F6" s="151"/>
      <c r="G6" s="263">
        <f t="shared" ref="G6:G32" si="4">ABS(C6-B6)</f>
        <v>0</v>
      </c>
      <c r="H6" s="65"/>
      <c r="I6" s="275">
        <f t="shared" si="0"/>
        <v>0</v>
      </c>
      <c r="J6" s="161"/>
      <c r="K6" s="158"/>
      <c r="L6" s="30"/>
      <c r="M6" s="30"/>
      <c r="N6" s="30"/>
      <c r="O6" s="71">
        <f t="shared" si="1"/>
        <v>0</v>
      </c>
      <c r="P6" s="1070">
        <f t="shared" si="2"/>
        <v>0</v>
      </c>
      <c r="Q6" s="1071">
        <f t="shared" si="3"/>
        <v>0</v>
      </c>
      <c r="R6" s="30"/>
      <c r="S6" s="30"/>
      <c r="T6" s="30"/>
      <c r="U6" s="30"/>
      <c r="V6" s="30"/>
      <c r="W6" s="30"/>
    </row>
    <row r="7" spans="1:23" ht="12.75" customHeight="1" x14ac:dyDescent="0.2">
      <c r="A7" s="30"/>
      <c r="B7" s="162"/>
      <c r="C7" s="259"/>
      <c r="D7" s="267"/>
      <c r="E7" s="35"/>
      <c r="F7" s="151"/>
      <c r="G7" s="263">
        <f t="shared" si="4"/>
        <v>0</v>
      </c>
      <c r="H7" s="65"/>
      <c r="I7" s="275">
        <f t="shared" si="0"/>
        <v>0</v>
      </c>
      <c r="J7" s="161"/>
      <c r="K7" s="158"/>
      <c r="L7" s="30"/>
      <c r="M7" s="30"/>
      <c r="N7" s="30"/>
      <c r="O7" s="71">
        <f t="shared" si="1"/>
        <v>0</v>
      </c>
      <c r="P7" s="1070">
        <f t="shared" si="2"/>
        <v>0</v>
      </c>
      <c r="Q7" s="1071">
        <f t="shared" si="3"/>
        <v>0</v>
      </c>
      <c r="R7" s="30"/>
      <c r="S7" s="30"/>
      <c r="T7" s="30"/>
      <c r="U7" s="30"/>
      <c r="V7" s="30"/>
      <c r="W7" s="30"/>
    </row>
    <row r="8" spans="1:23" ht="12.75" customHeight="1" x14ac:dyDescent="0.2">
      <c r="A8" s="30"/>
      <c r="B8" s="162"/>
      <c r="C8" s="259"/>
      <c r="D8" s="267"/>
      <c r="E8" s="35"/>
      <c r="F8" s="151"/>
      <c r="G8" s="263">
        <f t="shared" si="4"/>
        <v>0</v>
      </c>
      <c r="H8" s="65"/>
      <c r="I8" s="275">
        <f t="shared" si="0"/>
        <v>0</v>
      </c>
      <c r="J8" s="161"/>
      <c r="K8" s="158"/>
      <c r="L8" s="30"/>
      <c r="M8" s="30"/>
      <c r="N8" s="30"/>
      <c r="O8" s="71">
        <f t="shared" si="1"/>
        <v>0</v>
      </c>
      <c r="P8" s="1070">
        <f t="shared" si="2"/>
        <v>0</v>
      </c>
      <c r="Q8" s="1071">
        <f t="shared" si="3"/>
        <v>0</v>
      </c>
      <c r="R8" s="30"/>
      <c r="S8" s="30"/>
      <c r="T8" s="30"/>
      <c r="U8" s="30"/>
      <c r="V8" s="30"/>
      <c r="W8" s="30"/>
    </row>
    <row r="9" spans="1:23" ht="12.75" customHeight="1" x14ac:dyDescent="0.2">
      <c r="A9" s="30"/>
      <c r="B9" s="162"/>
      <c r="C9" s="259"/>
      <c r="D9" s="267"/>
      <c r="E9" s="35"/>
      <c r="F9" s="151"/>
      <c r="G9" s="263">
        <f t="shared" si="4"/>
        <v>0</v>
      </c>
      <c r="H9" s="65"/>
      <c r="I9" s="275">
        <f t="shared" si="0"/>
        <v>0</v>
      </c>
      <c r="J9" s="161"/>
      <c r="K9" s="158"/>
      <c r="L9" s="30"/>
      <c r="M9" s="30"/>
      <c r="N9" s="30"/>
      <c r="O9" s="71">
        <f t="shared" si="1"/>
        <v>0</v>
      </c>
      <c r="P9" s="1070">
        <f t="shared" si="2"/>
        <v>0</v>
      </c>
      <c r="Q9" s="1071">
        <f t="shared" si="3"/>
        <v>0</v>
      </c>
      <c r="R9" s="30"/>
      <c r="S9" s="30"/>
      <c r="T9" s="30"/>
      <c r="U9" s="30"/>
      <c r="V9" s="30"/>
      <c r="W9" s="30"/>
    </row>
    <row r="10" spans="1:23" ht="12.75" customHeight="1" x14ac:dyDescent="0.2">
      <c r="A10" s="30"/>
      <c r="B10" s="162"/>
      <c r="C10" s="259"/>
      <c r="D10" s="267"/>
      <c r="E10" s="35"/>
      <c r="F10" s="151"/>
      <c r="G10" s="263">
        <f t="shared" si="4"/>
        <v>0</v>
      </c>
      <c r="H10" s="65"/>
      <c r="I10" s="275">
        <f t="shared" si="0"/>
        <v>0</v>
      </c>
      <c r="J10" s="161"/>
      <c r="K10" s="158"/>
      <c r="L10" s="30"/>
      <c r="M10" s="30"/>
      <c r="N10" s="30"/>
      <c r="O10" s="71">
        <f t="shared" si="1"/>
        <v>0</v>
      </c>
      <c r="P10" s="1070">
        <f t="shared" si="2"/>
        <v>0</v>
      </c>
      <c r="Q10" s="1071">
        <f t="shared" si="3"/>
        <v>0</v>
      </c>
      <c r="R10" s="30"/>
      <c r="S10" s="30"/>
      <c r="T10" s="30"/>
      <c r="U10" s="30"/>
      <c r="V10" s="30"/>
      <c r="W10" s="30"/>
    </row>
    <row r="11" spans="1:23" ht="12.75" customHeight="1" x14ac:dyDescent="0.2">
      <c r="A11" s="30"/>
      <c r="B11" s="162"/>
      <c r="C11" s="259"/>
      <c r="D11" s="267"/>
      <c r="E11" s="35"/>
      <c r="F11" s="151"/>
      <c r="G11" s="263">
        <f t="shared" si="4"/>
        <v>0</v>
      </c>
      <c r="H11" s="65"/>
      <c r="I11" s="275">
        <f t="shared" si="0"/>
        <v>0</v>
      </c>
      <c r="J11" s="161"/>
      <c r="K11" s="158"/>
      <c r="L11" s="30"/>
      <c r="M11" s="30"/>
      <c r="N11" s="30"/>
      <c r="O11" s="71">
        <f t="shared" si="1"/>
        <v>0</v>
      </c>
      <c r="P11" s="1070">
        <f t="shared" si="2"/>
        <v>0</v>
      </c>
      <c r="Q11" s="1071">
        <f t="shared" si="3"/>
        <v>0</v>
      </c>
      <c r="R11" s="30"/>
      <c r="S11" s="30"/>
      <c r="T11" s="30"/>
      <c r="U11" s="30"/>
      <c r="V11" s="30"/>
      <c r="W11" s="30"/>
    </row>
    <row r="12" spans="1:23" ht="12.75" customHeight="1" x14ac:dyDescent="0.2">
      <c r="A12" s="30"/>
      <c r="B12" s="162"/>
      <c r="C12" s="259"/>
      <c r="D12" s="267"/>
      <c r="E12" s="35"/>
      <c r="F12" s="151"/>
      <c r="G12" s="263">
        <f t="shared" si="4"/>
        <v>0</v>
      </c>
      <c r="H12" s="65"/>
      <c r="I12" s="275">
        <f t="shared" si="0"/>
        <v>0</v>
      </c>
      <c r="J12" s="161"/>
      <c r="K12" s="158"/>
      <c r="L12" s="30"/>
      <c r="M12" s="30"/>
      <c r="N12" s="30"/>
      <c r="O12" s="71">
        <f t="shared" si="1"/>
        <v>0</v>
      </c>
      <c r="P12" s="1070">
        <f t="shared" si="2"/>
        <v>0</v>
      </c>
      <c r="Q12" s="1071">
        <f t="shared" si="3"/>
        <v>0</v>
      </c>
      <c r="R12" s="30"/>
      <c r="S12" s="30"/>
      <c r="T12" s="30"/>
      <c r="U12" s="30"/>
      <c r="V12" s="30"/>
      <c r="W12" s="30"/>
    </row>
    <row r="13" spans="1:23" ht="12.75" customHeight="1" x14ac:dyDescent="0.2">
      <c r="A13" s="30"/>
      <c r="B13" s="162"/>
      <c r="C13" s="259"/>
      <c r="D13" s="267"/>
      <c r="E13" s="35"/>
      <c r="F13" s="151"/>
      <c r="G13" s="263">
        <f t="shared" si="4"/>
        <v>0</v>
      </c>
      <c r="H13" s="65"/>
      <c r="I13" s="275">
        <f t="shared" si="0"/>
        <v>0</v>
      </c>
      <c r="J13" s="161"/>
      <c r="K13" s="158"/>
      <c r="L13" s="30"/>
      <c r="M13" s="30"/>
      <c r="N13" s="30"/>
      <c r="O13" s="71">
        <f t="shared" si="1"/>
        <v>0</v>
      </c>
      <c r="P13" s="1070">
        <f t="shared" si="2"/>
        <v>0</v>
      </c>
      <c r="Q13" s="1071">
        <f t="shared" si="3"/>
        <v>0</v>
      </c>
      <c r="R13" s="30"/>
      <c r="S13" s="30"/>
      <c r="T13" s="30"/>
      <c r="U13" s="30"/>
      <c r="V13" s="30"/>
      <c r="W13" s="30"/>
    </row>
    <row r="14" spans="1:23" ht="12.75" customHeight="1" x14ac:dyDescent="0.2">
      <c r="A14" s="30"/>
      <c r="B14" s="162"/>
      <c r="C14" s="259"/>
      <c r="D14" s="267"/>
      <c r="E14" s="35"/>
      <c r="F14" s="151"/>
      <c r="G14" s="263">
        <f t="shared" si="4"/>
        <v>0</v>
      </c>
      <c r="H14" s="65"/>
      <c r="I14" s="275">
        <f t="shared" si="0"/>
        <v>0</v>
      </c>
      <c r="J14" s="161"/>
      <c r="K14" s="158"/>
      <c r="L14" s="30"/>
      <c r="M14" s="30"/>
      <c r="N14" s="30"/>
      <c r="O14" s="71">
        <f t="shared" si="1"/>
        <v>0</v>
      </c>
      <c r="P14" s="1070">
        <f t="shared" si="2"/>
        <v>0</v>
      </c>
      <c r="Q14" s="1071">
        <f t="shared" si="3"/>
        <v>0</v>
      </c>
      <c r="R14" s="30"/>
      <c r="S14" s="30"/>
      <c r="T14" s="30"/>
      <c r="U14" s="30"/>
      <c r="V14" s="30"/>
      <c r="W14" s="30"/>
    </row>
    <row r="15" spans="1:23" ht="12.75" customHeight="1" x14ac:dyDescent="0.2">
      <c r="A15" s="30"/>
      <c r="B15" s="162"/>
      <c r="C15" s="259"/>
      <c r="D15" s="267"/>
      <c r="E15" s="35"/>
      <c r="F15" s="151"/>
      <c r="G15" s="263">
        <f t="shared" si="4"/>
        <v>0</v>
      </c>
      <c r="H15" s="65"/>
      <c r="I15" s="275">
        <f t="shared" si="0"/>
        <v>0</v>
      </c>
      <c r="J15" s="161"/>
      <c r="K15" s="158"/>
      <c r="L15" s="30"/>
      <c r="M15" s="30"/>
      <c r="N15" s="30"/>
      <c r="O15" s="71">
        <f t="shared" si="1"/>
        <v>0</v>
      </c>
      <c r="P15" s="1070">
        <f t="shared" si="2"/>
        <v>0</v>
      </c>
      <c r="Q15" s="1071">
        <f t="shared" si="3"/>
        <v>0</v>
      </c>
      <c r="R15" s="30"/>
      <c r="S15" s="30"/>
      <c r="T15" s="30"/>
      <c r="U15" s="30"/>
      <c r="V15" s="30"/>
      <c r="W15" s="30"/>
    </row>
    <row r="16" spans="1:23" ht="12.75" customHeight="1" x14ac:dyDescent="0.2">
      <c r="A16" s="30"/>
      <c r="B16" s="162"/>
      <c r="C16" s="259"/>
      <c r="D16" s="267"/>
      <c r="E16" s="35"/>
      <c r="F16" s="151"/>
      <c r="G16" s="263">
        <f t="shared" si="4"/>
        <v>0</v>
      </c>
      <c r="H16" s="65"/>
      <c r="I16" s="275">
        <f t="shared" si="0"/>
        <v>0</v>
      </c>
      <c r="J16" s="161"/>
      <c r="K16" s="158"/>
      <c r="L16" s="30"/>
      <c r="M16" s="30"/>
      <c r="N16" s="30"/>
      <c r="O16" s="71">
        <f t="shared" si="1"/>
        <v>0</v>
      </c>
      <c r="P16" s="1070">
        <f t="shared" si="2"/>
        <v>0</v>
      </c>
      <c r="Q16" s="1071">
        <f t="shared" si="3"/>
        <v>0</v>
      </c>
      <c r="R16" s="30"/>
      <c r="S16" s="30"/>
      <c r="T16" s="30"/>
      <c r="U16" s="30"/>
      <c r="V16" s="30"/>
      <c r="W16" s="30"/>
    </row>
    <row r="17" spans="1:23" ht="12.75" customHeight="1" x14ac:dyDescent="0.2">
      <c r="A17" s="30"/>
      <c r="B17" s="162"/>
      <c r="C17" s="259"/>
      <c r="D17" s="267"/>
      <c r="E17" s="35"/>
      <c r="F17" s="151"/>
      <c r="G17" s="263">
        <f t="shared" si="4"/>
        <v>0</v>
      </c>
      <c r="H17" s="65"/>
      <c r="I17" s="275">
        <f t="shared" si="0"/>
        <v>0</v>
      </c>
      <c r="J17" s="161"/>
      <c r="K17" s="158"/>
      <c r="L17" s="30"/>
      <c r="M17" s="30"/>
      <c r="N17" s="30"/>
      <c r="O17" s="71">
        <f t="shared" si="1"/>
        <v>0</v>
      </c>
      <c r="P17" s="1070">
        <f t="shared" si="2"/>
        <v>0</v>
      </c>
      <c r="Q17" s="1071">
        <f t="shared" si="3"/>
        <v>0</v>
      </c>
      <c r="R17" s="30"/>
      <c r="S17" s="30"/>
      <c r="T17" s="30"/>
      <c r="U17" s="30"/>
      <c r="V17" s="30"/>
      <c r="W17" s="30"/>
    </row>
    <row r="18" spans="1:23" ht="12.75" customHeight="1" x14ac:dyDescent="0.2">
      <c r="A18" s="30"/>
      <c r="B18" s="162"/>
      <c r="C18" s="259"/>
      <c r="D18" s="267"/>
      <c r="E18" s="35"/>
      <c r="F18" s="151"/>
      <c r="G18" s="263">
        <f t="shared" si="4"/>
        <v>0</v>
      </c>
      <c r="H18" s="65"/>
      <c r="I18" s="275">
        <f t="shared" si="0"/>
        <v>0</v>
      </c>
      <c r="J18" s="161"/>
      <c r="K18" s="158"/>
      <c r="L18" s="30"/>
      <c r="M18" s="30"/>
      <c r="N18" s="30"/>
      <c r="O18" s="71">
        <f t="shared" si="1"/>
        <v>0</v>
      </c>
      <c r="P18" s="1070">
        <f t="shared" si="2"/>
        <v>0</v>
      </c>
      <c r="Q18" s="1071">
        <f t="shared" si="3"/>
        <v>0</v>
      </c>
      <c r="R18" s="30"/>
      <c r="S18" s="30"/>
      <c r="T18" s="30"/>
      <c r="U18" s="30"/>
      <c r="V18" s="30"/>
      <c r="W18" s="30"/>
    </row>
    <row r="19" spans="1:23" ht="12.75" customHeight="1" x14ac:dyDescent="0.2">
      <c r="A19" s="30"/>
      <c r="B19" s="162"/>
      <c r="C19" s="259"/>
      <c r="D19" s="267"/>
      <c r="E19" s="35"/>
      <c r="F19" s="151"/>
      <c r="G19" s="263">
        <f t="shared" si="4"/>
        <v>0</v>
      </c>
      <c r="H19" s="65"/>
      <c r="I19" s="275">
        <f t="shared" si="0"/>
        <v>0</v>
      </c>
      <c r="J19" s="161"/>
      <c r="K19" s="158"/>
      <c r="L19" s="30"/>
      <c r="M19" s="30"/>
      <c r="N19" s="30"/>
      <c r="O19" s="71">
        <f t="shared" si="1"/>
        <v>0</v>
      </c>
      <c r="P19" s="1070">
        <f t="shared" si="2"/>
        <v>0</v>
      </c>
      <c r="Q19" s="1071">
        <f t="shared" si="3"/>
        <v>0</v>
      </c>
      <c r="R19" s="30"/>
      <c r="S19" s="30"/>
      <c r="T19" s="30"/>
      <c r="U19" s="30"/>
      <c r="V19" s="30"/>
      <c r="W19" s="30"/>
    </row>
    <row r="20" spans="1:23" ht="12.75" customHeight="1" x14ac:dyDescent="0.2">
      <c r="A20" s="30"/>
      <c r="B20" s="162"/>
      <c r="C20" s="259"/>
      <c r="D20" s="267"/>
      <c r="E20" s="35"/>
      <c r="F20" s="151"/>
      <c r="G20" s="263">
        <f t="shared" si="4"/>
        <v>0</v>
      </c>
      <c r="H20" s="65"/>
      <c r="I20" s="275">
        <f t="shared" si="0"/>
        <v>0</v>
      </c>
      <c r="J20" s="161"/>
      <c r="K20" s="158"/>
      <c r="L20" s="30"/>
      <c r="M20" s="30"/>
      <c r="N20" s="30"/>
      <c r="O20" s="71">
        <f t="shared" si="1"/>
        <v>0</v>
      </c>
      <c r="P20" s="1070">
        <f t="shared" si="2"/>
        <v>0</v>
      </c>
      <c r="Q20" s="1071">
        <f t="shared" si="3"/>
        <v>0</v>
      </c>
      <c r="R20" s="30"/>
      <c r="S20" s="30"/>
      <c r="T20" s="30"/>
      <c r="U20" s="30"/>
      <c r="V20" s="30"/>
      <c r="W20" s="30"/>
    </row>
    <row r="21" spans="1:23" ht="12.75" customHeight="1" x14ac:dyDescent="0.2">
      <c r="A21" s="30"/>
      <c r="B21" s="162"/>
      <c r="C21" s="259"/>
      <c r="D21" s="267"/>
      <c r="E21" s="35"/>
      <c r="F21" s="151"/>
      <c r="G21" s="263">
        <f t="shared" si="4"/>
        <v>0</v>
      </c>
      <c r="H21" s="65"/>
      <c r="I21" s="275">
        <f t="shared" si="0"/>
        <v>0</v>
      </c>
      <c r="J21" s="161"/>
      <c r="K21" s="158"/>
      <c r="L21" s="30"/>
      <c r="M21" s="30"/>
      <c r="N21" s="30"/>
      <c r="O21" s="71">
        <f t="shared" si="1"/>
        <v>0</v>
      </c>
      <c r="P21" s="1070">
        <f t="shared" si="2"/>
        <v>0</v>
      </c>
      <c r="Q21" s="1071">
        <f t="shared" si="3"/>
        <v>0</v>
      </c>
      <c r="R21" s="30"/>
      <c r="S21" s="30"/>
      <c r="T21" s="30"/>
      <c r="U21" s="30"/>
      <c r="V21" s="30"/>
      <c r="W21" s="30"/>
    </row>
    <row r="22" spans="1:23" ht="12.75" customHeight="1" x14ac:dyDescent="0.2">
      <c r="A22" s="30"/>
      <c r="B22" s="162"/>
      <c r="C22" s="259"/>
      <c r="D22" s="267"/>
      <c r="E22" s="35"/>
      <c r="F22" s="151"/>
      <c r="G22" s="263">
        <f t="shared" si="4"/>
        <v>0</v>
      </c>
      <c r="H22" s="65"/>
      <c r="I22" s="275">
        <f>ROUNDUP((G22*H22)/9,0)</f>
        <v>0</v>
      </c>
      <c r="J22" s="161"/>
      <c r="K22" s="158"/>
      <c r="L22" s="30"/>
      <c r="M22" s="30"/>
      <c r="N22" s="30"/>
      <c r="O22" s="71">
        <f t="shared" si="1"/>
        <v>0</v>
      </c>
      <c r="P22" s="1070">
        <f t="shared" si="2"/>
        <v>0</v>
      </c>
      <c r="Q22" s="1071">
        <f t="shared" si="3"/>
        <v>0</v>
      </c>
      <c r="R22" s="30"/>
      <c r="S22" s="30"/>
      <c r="T22" s="30"/>
      <c r="U22" s="30"/>
      <c r="V22" s="30"/>
      <c r="W22" s="30"/>
    </row>
    <row r="23" spans="1:23" ht="12.75" customHeight="1" x14ac:dyDescent="0.2">
      <c r="A23" s="30"/>
      <c r="B23" s="162"/>
      <c r="C23" s="259"/>
      <c r="D23" s="267"/>
      <c r="E23" s="35"/>
      <c r="F23" s="151"/>
      <c r="G23" s="263">
        <f t="shared" si="4"/>
        <v>0</v>
      </c>
      <c r="H23" s="65"/>
      <c r="I23" s="275">
        <f>ROUNDUP((G23*H23)/9,0)</f>
        <v>0</v>
      </c>
      <c r="J23" s="161"/>
      <c r="K23" s="158"/>
      <c r="L23" s="30"/>
      <c r="M23" s="30"/>
      <c r="N23" s="30"/>
      <c r="O23" s="71">
        <f t="shared" si="1"/>
        <v>0</v>
      </c>
      <c r="P23" s="1070">
        <f t="shared" si="2"/>
        <v>0</v>
      </c>
      <c r="Q23" s="1071">
        <f t="shared" si="3"/>
        <v>0</v>
      </c>
      <c r="R23" s="30"/>
      <c r="S23" s="30"/>
      <c r="T23" s="30"/>
      <c r="U23" s="30"/>
      <c r="V23" s="30"/>
      <c r="W23" s="30"/>
    </row>
    <row r="24" spans="1:23" ht="12.75" customHeight="1" x14ac:dyDescent="0.2">
      <c r="A24" s="30"/>
      <c r="B24" s="162"/>
      <c r="C24" s="259"/>
      <c r="D24" s="267"/>
      <c r="E24" s="35"/>
      <c r="F24" s="151"/>
      <c r="G24" s="263">
        <f t="shared" si="4"/>
        <v>0</v>
      </c>
      <c r="H24" s="65"/>
      <c r="I24" s="275">
        <f t="shared" si="0"/>
        <v>0</v>
      </c>
      <c r="J24" s="161"/>
      <c r="K24" s="158"/>
      <c r="L24" s="30"/>
      <c r="M24" s="30"/>
      <c r="N24" s="30"/>
      <c r="O24" s="71">
        <f t="shared" si="1"/>
        <v>0</v>
      </c>
      <c r="P24" s="1070">
        <f t="shared" si="2"/>
        <v>0</v>
      </c>
      <c r="Q24" s="1071">
        <f t="shared" si="3"/>
        <v>0</v>
      </c>
      <c r="R24" s="30"/>
      <c r="S24" s="30"/>
      <c r="T24" s="30"/>
      <c r="U24" s="30"/>
      <c r="V24" s="30"/>
      <c r="W24" s="30"/>
    </row>
    <row r="25" spans="1:23" ht="12.75" customHeight="1" x14ac:dyDescent="0.2">
      <c r="A25" s="30"/>
      <c r="B25" s="162"/>
      <c r="C25" s="259"/>
      <c r="D25" s="267"/>
      <c r="E25" s="35"/>
      <c r="F25" s="151"/>
      <c r="G25" s="263">
        <f t="shared" si="4"/>
        <v>0</v>
      </c>
      <c r="H25" s="65"/>
      <c r="I25" s="275">
        <f t="shared" si="0"/>
        <v>0</v>
      </c>
      <c r="J25" s="161"/>
      <c r="K25" s="158"/>
      <c r="L25" s="30"/>
      <c r="M25" s="30"/>
      <c r="N25" s="30"/>
      <c r="O25" s="71">
        <f t="shared" si="1"/>
        <v>0</v>
      </c>
      <c r="P25" s="1070">
        <f t="shared" si="2"/>
        <v>0</v>
      </c>
      <c r="Q25" s="1071">
        <f t="shared" si="3"/>
        <v>0</v>
      </c>
      <c r="R25" s="30"/>
      <c r="S25" s="30"/>
      <c r="T25" s="30"/>
      <c r="U25" s="30"/>
      <c r="V25" s="30"/>
      <c r="W25" s="30"/>
    </row>
    <row r="26" spans="1:23" ht="12.75" customHeight="1" x14ac:dyDescent="0.2">
      <c r="A26" s="30"/>
      <c r="B26" s="162"/>
      <c r="C26" s="259"/>
      <c r="D26" s="267"/>
      <c r="E26" s="35"/>
      <c r="F26" s="151"/>
      <c r="G26" s="263">
        <f t="shared" si="4"/>
        <v>0</v>
      </c>
      <c r="H26" s="65"/>
      <c r="I26" s="275">
        <f t="shared" si="0"/>
        <v>0</v>
      </c>
      <c r="J26" s="161"/>
      <c r="K26" s="158"/>
      <c r="L26" s="30"/>
      <c r="M26" s="30"/>
      <c r="N26" s="30"/>
      <c r="O26" s="71">
        <f t="shared" si="1"/>
        <v>0</v>
      </c>
      <c r="P26" s="1070">
        <f t="shared" si="2"/>
        <v>0</v>
      </c>
      <c r="Q26" s="1071">
        <f t="shared" si="3"/>
        <v>0</v>
      </c>
      <c r="R26" s="30"/>
      <c r="S26" s="30"/>
      <c r="T26" s="30"/>
      <c r="U26" s="30"/>
      <c r="V26" s="30"/>
      <c r="W26" s="30"/>
    </row>
    <row r="27" spans="1:23" ht="12.75" customHeight="1" x14ac:dyDescent="0.2">
      <c r="A27" s="30"/>
      <c r="B27" s="162"/>
      <c r="C27" s="259"/>
      <c r="D27" s="267"/>
      <c r="E27" s="35"/>
      <c r="F27" s="151"/>
      <c r="G27" s="263">
        <f t="shared" si="4"/>
        <v>0</v>
      </c>
      <c r="H27" s="65"/>
      <c r="I27" s="275">
        <f t="shared" si="0"/>
        <v>0</v>
      </c>
      <c r="J27" s="161"/>
      <c r="K27" s="158"/>
      <c r="L27" s="30"/>
      <c r="M27" s="30"/>
      <c r="N27" s="30"/>
      <c r="O27" s="71">
        <f t="shared" si="1"/>
        <v>0</v>
      </c>
      <c r="P27" s="1070">
        <f t="shared" si="2"/>
        <v>0</v>
      </c>
      <c r="Q27" s="1071">
        <f t="shared" si="3"/>
        <v>0</v>
      </c>
      <c r="R27" s="30"/>
      <c r="S27" s="30"/>
      <c r="T27" s="30"/>
      <c r="U27" s="30"/>
      <c r="V27" s="30"/>
      <c r="W27" s="30"/>
    </row>
    <row r="28" spans="1:23" ht="12.75" customHeight="1" x14ac:dyDescent="0.2">
      <c r="A28" s="30"/>
      <c r="B28" s="162"/>
      <c r="C28" s="259"/>
      <c r="D28" s="267"/>
      <c r="E28" s="35"/>
      <c r="F28" s="151"/>
      <c r="G28" s="263">
        <f t="shared" si="4"/>
        <v>0</v>
      </c>
      <c r="H28" s="65"/>
      <c r="I28" s="275">
        <f t="shared" si="0"/>
        <v>0</v>
      </c>
      <c r="J28" s="161"/>
      <c r="K28" s="158"/>
      <c r="L28" s="30"/>
      <c r="M28" s="30"/>
      <c r="N28" s="30"/>
      <c r="O28" s="71">
        <f t="shared" si="1"/>
        <v>0</v>
      </c>
      <c r="P28" s="1070">
        <f t="shared" si="2"/>
        <v>0</v>
      </c>
      <c r="Q28" s="1071">
        <f t="shared" si="3"/>
        <v>0</v>
      </c>
      <c r="R28" s="30"/>
      <c r="S28" s="30"/>
      <c r="T28" s="30"/>
      <c r="U28" s="30"/>
      <c r="V28" s="30"/>
      <c r="W28" s="30"/>
    </row>
    <row r="29" spans="1:23" ht="12.75" customHeight="1" x14ac:dyDescent="0.2">
      <c r="A29" s="30"/>
      <c r="B29" s="162"/>
      <c r="C29" s="259"/>
      <c r="D29" s="267"/>
      <c r="E29" s="35"/>
      <c r="F29" s="151"/>
      <c r="G29" s="263">
        <f t="shared" si="4"/>
        <v>0</v>
      </c>
      <c r="H29" s="65"/>
      <c r="I29" s="275">
        <f t="shared" si="0"/>
        <v>0</v>
      </c>
      <c r="J29" s="161"/>
      <c r="K29" s="158"/>
      <c r="L29" s="30"/>
      <c r="M29" s="30"/>
      <c r="N29" s="30"/>
      <c r="O29" s="71">
        <f t="shared" si="1"/>
        <v>0</v>
      </c>
      <c r="P29" s="1070">
        <f t="shared" si="2"/>
        <v>0</v>
      </c>
      <c r="Q29" s="1071">
        <f t="shared" si="3"/>
        <v>0</v>
      </c>
      <c r="R29" s="30"/>
      <c r="S29" s="30"/>
      <c r="T29" s="30"/>
      <c r="U29" s="30"/>
      <c r="V29" s="30"/>
      <c r="W29" s="30"/>
    </row>
    <row r="30" spans="1:23" ht="12.75" customHeight="1" x14ac:dyDescent="0.2">
      <c r="A30" s="30"/>
      <c r="B30" s="162"/>
      <c r="C30" s="259"/>
      <c r="D30" s="267"/>
      <c r="E30" s="35"/>
      <c r="F30" s="151"/>
      <c r="G30" s="263">
        <f t="shared" si="4"/>
        <v>0</v>
      </c>
      <c r="H30" s="65"/>
      <c r="I30" s="275">
        <f t="shared" si="0"/>
        <v>0</v>
      </c>
      <c r="J30" s="161"/>
      <c r="K30" s="158"/>
      <c r="L30" s="30"/>
      <c r="M30" s="30"/>
      <c r="N30" s="30"/>
      <c r="O30" s="71">
        <f t="shared" si="1"/>
        <v>0</v>
      </c>
      <c r="P30" s="1070">
        <f t="shared" si="2"/>
        <v>0</v>
      </c>
      <c r="Q30" s="1071">
        <f t="shared" si="3"/>
        <v>0</v>
      </c>
      <c r="R30" s="30"/>
      <c r="S30" s="30"/>
      <c r="T30" s="30"/>
      <c r="U30" s="30"/>
      <c r="V30" s="30"/>
      <c r="W30" s="30"/>
    </row>
    <row r="31" spans="1:23" ht="12.75" customHeight="1" x14ac:dyDescent="0.2">
      <c r="A31" s="30"/>
      <c r="B31" s="162"/>
      <c r="C31" s="259"/>
      <c r="D31" s="267"/>
      <c r="E31" s="35"/>
      <c r="F31" s="151"/>
      <c r="G31" s="263">
        <f t="shared" si="4"/>
        <v>0</v>
      </c>
      <c r="H31" s="65"/>
      <c r="I31" s="275">
        <f t="shared" si="0"/>
        <v>0</v>
      </c>
      <c r="J31" s="161"/>
      <c r="K31" s="158"/>
      <c r="L31" s="30"/>
      <c r="M31" s="30"/>
      <c r="N31" s="30"/>
      <c r="O31" s="71">
        <f t="shared" si="1"/>
        <v>0</v>
      </c>
      <c r="P31" s="1070">
        <f t="shared" si="2"/>
        <v>0</v>
      </c>
      <c r="Q31" s="1071">
        <f t="shared" si="3"/>
        <v>0</v>
      </c>
      <c r="R31" s="30"/>
      <c r="S31" s="30"/>
      <c r="T31" s="30"/>
      <c r="U31" s="30"/>
      <c r="V31" s="30"/>
      <c r="W31" s="30"/>
    </row>
    <row r="32" spans="1:23" ht="12.75" customHeight="1" thickBot="1" x14ac:dyDescent="0.25">
      <c r="A32" s="30"/>
      <c r="B32" s="1076"/>
      <c r="C32" s="1077"/>
      <c r="D32" s="1078"/>
      <c r="E32" s="146"/>
      <c r="F32" s="195"/>
      <c r="G32" s="1079">
        <f t="shared" si="4"/>
        <v>0</v>
      </c>
      <c r="H32" s="242"/>
      <c r="I32" s="1080">
        <f t="shared" si="0"/>
        <v>0</v>
      </c>
      <c r="J32" s="161"/>
      <c r="K32" s="158"/>
      <c r="L32" s="186"/>
      <c r="M32" s="186"/>
      <c r="N32" s="30"/>
      <c r="O32" s="71">
        <f t="shared" si="1"/>
        <v>0</v>
      </c>
      <c r="P32" s="1070">
        <f t="shared" si="2"/>
        <v>0</v>
      </c>
      <c r="Q32" s="1071">
        <f t="shared" si="3"/>
        <v>0</v>
      </c>
      <c r="R32" s="30"/>
      <c r="S32" s="30"/>
      <c r="T32" s="30"/>
      <c r="U32" s="30"/>
      <c r="V32" s="30"/>
      <c r="W32" s="30"/>
    </row>
    <row r="33" spans="1:23" ht="12.75" customHeight="1" thickBot="1" x14ac:dyDescent="0.25">
      <c r="A33" s="30"/>
      <c r="B33" s="1081"/>
      <c r="C33" s="1081"/>
      <c r="D33" s="1082"/>
      <c r="E33" s="118"/>
      <c r="F33" s="118"/>
      <c r="G33" s="120"/>
      <c r="H33" s="120"/>
      <c r="I33" s="120"/>
      <c r="J33" s="161"/>
      <c r="K33" s="158"/>
      <c r="O33" s="812">
        <f>SUM(O5:O32)</f>
        <v>0</v>
      </c>
      <c r="P33" s="1075">
        <f>SUM(P5:P32)</f>
        <v>0</v>
      </c>
      <c r="Q33" s="813">
        <f>SUM(Q5:Q32)</f>
        <v>0</v>
      </c>
      <c r="R33" s="30"/>
      <c r="S33" s="30"/>
      <c r="T33" s="30"/>
      <c r="U33" s="30"/>
      <c r="V33" s="30"/>
      <c r="W33" s="30"/>
    </row>
    <row r="34" spans="1:23" ht="12.75" customHeight="1" x14ac:dyDescent="0.2">
      <c r="A34" s="30"/>
      <c r="B34" s="1084"/>
      <c r="C34" s="169"/>
      <c r="D34" s="1087" t="s">
        <v>911</v>
      </c>
      <c r="E34" s="1088" t="str">
        <f>Q41</f>
        <v>Partial</v>
      </c>
      <c r="F34" s="1089" t="str">
        <f>Q42</f>
        <v>Full ( HMA)</v>
      </c>
      <c r="G34" s="1311" t="str">
        <f>Q43</f>
        <v>Full (Composite)</v>
      </c>
      <c r="H34" s="1312"/>
      <c r="I34" s="161"/>
      <c r="J34" s="161"/>
      <c r="K34" s="158"/>
      <c r="O34" s="1083"/>
      <c r="P34" s="1083"/>
      <c r="Q34" s="1083"/>
      <c r="R34" s="30"/>
      <c r="S34" s="30"/>
      <c r="T34" s="30"/>
      <c r="U34" s="30"/>
      <c r="V34" s="30"/>
      <c r="W34" s="30"/>
    </row>
    <row r="35" spans="1:23" ht="12.75" customHeight="1" x14ac:dyDescent="0.2">
      <c r="A35" s="30"/>
      <c r="B35" s="86"/>
      <c r="C35" s="169"/>
      <c r="D35" s="1085" t="s">
        <v>912</v>
      </c>
      <c r="E35" s="1090">
        <f>O33+O118+O176+O234+O292+O350+O408+O466+O524+O582+O640+O698+O756+O814+O872+O930+O988+O1046+O1104+O1162+O1220+O1278+O1336+O1394+O1452</f>
        <v>0</v>
      </c>
      <c r="F35" s="1091">
        <f>P33+P118+P176+P234+P292+P350+P408+P466+P524+P582+P640+P698+P756+P814+P872+P930+P988+P1046+P1104+P1162+P1220+P1278+P1336+P1394+P1452</f>
        <v>0</v>
      </c>
      <c r="G35" s="1315">
        <f>Q33+Q118+Q176+Q234+Q292+Q350+Q408+Q466+Q524+Q582+Q640+Q698+Q756+Q814+Q872+Q930+Q988+Q1046+Q1104+Q1162+Q1220+Q1278+Q1336+Q1394+Q1452</f>
        <v>0</v>
      </c>
      <c r="H35" s="1316"/>
      <c r="J35" s="165"/>
      <c r="K35" s="166"/>
      <c r="L35" s="100"/>
      <c r="M35" s="101" t="s">
        <v>49</v>
      </c>
      <c r="N35" s="101"/>
      <c r="O35" s="600"/>
      <c r="P35" s="600"/>
      <c r="Q35" s="600"/>
      <c r="R35" s="30"/>
      <c r="S35" s="30"/>
      <c r="T35" s="30"/>
      <c r="U35" s="30"/>
      <c r="V35" s="30"/>
      <c r="W35" s="30"/>
    </row>
    <row r="36" spans="1:23" ht="12.75" customHeight="1" x14ac:dyDescent="0.2">
      <c r="A36" s="30"/>
      <c r="B36" s="31"/>
      <c r="C36" s="169"/>
      <c r="D36" s="1085" t="s">
        <v>913</v>
      </c>
      <c r="E36" s="1092">
        <f>E35*L38</f>
        <v>0</v>
      </c>
      <c r="F36" s="1103">
        <f>F35*L47</f>
        <v>0</v>
      </c>
      <c r="G36" s="1329">
        <f>G35*M47</f>
        <v>0</v>
      </c>
      <c r="H36" s="1330"/>
      <c r="J36" s="161"/>
      <c r="K36" s="166"/>
      <c r="L36" s="30"/>
      <c r="M36" s="30"/>
      <c r="N36" s="30"/>
      <c r="O36" s="30"/>
      <c r="P36" s="30"/>
      <c r="Q36" s="30"/>
      <c r="R36" s="30"/>
      <c r="S36" s="30"/>
      <c r="T36" s="30"/>
      <c r="U36" s="30"/>
      <c r="V36" s="30"/>
      <c r="W36" s="30"/>
    </row>
    <row r="37" spans="1:23" ht="12.75" customHeight="1" x14ac:dyDescent="0.2">
      <c r="A37" s="30"/>
      <c r="B37" s="156"/>
      <c r="C37" s="169"/>
      <c r="D37" s="1086" t="s">
        <v>914</v>
      </c>
      <c r="E37" s="1090">
        <f>SUM(E35:E36)</f>
        <v>0</v>
      </c>
      <c r="F37" s="1091">
        <f>SUM(F35:F36)</f>
        <v>0</v>
      </c>
      <c r="G37" s="1313">
        <f>SUM(G35:G36)</f>
        <v>0</v>
      </c>
      <c r="H37" s="1314"/>
      <c r="J37" s="161"/>
      <c r="K37" s="166"/>
      <c r="L37" s="166" t="s">
        <v>533</v>
      </c>
      <c r="M37" s="30"/>
      <c r="N37" s="30"/>
      <c r="S37" s="30"/>
      <c r="T37" s="30"/>
      <c r="U37" s="30"/>
      <c r="V37" s="30"/>
      <c r="W37" s="30"/>
    </row>
    <row r="38" spans="1:23" ht="12.75" customHeight="1" x14ac:dyDescent="0.2">
      <c r="A38" s="30"/>
      <c r="B38" s="172"/>
      <c r="C38" s="172"/>
      <c r="D38" s="172"/>
      <c r="E38" s="172"/>
      <c r="F38" s="167"/>
      <c r="J38" s="173"/>
      <c r="K38" s="166"/>
      <c r="L38" s="170"/>
      <c r="M38" s="101" t="s">
        <v>48</v>
      </c>
      <c r="N38" s="101"/>
      <c r="O38" s="171" t="s">
        <v>47</v>
      </c>
      <c r="R38" s="171"/>
      <c r="S38" s="30"/>
      <c r="T38" s="30"/>
      <c r="U38" s="30"/>
      <c r="V38" s="30"/>
      <c r="W38" s="30"/>
    </row>
    <row r="39" spans="1:23" ht="12.75" customHeight="1" x14ac:dyDescent="0.2">
      <c r="A39" s="30"/>
      <c r="B39" s="1105"/>
      <c r="C39" s="156"/>
      <c r="D39" s="169" t="s">
        <v>60</v>
      </c>
      <c r="E39" s="86" t="str">
        <f>$L$41&amp;" #/sys HMA Patching, Type "&amp;$L$35&amp;", Partial Depth"</f>
        <v>0 #/sys HMA Patching, Type , Partial Depth</v>
      </c>
      <c r="F39" s="167"/>
      <c r="J39" s="83"/>
      <c r="K39" s="86"/>
      <c r="L39" s="101"/>
      <c r="M39" s="101"/>
      <c r="N39" s="101"/>
      <c r="O39" s="183" t="s">
        <v>39</v>
      </c>
      <c r="P39" s="807" t="s">
        <v>4</v>
      </c>
      <c r="Q39" s="808" t="s">
        <v>535</v>
      </c>
      <c r="R39" s="807" t="s">
        <v>50</v>
      </c>
      <c r="S39" s="737" t="s">
        <v>343</v>
      </c>
      <c r="T39" s="30"/>
      <c r="U39" s="30"/>
      <c r="V39" s="30"/>
      <c r="W39" s="30"/>
    </row>
    <row r="40" spans="1:23" ht="12.75" customHeight="1" x14ac:dyDescent="0.2">
      <c r="A40" s="30"/>
      <c r="B40" s="250"/>
      <c r="C40" s="250"/>
      <c r="D40" s="250"/>
      <c r="E40" s="172"/>
      <c r="F40" s="167"/>
      <c r="J40" s="86"/>
      <c r="K40" s="86"/>
      <c r="L40" s="199"/>
      <c r="M40" s="101" t="s">
        <v>406</v>
      </c>
      <c r="N40" s="101"/>
      <c r="O40" s="180"/>
      <c r="P40" s="190"/>
      <c r="Q40" s="190"/>
      <c r="R40" s="190"/>
      <c r="S40" s="738"/>
      <c r="T40" s="30"/>
      <c r="U40" s="30"/>
      <c r="V40" s="30"/>
      <c r="W40" s="30"/>
    </row>
    <row r="41" spans="1:23" ht="12.75" customHeight="1" x14ac:dyDescent="0.2">
      <c r="A41" s="30"/>
      <c r="B41" s="1304">
        <f>IF($F$37&gt;0,"Full Depth Patching (HMA) shall consist of:",0)</f>
        <v>0</v>
      </c>
      <c r="C41" s="1304"/>
      <c r="D41" s="1304"/>
      <c r="E41" s="86">
        <f>IF($F$37&gt;0,$L$50&amp;" #/sys HMA Patching, Type "&amp;$L$35&amp;", Full Depth on",0)</f>
        <v>0</v>
      </c>
      <c r="F41" s="83"/>
      <c r="G41" s="83"/>
      <c r="H41" s="83"/>
      <c r="I41" s="83"/>
      <c r="J41" s="86"/>
      <c r="K41" s="86"/>
      <c r="L41" s="174">
        <f>110*L40</f>
        <v>0</v>
      </c>
      <c r="M41" s="101" t="s">
        <v>68</v>
      </c>
      <c r="N41" s="101"/>
      <c r="O41" s="180" t="s">
        <v>40</v>
      </c>
      <c r="P41" s="190" t="s">
        <v>26</v>
      </c>
      <c r="Q41" s="190" t="s">
        <v>536</v>
      </c>
      <c r="R41" s="190" t="s">
        <v>51</v>
      </c>
      <c r="S41" s="738" t="s">
        <v>115</v>
      </c>
      <c r="T41" s="30"/>
      <c r="U41" s="30"/>
      <c r="V41" s="30"/>
      <c r="W41" s="30"/>
    </row>
    <row r="42" spans="1:23" ht="12.75" customHeight="1" x14ac:dyDescent="0.2">
      <c r="A42" s="30"/>
      <c r="B42" s="1304"/>
      <c r="C42" s="1304"/>
      <c r="D42" s="1304"/>
      <c r="E42" s="86">
        <f>IF($F$37&gt;0,$L$57&amp;"'' Comp. Agg., No. 53, Base (as directed by Engineer)",0)</f>
        <v>0</v>
      </c>
      <c r="F42" s="86"/>
      <c r="G42" s="86"/>
      <c r="H42" s="86"/>
      <c r="I42" s="86"/>
      <c r="J42" s="86"/>
      <c r="K42" s="86"/>
      <c r="L42" s="130"/>
      <c r="M42" s="101" t="s">
        <v>69</v>
      </c>
      <c r="N42" s="101"/>
      <c r="O42" s="180" t="s">
        <v>41</v>
      </c>
      <c r="P42" s="181" t="s">
        <v>527</v>
      </c>
      <c r="Q42" s="181" t="s">
        <v>915</v>
      </c>
      <c r="R42" s="190" t="s">
        <v>52</v>
      </c>
      <c r="S42" s="738" t="s">
        <v>116</v>
      </c>
      <c r="T42" s="30"/>
      <c r="U42" s="30"/>
      <c r="V42" s="30"/>
      <c r="W42" s="30"/>
    </row>
    <row r="43" spans="1:23" ht="12.75" customHeight="1" x14ac:dyDescent="0.2">
      <c r="A43" s="30"/>
      <c r="B43" s="1106"/>
      <c r="C43" s="1105"/>
      <c r="D43" s="36"/>
      <c r="E43" s="86"/>
      <c r="F43" s="86"/>
      <c r="G43" s="86"/>
      <c r="H43" s="86"/>
      <c r="I43" s="86"/>
      <c r="J43" s="86"/>
      <c r="K43" s="86"/>
      <c r="L43" s="207"/>
      <c r="M43" s="207"/>
      <c r="N43" s="207"/>
      <c r="O43" s="180" t="s">
        <v>98</v>
      </c>
      <c r="P43" s="181" t="s">
        <v>528</v>
      </c>
      <c r="Q43" s="190" t="s">
        <v>916</v>
      </c>
      <c r="R43" s="180" t="s">
        <v>53</v>
      </c>
      <c r="S43" s="185"/>
      <c r="T43" s="30"/>
      <c r="U43" s="30"/>
      <c r="V43" s="30"/>
      <c r="W43" s="30"/>
    </row>
    <row r="44" spans="1:23" ht="12.75" customHeight="1" x14ac:dyDescent="0.2">
      <c r="A44" s="30"/>
      <c r="B44" s="1304">
        <f>IF($G$37&gt;0,"Full Depth Patching (Composite) shall consist of:",0)</f>
        <v>0</v>
      </c>
      <c r="C44" s="1304"/>
      <c r="D44" s="1304"/>
      <c r="E44" s="86">
        <f>IF(AND($G$37&gt;0,$M$48=$S$41),($M$50+$M$54)&amp;" #/sys HMA Patching, Type "&amp;$L$35&amp;", Full Depth on",IF(AND($G$37&gt;0,$M$48&lt;&gt;$S$41),$M$50&amp;" #/sys HMA Patching, Type "&amp;$L$35&amp;", Full Depth on",0))</f>
        <v>0</v>
      </c>
      <c r="F44" s="86"/>
      <c r="G44" s="86"/>
      <c r="H44" s="86"/>
      <c r="I44" s="86"/>
      <c r="J44" s="86"/>
      <c r="K44" s="86"/>
      <c r="O44" s="180" t="s">
        <v>42</v>
      </c>
      <c r="P44" s="190" t="s">
        <v>529</v>
      </c>
      <c r="Q44" s="809"/>
      <c r="R44" s="180" t="s">
        <v>54</v>
      </c>
      <c r="S44" s="185"/>
      <c r="T44" s="30"/>
      <c r="U44" s="30"/>
      <c r="V44" s="30"/>
      <c r="W44" s="30"/>
    </row>
    <row r="45" spans="1:23" ht="12.75" customHeight="1" x14ac:dyDescent="0.2">
      <c r="A45" s="30"/>
      <c r="B45" s="1304"/>
      <c r="C45" s="1304"/>
      <c r="D45" s="1304"/>
      <c r="E45" s="86">
        <f>IF($G$37&gt;0,$M$57&amp;"'' Comp. Agg., No. 53, Base (as directed by Engineer)",0)</f>
        <v>0</v>
      </c>
      <c r="F45" s="86"/>
      <c r="G45" s="86"/>
      <c r="H45" s="86"/>
      <c r="I45" s="86"/>
      <c r="J45" s="86"/>
      <c r="K45" s="86"/>
      <c r="L45" s="166" t="s">
        <v>532</v>
      </c>
      <c r="M45" s="166"/>
      <c r="N45" s="207"/>
      <c r="O45" s="180" t="s">
        <v>43</v>
      </c>
      <c r="P45" s="190" t="s">
        <v>530</v>
      </c>
      <c r="Q45" s="809"/>
      <c r="R45" s="12"/>
      <c r="T45" s="30"/>
      <c r="U45" s="30"/>
      <c r="V45" s="30"/>
      <c r="W45" s="30"/>
    </row>
    <row r="46" spans="1:23" ht="15" x14ac:dyDescent="0.2">
      <c r="A46" s="30"/>
      <c r="B46" s="154" t="s">
        <v>55</v>
      </c>
      <c r="C46" s="86"/>
      <c r="D46" s="86"/>
      <c r="E46" s="86"/>
      <c r="F46" s="86"/>
      <c r="G46" s="86"/>
      <c r="H46" s="86"/>
      <c r="I46" s="86"/>
      <c r="J46" s="86"/>
      <c r="K46" s="86"/>
      <c r="L46" s="711" t="s">
        <v>21</v>
      </c>
      <c r="M46" s="738" t="s">
        <v>918</v>
      </c>
      <c r="N46" s="101" t="s">
        <v>917</v>
      </c>
      <c r="O46" s="180" t="s">
        <v>99</v>
      </c>
      <c r="P46" s="190" t="s">
        <v>214</v>
      </c>
      <c r="Q46" s="809"/>
      <c r="R46" s="810"/>
      <c r="S46" s="30"/>
      <c r="T46" s="30"/>
      <c r="U46" s="30"/>
      <c r="V46" s="30"/>
      <c r="W46" s="30"/>
    </row>
    <row r="47" spans="1:23" ht="12.75" customHeight="1" x14ac:dyDescent="0.2">
      <c r="A47" s="30"/>
      <c r="B47" s="176">
        <f>ROUNDUP($L$41*$E$37/2000,0)</f>
        <v>0</v>
      </c>
      <c r="C47" s="86" t="str">
        <f>"HMA Patching, Type "&amp;L35&amp;", Partial Depth"</f>
        <v>HMA Patching, Type , Partial Depth</v>
      </c>
      <c r="D47" s="86"/>
      <c r="E47" s="86"/>
      <c r="F47" s="92"/>
      <c r="G47" s="86"/>
      <c r="H47" s="86"/>
      <c r="I47" s="86"/>
      <c r="J47" s="86"/>
      <c r="K47" s="86"/>
      <c r="L47" s="1096"/>
      <c r="M47" s="1100"/>
      <c r="N47" s="101" t="s">
        <v>48</v>
      </c>
      <c r="O47" s="182"/>
      <c r="P47" s="190" t="s">
        <v>44</v>
      </c>
      <c r="Q47" s="809"/>
      <c r="R47" s="810"/>
      <c r="S47" s="30"/>
      <c r="T47" s="30"/>
      <c r="U47" s="30"/>
      <c r="V47" s="30"/>
      <c r="W47" s="30"/>
    </row>
    <row r="48" spans="1:23" ht="12.75" customHeight="1" x14ac:dyDescent="0.2">
      <c r="A48" s="30"/>
      <c r="B48" s="1104">
        <f>ROUNDUP(($L$50*$F$37+$M$50*$G$37+$M$60*$M$54*$G$37)/2000,0)</f>
        <v>0</v>
      </c>
      <c r="C48" s="86" t="str">
        <f>"HMA Patching, Type "&amp;L35&amp;", Full Depth"</f>
        <v>HMA Patching, Type , Full Depth</v>
      </c>
      <c r="D48" s="86"/>
      <c r="E48" s="86"/>
      <c r="F48" s="92"/>
      <c r="G48" s="86"/>
      <c r="H48" s="86"/>
      <c r="I48" s="86"/>
      <c r="J48" s="155"/>
      <c r="K48" s="30"/>
      <c r="L48" s="12"/>
      <c r="M48" s="390"/>
      <c r="N48" s="101" t="s">
        <v>921</v>
      </c>
      <c r="O48" s="30"/>
      <c r="P48" s="190" t="s">
        <v>45</v>
      </c>
      <c r="Q48" s="40"/>
      <c r="R48" s="30"/>
      <c r="S48" s="30"/>
      <c r="T48" s="30"/>
      <c r="U48" s="30"/>
      <c r="V48" s="30"/>
      <c r="W48" s="30"/>
    </row>
    <row r="49" spans="1:23" ht="12.75" customHeight="1" x14ac:dyDescent="0.2">
      <c r="A49" s="30"/>
      <c r="B49" s="1112">
        <f>ROUNDUP(0.00025*($L$42*$E$37+$L$51*$F$37+$M$51*$G$37+$M$60*$M$55*$G$37),1)</f>
        <v>0</v>
      </c>
      <c r="C49" s="86" t="s">
        <v>32</v>
      </c>
      <c r="D49" s="155"/>
      <c r="E49" s="155"/>
      <c r="F49" s="155"/>
      <c r="G49" s="155"/>
      <c r="H49" s="155"/>
      <c r="I49" s="155"/>
      <c r="J49" s="86"/>
      <c r="K49" s="86"/>
      <c r="L49" s="1097"/>
      <c r="M49" s="1101"/>
      <c r="N49" s="101" t="s">
        <v>919</v>
      </c>
      <c r="O49" s="30"/>
      <c r="P49" s="190" t="s">
        <v>27</v>
      </c>
      <c r="Q49" s="40"/>
      <c r="R49" s="30"/>
      <c r="S49" s="30"/>
      <c r="T49" s="30"/>
      <c r="U49" s="30"/>
      <c r="V49" s="30"/>
      <c r="W49" s="30"/>
    </row>
    <row r="50" spans="1:23" ht="12.75" customHeight="1" x14ac:dyDescent="0.2">
      <c r="A50" s="30"/>
      <c r="B50" s="1104">
        <f>ROUNDUP((($L$57/12)/3*$F$37*$L$58+($M$57/12)/3*$G$37*$M$58)*2,0)</f>
        <v>0</v>
      </c>
      <c r="C50" s="86" t="s">
        <v>56</v>
      </c>
      <c r="D50" s="86"/>
      <c r="E50" s="86"/>
      <c r="F50" s="86"/>
      <c r="G50" s="86"/>
      <c r="H50" s="86"/>
      <c r="I50" s="86"/>
      <c r="J50" s="86"/>
      <c r="K50" s="86"/>
      <c r="L50" s="973">
        <f>110*L49</f>
        <v>0</v>
      </c>
      <c r="M50" s="737">
        <f>110*$M$49</f>
        <v>0</v>
      </c>
      <c r="N50" s="101" t="s">
        <v>534</v>
      </c>
      <c r="O50" s="30"/>
      <c r="P50" s="190" t="s">
        <v>870</v>
      </c>
      <c r="Q50" s="30"/>
      <c r="R50" s="30"/>
      <c r="S50" s="30"/>
      <c r="T50" s="30"/>
      <c r="U50" s="30"/>
      <c r="V50" s="30"/>
      <c r="W50" s="30"/>
    </row>
    <row r="51" spans="1:23" ht="12.75" customHeight="1" x14ac:dyDescent="0.2">
      <c r="A51" s="30"/>
      <c r="B51" s="1107">
        <f>IF(AND($G$37&gt;0,$M$60&gt;0),$M$60*$G$37,0)</f>
        <v>0</v>
      </c>
      <c r="C51" s="127">
        <f>IF(AND($G$37&gt;0,$M$60&gt;0),"Pavement Removal **",0)</f>
        <v>0</v>
      </c>
      <c r="D51" s="86"/>
      <c r="E51" s="86"/>
      <c r="F51" s="86"/>
      <c r="G51" s="86"/>
      <c r="H51" s="86"/>
      <c r="I51" s="86"/>
      <c r="J51" s="168"/>
      <c r="K51" s="168"/>
      <c r="L51" s="1108"/>
      <c r="M51" s="1102"/>
      <c r="N51" s="101" t="s">
        <v>67</v>
      </c>
      <c r="O51" s="30"/>
      <c r="P51" s="190" t="s">
        <v>908</v>
      </c>
      <c r="Q51" s="30"/>
      <c r="R51" s="30"/>
      <c r="S51" s="30"/>
      <c r="T51" s="30"/>
      <c r="U51" s="30"/>
      <c r="V51" s="30"/>
      <c r="W51" s="30"/>
    </row>
    <row r="52" spans="1:23" ht="12.75" customHeight="1" x14ac:dyDescent="0.2">
      <c r="A52" s="30"/>
      <c r="B52" s="155"/>
      <c r="C52" s="168"/>
      <c r="D52" s="168"/>
      <c r="E52" s="168"/>
      <c r="F52" s="168"/>
      <c r="G52" s="168"/>
      <c r="H52" s="168"/>
      <c r="I52" s="168"/>
      <c r="J52" s="168"/>
      <c r="K52" s="168"/>
      <c r="L52" s="1110"/>
      <c r="M52" s="1111"/>
      <c r="N52" s="101"/>
      <c r="O52" s="30"/>
      <c r="P52" s="190" t="s">
        <v>905</v>
      </c>
      <c r="Q52" s="30"/>
      <c r="R52" s="30"/>
      <c r="S52" s="30"/>
      <c r="T52" s="30"/>
      <c r="U52" s="30"/>
      <c r="V52" s="30"/>
      <c r="W52" s="30"/>
    </row>
    <row r="53" spans="1:23" ht="12.75" customHeight="1" x14ac:dyDescent="0.2">
      <c r="A53" s="30"/>
      <c r="B53" s="101" t="s">
        <v>58</v>
      </c>
      <c r="C53" s="168"/>
      <c r="D53" s="168"/>
      <c r="E53" s="168"/>
      <c r="F53" s="168"/>
      <c r="G53" s="168"/>
      <c r="H53" s="168"/>
      <c r="I53" s="168"/>
      <c r="J53" s="157"/>
      <c r="K53" s="168"/>
      <c r="L53" s="1109"/>
      <c r="M53" s="1101"/>
      <c r="N53" s="101" t="s">
        <v>920</v>
      </c>
      <c r="O53" s="30"/>
      <c r="P53" s="190" t="s">
        <v>906</v>
      </c>
      <c r="Q53" s="30"/>
      <c r="R53" s="30"/>
      <c r="S53" s="30"/>
      <c r="T53" s="30"/>
      <c r="U53" s="30"/>
      <c r="V53" s="30"/>
      <c r="W53" s="30"/>
    </row>
    <row r="54" spans="1:23" ht="25.5" customHeight="1" x14ac:dyDescent="0.2">
      <c r="A54" s="30"/>
      <c r="B54" s="1322" t="s">
        <v>389</v>
      </c>
      <c r="C54" s="1322"/>
      <c r="D54" s="1322"/>
      <c r="E54" s="1322"/>
      <c r="F54" s="1322"/>
      <c r="G54" s="1322"/>
      <c r="H54" s="1322"/>
      <c r="I54" s="1322"/>
      <c r="J54" s="157"/>
      <c r="K54" s="30"/>
      <c r="M54" s="737">
        <f>110*$M$53</f>
        <v>0</v>
      </c>
      <c r="N54" s="101" t="s">
        <v>534</v>
      </c>
      <c r="O54" s="30"/>
      <c r="P54" s="190" t="s">
        <v>907</v>
      </c>
      <c r="Q54" s="30"/>
      <c r="R54" s="30"/>
      <c r="S54" s="30"/>
      <c r="T54" s="30"/>
      <c r="U54" s="30"/>
      <c r="V54" s="30"/>
      <c r="W54" s="30"/>
    </row>
    <row r="55" spans="1:23" ht="12.75" customHeight="1" x14ac:dyDescent="0.2">
      <c r="A55" s="30"/>
      <c r="B55" s="86">
        <f>IF(AND($G$37&gt;0,$M$60&gt;0),"** Assumes "&amp;$M$60*100&amp;"% of full depth patching (composite) will require pavement removal.",0)</f>
        <v>0</v>
      </c>
      <c r="J55" s="30"/>
      <c r="K55" s="30"/>
      <c r="M55" s="1102"/>
      <c r="N55" s="101" t="s">
        <v>67</v>
      </c>
      <c r="O55" s="30"/>
      <c r="P55" s="190" t="s">
        <v>909</v>
      </c>
      <c r="Q55" s="30"/>
      <c r="R55" s="30"/>
      <c r="S55" s="30"/>
      <c r="T55" s="30"/>
      <c r="U55" s="30"/>
      <c r="V55" s="30"/>
      <c r="W55" s="30"/>
    </row>
    <row r="56" spans="1:23" ht="6.75" customHeight="1" x14ac:dyDescent="0.2">
      <c r="A56" s="30">
        <v>12.75</v>
      </c>
      <c r="B56" s="1322"/>
      <c r="C56" s="1322"/>
      <c r="D56" s="1322"/>
      <c r="E56" s="1322"/>
      <c r="F56" s="1322"/>
      <c r="G56" s="1322"/>
      <c r="H56" s="1322"/>
      <c r="I56" s="1322"/>
      <c r="J56" s="30"/>
      <c r="K56" s="30"/>
      <c r="L56" s="1094"/>
      <c r="M56" s="1095"/>
      <c r="O56" s="30"/>
      <c r="P56" s="1072"/>
      <c r="Q56" s="1093"/>
      <c r="R56" s="207"/>
      <c r="S56" s="207"/>
      <c r="T56" s="207"/>
      <c r="U56" s="30"/>
      <c r="V56" s="30"/>
      <c r="W56" s="30"/>
    </row>
    <row r="57" spans="1:23" ht="12.75" customHeight="1" x14ac:dyDescent="0.2">
      <c r="A57" s="30"/>
      <c r="B57" s="30"/>
      <c r="C57" s="30"/>
      <c r="D57" s="30"/>
      <c r="E57" s="30"/>
      <c r="F57" s="30"/>
      <c r="G57" s="30"/>
      <c r="H57" s="30"/>
      <c r="I57" s="30"/>
      <c r="J57" s="30"/>
      <c r="K57" s="30"/>
      <c r="L57" s="378"/>
      <c r="M57" s="1102"/>
      <c r="N57" s="101" t="s">
        <v>57</v>
      </c>
      <c r="O57" s="30"/>
      <c r="P57" s="1072"/>
      <c r="Q57" s="1303" t="s">
        <v>910</v>
      </c>
      <c r="R57" s="1144"/>
      <c r="S57" s="1144"/>
      <c r="T57" s="1144"/>
      <c r="U57" s="30"/>
      <c r="V57" s="30"/>
      <c r="W57" s="30"/>
    </row>
    <row r="58" spans="1:23" x14ac:dyDescent="0.2">
      <c r="A58" s="30"/>
      <c r="B58" s="1194" t="s">
        <v>663</v>
      </c>
      <c r="C58" s="1194"/>
      <c r="D58" s="1194"/>
      <c r="E58" s="1194"/>
      <c r="F58" s="1194"/>
      <c r="G58" s="1194"/>
      <c r="H58" s="1194"/>
      <c r="I58" s="1194"/>
      <c r="J58" s="30"/>
      <c r="K58" s="30"/>
      <c r="L58" s="1096"/>
      <c r="M58" s="1100"/>
      <c r="N58" s="101" t="s">
        <v>59</v>
      </c>
      <c r="O58" s="30"/>
      <c r="P58" s="1072"/>
      <c r="Q58" s="30"/>
      <c r="R58" s="30"/>
      <c r="S58" s="30"/>
      <c r="T58" s="30"/>
      <c r="U58" s="30"/>
      <c r="V58" s="30"/>
      <c r="W58" s="30"/>
    </row>
    <row r="59" spans="1:23" x14ac:dyDescent="0.2">
      <c r="A59" s="30"/>
      <c r="B59" s="1194"/>
      <c r="C59" s="1194"/>
      <c r="D59" s="1194"/>
      <c r="E59" s="1194"/>
      <c r="F59" s="1194"/>
      <c r="G59" s="1194"/>
      <c r="H59" s="1194"/>
      <c r="I59" s="1194"/>
      <c r="J59" s="30"/>
      <c r="K59" s="30"/>
      <c r="L59" s="1098"/>
      <c r="M59" s="1099"/>
      <c r="N59" s="101"/>
      <c r="O59" s="30"/>
      <c r="P59" s="1073"/>
      <c r="Q59" s="30"/>
      <c r="R59" s="30"/>
      <c r="S59" s="30"/>
      <c r="T59" s="30"/>
      <c r="U59" s="30"/>
      <c r="V59" s="30"/>
      <c r="W59" s="30"/>
    </row>
    <row r="60" spans="1:23" x14ac:dyDescent="0.2">
      <c r="A60" s="30"/>
      <c r="B60" s="30"/>
      <c r="C60" s="30"/>
      <c r="D60" s="30"/>
      <c r="E60" s="30"/>
      <c r="F60" s="155"/>
      <c r="G60" s="30"/>
      <c r="H60" s="30"/>
      <c r="I60" s="30"/>
      <c r="J60" s="30"/>
      <c r="K60" s="30"/>
      <c r="L60" s="177">
        <v>0</v>
      </c>
      <c r="M60" s="1100"/>
      <c r="N60" s="101" t="s">
        <v>922</v>
      </c>
      <c r="U60" s="30"/>
      <c r="V60" s="30"/>
      <c r="W60" s="30"/>
    </row>
    <row r="61" spans="1:23" x14ac:dyDescent="0.2">
      <c r="A61" s="30"/>
      <c r="B61" s="30"/>
      <c r="C61" s="30"/>
      <c r="D61" s="30"/>
      <c r="E61" s="30"/>
      <c r="F61" s="155"/>
      <c r="G61" s="30"/>
      <c r="H61" s="30"/>
      <c r="I61" s="30"/>
      <c r="J61" s="155"/>
      <c r="K61" s="30"/>
      <c r="L61" s="30"/>
      <c r="M61" s="30"/>
      <c r="N61" s="207"/>
      <c r="U61" s="30"/>
      <c r="V61" s="30"/>
      <c r="W61" s="30"/>
    </row>
    <row r="62" spans="1:23" ht="18" x14ac:dyDescent="0.2">
      <c r="A62" s="1224" t="str">
        <f>UPPER("Patching Summary Table")</f>
        <v>PATCHING SUMMARY TABLE</v>
      </c>
      <c r="B62" s="1224"/>
      <c r="C62" s="1224"/>
      <c r="D62" s="1224"/>
      <c r="E62" s="1224"/>
      <c r="F62" s="1224"/>
      <c r="G62" s="1224"/>
      <c r="H62" s="1224"/>
      <c r="I62" s="1224"/>
      <c r="J62" s="1224"/>
      <c r="K62" s="30"/>
      <c r="L62" s="30"/>
      <c r="M62" s="30"/>
      <c r="N62" s="30"/>
      <c r="U62" s="30"/>
      <c r="V62" s="30"/>
      <c r="W62" s="30"/>
    </row>
    <row r="63" spans="1:23" ht="7.5" customHeight="1" thickBot="1" x14ac:dyDescent="0.25">
      <c r="A63" s="30"/>
      <c r="B63" s="31"/>
      <c r="C63" s="31"/>
      <c r="D63" s="31"/>
      <c r="E63" s="31"/>
      <c r="F63" s="31"/>
      <c r="G63" s="31"/>
      <c r="H63" s="31"/>
      <c r="I63" s="31"/>
      <c r="J63" s="31"/>
      <c r="K63" s="30"/>
      <c r="L63" s="30"/>
      <c r="M63" s="30"/>
      <c r="N63" s="30"/>
      <c r="O63" s="30"/>
      <c r="P63" s="30"/>
      <c r="Q63" s="30"/>
      <c r="R63" s="30"/>
      <c r="S63" s="30"/>
      <c r="T63" s="30"/>
      <c r="U63" s="30"/>
      <c r="V63" s="30"/>
      <c r="W63" s="30"/>
    </row>
    <row r="64" spans="1:23" ht="12.75" customHeight="1" x14ac:dyDescent="0.2">
      <c r="A64" s="30"/>
      <c r="B64" s="1310" t="s">
        <v>2</v>
      </c>
      <c r="C64" s="1319" t="s">
        <v>3</v>
      </c>
      <c r="D64" s="1310" t="s">
        <v>39</v>
      </c>
      <c r="E64" s="1308" t="s">
        <v>4</v>
      </c>
      <c r="F64" s="1223" t="s">
        <v>535</v>
      </c>
      <c r="G64" s="261" t="s">
        <v>129</v>
      </c>
      <c r="H64" s="269" t="s">
        <v>102</v>
      </c>
      <c r="I64" s="152" t="s">
        <v>209</v>
      </c>
      <c r="J64" s="31"/>
      <c r="K64" s="30"/>
      <c r="O64" s="1159" t="s">
        <v>537</v>
      </c>
      <c r="P64" s="1305"/>
      <c r="Q64" s="1306"/>
      <c r="R64" s="30"/>
      <c r="S64" s="30"/>
      <c r="T64" s="30"/>
      <c r="U64" s="30"/>
      <c r="V64" s="30"/>
      <c r="W64" s="30"/>
    </row>
    <row r="65" spans="1:23" ht="13.5" thickBot="1" x14ac:dyDescent="0.25">
      <c r="A65" s="30"/>
      <c r="B65" s="1285"/>
      <c r="C65" s="1320"/>
      <c r="D65" s="1285"/>
      <c r="E65" s="1227"/>
      <c r="F65" s="1242"/>
      <c r="G65" s="262" t="s">
        <v>100</v>
      </c>
      <c r="H65" s="270" t="s">
        <v>100</v>
      </c>
      <c r="I65" s="273" t="s">
        <v>210</v>
      </c>
      <c r="J65" s="31"/>
      <c r="K65" s="30"/>
      <c r="O65" s="41" t="str">
        <f>$Q$41</f>
        <v>Partial</v>
      </c>
      <c r="P65" s="42" t="str">
        <f>$Q$42</f>
        <v>Full ( HMA)</v>
      </c>
      <c r="Q65" s="43" t="str">
        <f>$Q$43</f>
        <v>Full (Composite)</v>
      </c>
      <c r="R65" s="30"/>
      <c r="S65" s="30"/>
      <c r="T65" s="30"/>
      <c r="U65" s="30"/>
      <c r="V65" s="30"/>
      <c r="W65" s="30"/>
    </row>
    <row r="66" spans="1:23" x14ac:dyDescent="0.2">
      <c r="A66" s="30"/>
      <c r="B66" s="159"/>
      <c r="C66" s="258"/>
      <c r="D66" s="265"/>
      <c r="E66" s="160"/>
      <c r="F66" s="266"/>
      <c r="G66" s="263">
        <f>ABS(C66-B66)</f>
        <v>0</v>
      </c>
      <c r="H66" s="271"/>
      <c r="I66" s="274">
        <f>ROUNDUP((G66*H66)/9,0)</f>
        <v>0</v>
      </c>
      <c r="J66" s="161"/>
      <c r="K66" s="30"/>
      <c r="O66" s="54">
        <f t="shared" ref="O66:O117" si="5">IF($F66=$Q$41,$I66,0)</f>
        <v>0</v>
      </c>
      <c r="P66" s="1069">
        <f t="shared" ref="P66:P98" si="6">IF($F66=$Q$42,$I66,0)</f>
        <v>0</v>
      </c>
      <c r="Q66" s="811">
        <f t="shared" ref="Q66:Q97" si="7">IF($F66=$Q$43,$I66,0)</f>
        <v>0</v>
      </c>
      <c r="R66" s="30"/>
      <c r="S66" s="30"/>
      <c r="T66" s="30"/>
      <c r="U66" s="30"/>
      <c r="V66" s="30"/>
      <c r="W66" s="30"/>
    </row>
    <row r="67" spans="1:23" x14ac:dyDescent="0.2">
      <c r="A67" s="30"/>
      <c r="B67" s="162"/>
      <c r="C67" s="259"/>
      <c r="D67" s="267"/>
      <c r="E67" s="35"/>
      <c r="F67" s="151"/>
      <c r="G67" s="263">
        <f>ABS(C67-B67)</f>
        <v>0</v>
      </c>
      <c r="H67" s="65"/>
      <c r="I67" s="275">
        <f>ROUNDUP((G67*H67)/9,0)</f>
        <v>0</v>
      </c>
      <c r="J67" s="161"/>
      <c r="K67" s="30"/>
      <c r="L67" s="30"/>
      <c r="M67" s="30"/>
      <c r="N67" s="30"/>
      <c r="O67" s="71">
        <f t="shared" si="5"/>
        <v>0</v>
      </c>
      <c r="P67" s="1070">
        <f t="shared" si="6"/>
        <v>0</v>
      </c>
      <c r="Q67" s="1071">
        <f t="shared" si="7"/>
        <v>0</v>
      </c>
      <c r="R67" s="30"/>
      <c r="S67" s="30"/>
      <c r="T67" s="30"/>
      <c r="U67" s="30"/>
      <c r="V67" s="30"/>
      <c r="W67" s="30"/>
    </row>
    <row r="68" spans="1:23" x14ac:dyDescent="0.2">
      <c r="A68" s="30"/>
      <c r="B68" s="162"/>
      <c r="C68" s="259"/>
      <c r="D68" s="267"/>
      <c r="E68" s="35"/>
      <c r="F68" s="151"/>
      <c r="G68" s="263">
        <f>ABS(C68-B68)</f>
        <v>0</v>
      </c>
      <c r="H68" s="65"/>
      <c r="I68" s="275">
        <f>ROUNDUP((G68*H68)/9,0)</f>
        <v>0</v>
      </c>
      <c r="J68" s="161"/>
      <c r="K68" s="30"/>
      <c r="L68" s="30"/>
      <c r="M68" s="30"/>
      <c r="N68" s="30"/>
      <c r="O68" s="71">
        <f t="shared" si="5"/>
        <v>0</v>
      </c>
      <c r="P68" s="1070">
        <f t="shared" si="6"/>
        <v>0</v>
      </c>
      <c r="Q68" s="1071">
        <f t="shared" si="7"/>
        <v>0</v>
      </c>
      <c r="R68" s="30"/>
      <c r="S68" s="30"/>
      <c r="T68" s="30"/>
      <c r="U68" s="30"/>
      <c r="V68" s="30"/>
      <c r="W68" s="30"/>
    </row>
    <row r="69" spans="1:23" x14ac:dyDescent="0.2">
      <c r="A69" s="30"/>
      <c r="B69" s="162"/>
      <c r="C69" s="259"/>
      <c r="D69" s="267"/>
      <c r="E69" s="35"/>
      <c r="F69" s="151"/>
      <c r="G69" s="263">
        <f t="shared" ref="G69:G111" si="8">ABS(C69-B69)</f>
        <v>0</v>
      </c>
      <c r="H69" s="65"/>
      <c r="I69" s="275">
        <f t="shared" ref="I69:I111" si="9">ROUNDUP((G69*H69)/9,0)</f>
        <v>0</v>
      </c>
      <c r="J69" s="161"/>
      <c r="K69" s="30"/>
      <c r="L69" s="30"/>
      <c r="M69" s="30"/>
      <c r="N69" s="30"/>
      <c r="O69" s="71">
        <f t="shared" si="5"/>
        <v>0</v>
      </c>
      <c r="P69" s="1070">
        <f t="shared" si="6"/>
        <v>0</v>
      </c>
      <c r="Q69" s="1071">
        <f t="shared" si="7"/>
        <v>0</v>
      </c>
      <c r="R69" s="30"/>
      <c r="S69" s="30"/>
      <c r="T69" s="30"/>
      <c r="U69" s="30"/>
      <c r="V69" s="30"/>
      <c r="W69" s="30"/>
    </row>
    <row r="70" spans="1:23" x14ac:dyDescent="0.2">
      <c r="A70" s="30"/>
      <c r="B70" s="162"/>
      <c r="C70" s="259"/>
      <c r="D70" s="267"/>
      <c r="E70" s="35"/>
      <c r="F70" s="151"/>
      <c r="G70" s="263">
        <f t="shared" si="8"/>
        <v>0</v>
      </c>
      <c r="H70" s="65"/>
      <c r="I70" s="275">
        <f t="shared" si="9"/>
        <v>0</v>
      </c>
      <c r="J70" s="161"/>
      <c r="K70" s="30"/>
      <c r="L70" s="30"/>
      <c r="M70" s="30"/>
      <c r="N70" s="30"/>
      <c r="O70" s="71">
        <f t="shared" si="5"/>
        <v>0</v>
      </c>
      <c r="P70" s="1070">
        <f t="shared" si="6"/>
        <v>0</v>
      </c>
      <c r="Q70" s="1071">
        <f t="shared" si="7"/>
        <v>0</v>
      </c>
      <c r="R70" s="30"/>
      <c r="S70" s="30"/>
      <c r="T70" s="30"/>
      <c r="U70" s="30"/>
      <c r="V70" s="30"/>
      <c r="W70" s="30"/>
    </row>
    <row r="71" spans="1:23" x14ac:dyDescent="0.2">
      <c r="A71" s="30"/>
      <c r="B71" s="162"/>
      <c r="C71" s="259"/>
      <c r="D71" s="267"/>
      <c r="E71" s="35"/>
      <c r="F71" s="151"/>
      <c r="G71" s="263">
        <f t="shared" si="8"/>
        <v>0</v>
      </c>
      <c r="H71" s="65"/>
      <c r="I71" s="275">
        <f t="shared" si="9"/>
        <v>0</v>
      </c>
      <c r="J71" s="161"/>
      <c r="K71" s="30"/>
      <c r="L71" s="30"/>
      <c r="M71" s="30"/>
      <c r="N71" s="30"/>
      <c r="O71" s="71">
        <f t="shared" si="5"/>
        <v>0</v>
      </c>
      <c r="P71" s="1070">
        <f t="shared" si="6"/>
        <v>0</v>
      </c>
      <c r="Q71" s="1071">
        <f t="shared" si="7"/>
        <v>0</v>
      </c>
      <c r="R71" s="30"/>
      <c r="S71" s="30"/>
      <c r="T71" s="30"/>
      <c r="U71" s="30"/>
      <c r="V71" s="30"/>
      <c r="W71" s="30"/>
    </row>
    <row r="72" spans="1:23" x14ac:dyDescent="0.2">
      <c r="A72" s="30"/>
      <c r="B72" s="162"/>
      <c r="C72" s="259"/>
      <c r="D72" s="267"/>
      <c r="E72" s="35"/>
      <c r="F72" s="151"/>
      <c r="G72" s="263">
        <f t="shared" si="8"/>
        <v>0</v>
      </c>
      <c r="H72" s="65"/>
      <c r="I72" s="275">
        <f t="shared" si="9"/>
        <v>0</v>
      </c>
      <c r="J72" s="161"/>
      <c r="K72" s="30"/>
      <c r="L72" s="30"/>
      <c r="M72" s="30"/>
      <c r="N72" s="30"/>
      <c r="O72" s="71">
        <f t="shared" si="5"/>
        <v>0</v>
      </c>
      <c r="P72" s="1070">
        <f t="shared" si="6"/>
        <v>0</v>
      </c>
      <c r="Q72" s="1071">
        <f t="shared" si="7"/>
        <v>0</v>
      </c>
      <c r="R72" s="30"/>
      <c r="S72" s="30"/>
      <c r="T72" s="30"/>
      <c r="U72" s="30"/>
      <c r="V72" s="30"/>
      <c r="W72" s="30"/>
    </row>
    <row r="73" spans="1:23" x14ac:dyDescent="0.2">
      <c r="A73" s="30"/>
      <c r="B73" s="162"/>
      <c r="C73" s="259"/>
      <c r="D73" s="267"/>
      <c r="E73" s="35"/>
      <c r="F73" s="151"/>
      <c r="G73" s="263">
        <f t="shared" si="8"/>
        <v>0</v>
      </c>
      <c r="H73" s="65"/>
      <c r="I73" s="275">
        <f t="shared" si="9"/>
        <v>0</v>
      </c>
      <c r="J73" s="161"/>
      <c r="K73" s="30"/>
      <c r="L73" s="30"/>
      <c r="M73" s="30"/>
      <c r="N73" s="30"/>
      <c r="O73" s="71">
        <f t="shared" si="5"/>
        <v>0</v>
      </c>
      <c r="P73" s="1070">
        <f t="shared" si="6"/>
        <v>0</v>
      </c>
      <c r="Q73" s="1071">
        <f t="shared" si="7"/>
        <v>0</v>
      </c>
      <c r="R73" s="30"/>
      <c r="S73" s="30"/>
      <c r="T73" s="30"/>
      <c r="U73" s="30"/>
      <c r="V73" s="30"/>
      <c r="W73" s="30"/>
    </row>
    <row r="74" spans="1:23" x14ac:dyDescent="0.2">
      <c r="A74" s="30"/>
      <c r="B74" s="162"/>
      <c r="C74" s="259"/>
      <c r="D74" s="267"/>
      <c r="E74" s="35"/>
      <c r="F74" s="151"/>
      <c r="G74" s="263">
        <f t="shared" si="8"/>
        <v>0</v>
      </c>
      <c r="H74" s="65"/>
      <c r="I74" s="275">
        <f t="shared" si="9"/>
        <v>0</v>
      </c>
      <c r="J74" s="161"/>
      <c r="K74" s="30"/>
      <c r="L74" s="30"/>
      <c r="M74" s="30"/>
      <c r="N74" s="30"/>
      <c r="O74" s="71">
        <f t="shared" si="5"/>
        <v>0</v>
      </c>
      <c r="P74" s="1070">
        <f t="shared" si="6"/>
        <v>0</v>
      </c>
      <c r="Q74" s="1071">
        <f t="shared" si="7"/>
        <v>0</v>
      </c>
      <c r="R74" s="30"/>
      <c r="S74" s="30"/>
      <c r="T74" s="30"/>
      <c r="U74" s="30"/>
      <c r="V74" s="30"/>
      <c r="W74" s="30"/>
    </row>
    <row r="75" spans="1:23" x14ac:dyDescent="0.2">
      <c r="A75" s="30"/>
      <c r="B75" s="162"/>
      <c r="C75" s="259"/>
      <c r="D75" s="267"/>
      <c r="E75" s="35"/>
      <c r="F75" s="151"/>
      <c r="G75" s="263">
        <f t="shared" si="8"/>
        <v>0</v>
      </c>
      <c r="H75" s="65"/>
      <c r="I75" s="275">
        <f t="shared" si="9"/>
        <v>0</v>
      </c>
      <c r="J75" s="161"/>
      <c r="K75" s="30"/>
      <c r="L75" s="30"/>
      <c r="M75" s="30"/>
      <c r="N75" s="30"/>
      <c r="O75" s="71">
        <f t="shared" si="5"/>
        <v>0</v>
      </c>
      <c r="P75" s="1070">
        <f t="shared" si="6"/>
        <v>0</v>
      </c>
      <c r="Q75" s="1071">
        <f t="shared" si="7"/>
        <v>0</v>
      </c>
      <c r="R75" s="30"/>
      <c r="S75" s="30"/>
      <c r="T75" s="30"/>
      <c r="U75" s="30"/>
      <c r="V75" s="30"/>
      <c r="W75" s="30"/>
    </row>
    <row r="76" spans="1:23" x14ac:dyDescent="0.2">
      <c r="A76" s="30"/>
      <c r="B76" s="162"/>
      <c r="C76" s="259"/>
      <c r="D76" s="267"/>
      <c r="E76" s="35"/>
      <c r="F76" s="151"/>
      <c r="G76" s="263">
        <f t="shared" si="8"/>
        <v>0</v>
      </c>
      <c r="H76" s="65"/>
      <c r="I76" s="275">
        <f t="shared" si="9"/>
        <v>0</v>
      </c>
      <c r="J76" s="161"/>
      <c r="K76" s="30"/>
      <c r="L76" s="30"/>
      <c r="M76" s="30"/>
      <c r="N76" s="30"/>
      <c r="O76" s="71">
        <f t="shared" si="5"/>
        <v>0</v>
      </c>
      <c r="P76" s="1070">
        <f t="shared" si="6"/>
        <v>0</v>
      </c>
      <c r="Q76" s="1071">
        <f t="shared" si="7"/>
        <v>0</v>
      </c>
      <c r="R76" s="30"/>
      <c r="S76" s="30"/>
      <c r="T76" s="30"/>
      <c r="U76" s="30"/>
      <c r="V76" s="30"/>
      <c r="W76" s="30"/>
    </row>
    <row r="77" spans="1:23" x14ac:dyDescent="0.2">
      <c r="A77" s="30"/>
      <c r="B77" s="162"/>
      <c r="C77" s="259"/>
      <c r="D77" s="267"/>
      <c r="E77" s="35"/>
      <c r="F77" s="151"/>
      <c r="G77" s="263">
        <f t="shared" si="8"/>
        <v>0</v>
      </c>
      <c r="H77" s="65"/>
      <c r="I77" s="275">
        <f t="shared" si="9"/>
        <v>0</v>
      </c>
      <c r="J77" s="161"/>
      <c r="K77" s="30"/>
      <c r="L77" s="30"/>
      <c r="M77" s="30"/>
      <c r="N77" s="30"/>
      <c r="O77" s="71">
        <f t="shared" si="5"/>
        <v>0</v>
      </c>
      <c r="P77" s="1070">
        <f t="shared" si="6"/>
        <v>0</v>
      </c>
      <c r="Q77" s="1071">
        <f t="shared" si="7"/>
        <v>0</v>
      </c>
      <c r="R77" s="30"/>
      <c r="S77" s="30"/>
      <c r="T77" s="30"/>
      <c r="U77" s="30"/>
      <c r="V77" s="30"/>
      <c r="W77" s="30"/>
    </row>
    <row r="78" spans="1:23" x14ac:dyDescent="0.2">
      <c r="A78" s="30"/>
      <c r="B78" s="162"/>
      <c r="C78" s="259"/>
      <c r="D78" s="267"/>
      <c r="E78" s="35"/>
      <c r="F78" s="151"/>
      <c r="G78" s="263">
        <f t="shared" si="8"/>
        <v>0</v>
      </c>
      <c r="H78" s="65"/>
      <c r="I78" s="275">
        <f t="shared" si="9"/>
        <v>0</v>
      </c>
      <c r="J78" s="161"/>
      <c r="K78" s="30"/>
      <c r="L78" s="30"/>
      <c r="M78" s="30"/>
      <c r="N78" s="30"/>
      <c r="O78" s="71">
        <f t="shared" si="5"/>
        <v>0</v>
      </c>
      <c r="P78" s="1070">
        <f t="shared" si="6"/>
        <v>0</v>
      </c>
      <c r="Q78" s="1071">
        <f t="shared" si="7"/>
        <v>0</v>
      </c>
      <c r="R78" s="30"/>
      <c r="S78" s="30"/>
      <c r="T78" s="30"/>
      <c r="U78" s="30"/>
      <c r="V78" s="30"/>
      <c r="W78" s="30"/>
    </row>
    <row r="79" spans="1:23" x14ac:dyDescent="0.2">
      <c r="A79" s="30"/>
      <c r="B79" s="162"/>
      <c r="C79" s="259"/>
      <c r="D79" s="267"/>
      <c r="E79" s="35"/>
      <c r="F79" s="151"/>
      <c r="G79" s="263">
        <f t="shared" si="8"/>
        <v>0</v>
      </c>
      <c r="H79" s="65"/>
      <c r="I79" s="275">
        <f t="shared" si="9"/>
        <v>0</v>
      </c>
      <c r="J79" s="161"/>
      <c r="K79" s="30"/>
      <c r="L79" s="30"/>
      <c r="M79" s="30"/>
      <c r="N79" s="30"/>
      <c r="O79" s="71">
        <f t="shared" si="5"/>
        <v>0</v>
      </c>
      <c r="P79" s="1070">
        <f t="shared" si="6"/>
        <v>0</v>
      </c>
      <c r="Q79" s="1071">
        <f t="shared" si="7"/>
        <v>0</v>
      </c>
      <c r="R79" s="30"/>
      <c r="S79" s="30"/>
      <c r="T79" s="30"/>
      <c r="U79" s="30"/>
      <c r="V79" s="30"/>
      <c r="W79" s="30"/>
    </row>
    <row r="80" spans="1:23" x14ac:dyDescent="0.2">
      <c r="A80" s="30"/>
      <c r="B80" s="162"/>
      <c r="C80" s="259"/>
      <c r="D80" s="267"/>
      <c r="E80" s="35"/>
      <c r="F80" s="151"/>
      <c r="G80" s="263">
        <f t="shared" si="8"/>
        <v>0</v>
      </c>
      <c r="H80" s="65"/>
      <c r="I80" s="275">
        <f t="shared" si="9"/>
        <v>0</v>
      </c>
      <c r="J80" s="161"/>
      <c r="K80" s="30"/>
      <c r="L80" s="30"/>
      <c r="M80" s="30"/>
      <c r="N80" s="30"/>
      <c r="O80" s="71">
        <f t="shared" si="5"/>
        <v>0</v>
      </c>
      <c r="P80" s="1070">
        <f t="shared" si="6"/>
        <v>0</v>
      </c>
      <c r="Q80" s="1071">
        <f t="shared" si="7"/>
        <v>0</v>
      </c>
      <c r="R80" s="30"/>
      <c r="S80" s="30"/>
      <c r="T80" s="30"/>
      <c r="U80" s="30"/>
      <c r="V80" s="30"/>
      <c r="W80" s="30"/>
    </row>
    <row r="81" spans="1:23" x14ac:dyDescent="0.2">
      <c r="A81" s="30"/>
      <c r="B81" s="162"/>
      <c r="C81" s="259"/>
      <c r="D81" s="267"/>
      <c r="E81" s="35"/>
      <c r="F81" s="151"/>
      <c r="G81" s="263">
        <f t="shared" si="8"/>
        <v>0</v>
      </c>
      <c r="H81" s="65"/>
      <c r="I81" s="275">
        <f t="shared" si="9"/>
        <v>0</v>
      </c>
      <c r="J81" s="161"/>
      <c r="K81" s="30"/>
      <c r="L81" s="30"/>
      <c r="M81" s="30"/>
      <c r="N81" s="30"/>
      <c r="O81" s="71">
        <f t="shared" si="5"/>
        <v>0</v>
      </c>
      <c r="P81" s="1070">
        <f t="shared" si="6"/>
        <v>0</v>
      </c>
      <c r="Q81" s="1071">
        <f t="shared" si="7"/>
        <v>0</v>
      </c>
      <c r="R81" s="30"/>
      <c r="S81" s="30"/>
      <c r="T81" s="30"/>
      <c r="U81" s="30"/>
      <c r="V81" s="30"/>
      <c r="W81" s="30"/>
    </row>
    <row r="82" spans="1:23" x14ac:dyDescent="0.2">
      <c r="A82" s="30"/>
      <c r="B82" s="162"/>
      <c r="C82" s="259"/>
      <c r="D82" s="267"/>
      <c r="E82" s="35"/>
      <c r="F82" s="151"/>
      <c r="G82" s="263">
        <f t="shared" si="8"/>
        <v>0</v>
      </c>
      <c r="H82" s="65"/>
      <c r="I82" s="275">
        <f t="shared" si="9"/>
        <v>0</v>
      </c>
      <c r="J82" s="161"/>
      <c r="K82" s="30"/>
      <c r="L82" s="30"/>
      <c r="M82" s="30"/>
      <c r="N82" s="30"/>
      <c r="O82" s="71">
        <f t="shared" si="5"/>
        <v>0</v>
      </c>
      <c r="P82" s="1070">
        <f t="shared" si="6"/>
        <v>0</v>
      </c>
      <c r="Q82" s="1071">
        <f t="shared" si="7"/>
        <v>0</v>
      </c>
      <c r="R82" s="30"/>
      <c r="S82" s="30"/>
      <c r="T82" s="30"/>
      <c r="U82" s="30"/>
      <c r="V82" s="30"/>
      <c r="W82" s="30"/>
    </row>
    <row r="83" spans="1:23" x14ac:dyDescent="0.2">
      <c r="A83" s="30"/>
      <c r="B83" s="162"/>
      <c r="C83" s="259"/>
      <c r="D83" s="267"/>
      <c r="E83" s="35"/>
      <c r="F83" s="151"/>
      <c r="G83" s="263">
        <f t="shared" si="8"/>
        <v>0</v>
      </c>
      <c r="H83" s="65"/>
      <c r="I83" s="275">
        <f t="shared" si="9"/>
        <v>0</v>
      </c>
      <c r="J83" s="161"/>
      <c r="K83" s="30"/>
      <c r="L83" s="30"/>
      <c r="M83" s="30"/>
      <c r="N83" s="30"/>
      <c r="O83" s="71">
        <f t="shared" si="5"/>
        <v>0</v>
      </c>
      <c r="P83" s="1070">
        <f t="shared" si="6"/>
        <v>0</v>
      </c>
      <c r="Q83" s="1071">
        <f t="shared" si="7"/>
        <v>0</v>
      </c>
      <c r="R83" s="30"/>
      <c r="S83" s="30"/>
      <c r="T83" s="30"/>
      <c r="U83" s="30"/>
      <c r="V83" s="30"/>
      <c r="W83" s="30"/>
    </row>
    <row r="84" spans="1:23" x14ac:dyDescent="0.2">
      <c r="A84" s="30"/>
      <c r="B84" s="162"/>
      <c r="C84" s="259"/>
      <c r="D84" s="267"/>
      <c r="E84" s="35"/>
      <c r="F84" s="151"/>
      <c r="G84" s="263">
        <f t="shared" si="8"/>
        <v>0</v>
      </c>
      <c r="H84" s="65"/>
      <c r="I84" s="275">
        <f t="shared" si="9"/>
        <v>0</v>
      </c>
      <c r="J84" s="161"/>
      <c r="K84" s="30"/>
      <c r="L84" s="30"/>
      <c r="M84" s="30"/>
      <c r="N84" s="30"/>
      <c r="O84" s="71">
        <f t="shared" si="5"/>
        <v>0</v>
      </c>
      <c r="P84" s="1070">
        <f t="shared" si="6"/>
        <v>0</v>
      </c>
      <c r="Q84" s="1071">
        <f t="shared" si="7"/>
        <v>0</v>
      </c>
      <c r="R84" s="30"/>
      <c r="S84" s="30"/>
      <c r="T84" s="30"/>
      <c r="U84" s="30"/>
      <c r="V84" s="30"/>
      <c r="W84" s="30"/>
    </row>
    <row r="85" spans="1:23" x14ac:dyDescent="0.2">
      <c r="A85" s="30"/>
      <c r="B85" s="162"/>
      <c r="C85" s="259"/>
      <c r="D85" s="267"/>
      <c r="E85" s="35"/>
      <c r="F85" s="151"/>
      <c r="G85" s="263">
        <f t="shared" si="8"/>
        <v>0</v>
      </c>
      <c r="H85" s="65"/>
      <c r="I85" s="275">
        <f t="shared" si="9"/>
        <v>0</v>
      </c>
      <c r="J85" s="161"/>
      <c r="K85" s="30"/>
      <c r="L85" s="30"/>
      <c r="M85" s="30"/>
      <c r="N85" s="30"/>
      <c r="O85" s="71">
        <f t="shared" si="5"/>
        <v>0</v>
      </c>
      <c r="P85" s="1070">
        <f t="shared" si="6"/>
        <v>0</v>
      </c>
      <c r="Q85" s="1071">
        <f t="shared" si="7"/>
        <v>0</v>
      </c>
      <c r="R85" s="30"/>
      <c r="S85" s="30"/>
      <c r="T85" s="30"/>
      <c r="U85" s="30"/>
      <c r="V85" s="30"/>
      <c r="W85" s="30"/>
    </row>
    <row r="86" spans="1:23" x14ac:dyDescent="0.2">
      <c r="A86" s="30"/>
      <c r="B86" s="162"/>
      <c r="C86" s="259"/>
      <c r="D86" s="267"/>
      <c r="E86" s="35"/>
      <c r="F86" s="151"/>
      <c r="G86" s="263">
        <f t="shared" si="8"/>
        <v>0</v>
      </c>
      <c r="H86" s="65"/>
      <c r="I86" s="275">
        <f t="shared" si="9"/>
        <v>0</v>
      </c>
      <c r="J86" s="161"/>
      <c r="K86" s="30"/>
      <c r="L86" s="30"/>
      <c r="M86" s="30"/>
      <c r="N86" s="30"/>
      <c r="O86" s="71">
        <f t="shared" si="5"/>
        <v>0</v>
      </c>
      <c r="P86" s="1070">
        <f t="shared" si="6"/>
        <v>0</v>
      </c>
      <c r="Q86" s="1071">
        <f t="shared" si="7"/>
        <v>0</v>
      </c>
      <c r="R86" s="30"/>
      <c r="S86" s="30"/>
      <c r="T86" s="30"/>
      <c r="U86" s="30"/>
      <c r="V86" s="30"/>
      <c r="W86" s="30"/>
    </row>
    <row r="87" spans="1:23" x14ac:dyDescent="0.2">
      <c r="A87" s="30"/>
      <c r="B87" s="162"/>
      <c r="C87" s="259"/>
      <c r="D87" s="267"/>
      <c r="E87" s="35"/>
      <c r="F87" s="151"/>
      <c r="G87" s="263">
        <f t="shared" si="8"/>
        <v>0</v>
      </c>
      <c r="H87" s="65"/>
      <c r="I87" s="275">
        <f t="shared" si="9"/>
        <v>0</v>
      </c>
      <c r="J87" s="161"/>
      <c r="K87" s="30"/>
      <c r="L87" s="30"/>
      <c r="M87" s="30"/>
      <c r="N87" s="30"/>
      <c r="O87" s="71">
        <f t="shared" si="5"/>
        <v>0</v>
      </c>
      <c r="P87" s="1070">
        <f t="shared" si="6"/>
        <v>0</v>
      </c>
      <c r="Q87" s="1071">
        <f t="shared" si="7"/>
        <v>0</v>
      </c>
      <c r="R87" s="30"/>
      <c r="S87" s="30"/>
      <c r="T87" s="30"/>
      <c r="U87" s="30"/>
      <c r="V87" s="30"/>
      <c r="W87" s="30"/>
    </row>
    <row r="88" spans="1:23" x14ac:dyDescent="0.2">
      <c r="A88" s="30"/>
      <c r="B88" s="162"/>
      <c r="C88" s="259"/>
      <c r="D88" s="267"/>
      <c r="E88" s="35"/>
      <c r="F88" s="151"/>
      <c r="G88" s="263">
        <f t="shared" si="8"/>
        <v>0</v>
      </c>
      <c r="H88" s="65"/>
      <c r="I88" s="275">
        <f t="shared" si="9"/>
        <v>0</v>
      </c>
      <c r="J88" s="161"/>
      <c r="K88" s="30"/>
      <c r="L88" s="30"/>
      <c r="M88" s="30"/>
      <c r="N88" s="30"/>
      <c r="O88" s="71">
        <f t="shared" si="5"/>
        <v>0</v>
      </c>
      <c r="P88" s="1070">
        <f t="shared" si="6"/>
        <v>0</v>
      </c>
      <c r="Q88" s="1071">
        <f t="shared" si="7"/>
        <v>0</v>
      </c>
      <c r="R88" s="30"/>
      <c r="S88" s="30"/>
      <c r="T88" s="30"/>
      <c r="U88" s="30"/>
      <c r="V88" s="30"/>
      <c r="W88" s="30"/>
    </row>
    <row r="89" spans="1:23" x14ac:dyDescent="0.2">
      <c r="A89" s="30"/>
      <c r="B89" s="162"/>
      <c r="C89" s="259"/>
      <c r="D89" s="267"/>
      <c r="E89" s="35"/>
      <c r="F89" s="151"/>
      <c r="G89" s="263">
        <f t="shared" si="8"/>
        <v>0</v>
      </c>
      <c r="H89" s="65"/>
      <c r="I89" s="275">
        <f t="shared" si="9"/>
        <v>0</v>
      </c>
      <c r="J89" s="161"/>
      <c r="K89" s="30"/>
      <c r="L89" s="30"/>
      <c r="M89" s="30"/>
      <c r="N89" s="30"/>
      <c r="O89" s="71">
        <f t="shared" si="5"/>
        <v>0</v>
      </c>
      <c r="P89" s="1070">
        <f t="shared" si="6"/>
        <v>0</v>
      </c>
      <c r="Q89" s="1071">
        <f t="shared" si="7"/>
        <v>0</v>
      </c>
      <c r="R89" s="30"/>
      <c r="S89" s="30"/>
      <c r="T89" s="30"/>
      <c r="U89" s="30"/>
      <c r="V89" s="30"/>
      <c r="W89" s="30"/>
    </row>
    <row r="90" spans="1:23" x14ac:dyDescent="0.2">
      <c r="A90" s="30"/>
      <c r="B90" s="162"/>
      <c r="C90" s="259"/>
      <c r="D90" s="267"/>
      <c r="E90" s="35"/>
      <c r="F90" s="151"/>
      <c r="G90" s="263">
        <f t="shared" si="8"/>
        <v>0</v>
      </c>
      <c r="H90" s="65"/>
      <c r="I90" s="275">
        <f t="shared" si="9"/>
        <v>0</v>
      </c>
      <c r="J90" s="161"/>
      <c r="K90" s="30"/>
      <c r="L90" s="30"/>
      <c r="M90" s="30"/>
      <c r="N90" s="30"/>
      <c r="O90" s="71">
        <f t="shared" si="5"/>
        <v>0</v>
      </c>
      <c r="P90" s="1070">
        <f t="shared" si="6"/>
        <v>0</v>
      </c>
      <c r="Q90" s="1071">
        <f t="shared" si="7"/>
        <v>0</v>
      </c>
      <c r="R90" s="30"/>
      <c r="S90" s="30"/>
      <c r="T90" s="30"/>
      <c r="U90" s="30"/>
      <c r="V90" s="30"/>
      <c r="W90" s="30"/>
    </row>
    <row r="91" spans="1:23" x14ac:dyDescent="0.2">
      <c r="A91" s="30"/>
      <c r="B91" s="162"/>
      <c r="C91" s="259"/>
      <c r="D91" s="267"/>
      <c r="E91" s="35"/>
      <c r="F91" s="151"/>
      <c r="G91" s="263">
        <f t="shared" si="8"/>
        <v>0</v>
      </c>
      <c r="H91" s="65"/>
      <c r="I91" s="275">
        <f t="shared" si="9"/>
        <v>0</v>
      </c>
      <c r="J91" s="161"/>
      <c r="K91" s="30"/>
      <c r="L91" s="30"/>
      <c r="M91" s="30"/>
      <c r="N91" s="30"/>
      <c r="O91" s="71">
        <f t="shared" si="5"/>
        <v>0</v>
      </c>
      <c r="P91" s="1070">
        <f t="shared" si="6"/>
        <v>0</v>
      </c>
      <c r="Q91" s="1071">
        <f t="shared" si="7"/>
        <v>0</v>
      </c>
      <c r="R91" s="30"/>
      <c r="S91" s="30"/>
      <c r="T91" s="30"/>
      <c r="U91" s="30"/>
      <c r="V91" s="30"/>
      <c r="W91" s="30"/>
    </row>
    <row r="92" spans="1:23" x14ac:dyDescent="0.2">
      <c r="A92" s="30"/>
      <c r="B92" s="162"/>
      <c r="C92" s="259"/>
      <c r="D92" s="267"/>
      <c r="E92" s="35"/>
      <c r="F92" s="151"/>
      <c r="G92" s="263">
        <f t="shared" si="8"/>
        <v>0</v>
      </c>
      <c r="H92" s="65"/>
      <c r="I92" s="275">
        <f t="shared" si="9"/>
        <v>0</v>
      </c>
      <c r="J92" s="161"/>
      <c r="K92" s="30"/>
      <c r="L92" s="30"/>
      <c r="M92" s="30"/>
      <c r="N92" s="30"/>
      <c r="O92" s="71">
        <f t="shared" si="5"/>
        <v>0</v>
      </c>
      <c r="P92" s="1070">
        <f t="shared" si="6"/>
        <v>0</v>
      </c>
      <c r="Q92" s="1071">
        <f t="shared" si="7"/>
        <v>0</v>
      </c>
      <c r="R92" s="30"/>
      <c r="S92" s="30"/>
      <c r="T92" s="30"/>
      <c r="U92" s="30"/>
      <c r="V92" s="30"/>
      <c r="W92" s="30"/>
    </row>
    <row r="93" spans="1:23" x14ac:dyDescent="0.2">
      <c r="A93" s="30"/>
      <c r="B93" s="162"/>
      <c r="C93" s="259"/>
      <c r="D93" s="267"/>
      <c r="E93" s="35"/>
      <c r="F93" s="151"/>
      <c r="G93" s="263">
        <f t="shared" si="8"/>
        <v>0</v>
      </c>
      <c r="H93" s="65"/>
      <c r="I93" s="275">
        <f t="shared" si="9"/>
        <v>0</v>
      </c>
      <c r="J93" s="161"/>
      <c r="K93" s="30"/>
      <c r="L93" s="30"/>
      <c r="M93" s="30"/>
      <c r="N93" s="30"/>
      <c r="O93" s="71">
        <f t="shared" si="5"/>
        <v>0</v>
      </c>
      <c r="P93" s="1070">
        <f t="shared" si="6"/>
        <v>0</v>
      </c>
      <c r="Q93" s="1071">
        <f t="shared" si="7"/>
        <v>0</v>
      </c>
      <c r="R93" s="30"/>
      <c r="S93" s="30"/>
      <c r="T93" s="30"/>
      <c r="U93" s="30"/>
      <c r="V93" s="30"/>
      <c r="W93" s="30"/>
    </row>
    <row r="94" spans="1:23" x14ac:dyDescent="0.2">
      <c r="A94" s="30"/>
      <c r="B94" s="162"/>
      <c r="C94" s="259"/>
      <c r="D94" s="267"/>
      <c r="E94" s="35"/>
      <c r="F94" s="151"/>
      <c r="G94" s="263">
        <f t="shared" si="8"/>
        <v>0</v>
      </c>
      <c r="H94" s="65"/>
      <c r="I94" s="275">
        <f t="shared" si="9"/>
        <v>0</v>
      </c>
      <c r="J94" s="161"/>
      <c r="K94" s="30"/>
      <c r="L94" s="30"/>
      <c r="M94" s="30"/>
      <c r="N94" s="30"/>
      <c r="O94" s="71">
        <f t="shared" si="5"/>
        <v>0</v>
      </c>
      <c r="P94" s="1070">
        <f t="shared" si="6"/>
        <v>0</v>
      </c>
      <c r="Q94" s="1071">
        <f t="shared" si="7"/>
        <v>0</v>
      </c>
      <c r="R94" s="30"/>
      <c r="S94" s="30"/>
      <c r="T94" s="30"/>
      <c r="U94" s="30"/>
      <c r="V94" s="30"/>
      <c r="W94" s="30"/>
    </row>
    <row r="95" spans="1:23" x14ac:dyDescent="0.2">
      <c r="A95" s="30"/>
      <c r="B95" s="162"/>
      <c r="C95" s="259"/>
      <c r="D95" s="267"/>
      <c r="E95" s="35"/>
      <c r="F95" s="151"/>
      <c r="G95" s="263">
        <f t="shared" si="8"/>
        <v>0</v>
      </c>
      <c r="H95" s="65"/>
      <c r="I95" s="275">
        <f t="shared" si="9"/>
        <v>0</v>
      </c>
      <c r="J95" s="161"/>
      <c r="K95" s="30"/>
      <c r="L95" s="30"/>
      <c r="M95" s="30"/>
      <c r="N95" s="30"/>
      <c r="O95" s="71">
        <f t="shared" si="5"/>
        <v>0</v>
      </c>
      <c r="P95" s="1070">
        <f t="shared" si="6"/>
        <v>0</v>
      </c>
      <c r="Q95" s="1071">
        <f t="shared" si="7"/>
        <v>0</v>
      </c>
      <c r="R95" s="30"/>
      <c r="S95" s="30"/>
      <c r="T95" s="30"/>
      <c r="U95" s="30"/>
      <c r="V95" s="30"/>
      <c r="W95" s="30"/>
    </row>
    <row r="96" spans="1:23" x14ac:dyDescent="0.2">
      <c r="A96" s="30"/>
      <c r="B96" s="162"/>
      <c r="C96" s="259"/>
      <c r="D96" s="267"/>
      <c r="E96" s="35"/>
      <c r="F96" s="151"/>
      <c r="G96" s="263">
        <f t="shared" si="8"/>
        <v>0</v>
      </c>
      <c r="H96" s="65"/>
      <c r="I96" s="275">
        <f t="shared" si="9"/>
        <v>0</v>
      </c>
      <c r="J96" s="161"/>
      <c r="K96" s="30"/>
      <c r="L96" s="30"/>
      <c r="M96" s="30"/>
      <c r="N96" s="30"/>
      <c r="O96" s="71">
        <f t="shared" si="5"/>
        <v>0</v>
      </c>
      <c r="P96" s="1070">
        <f t="shared" si="6"/>
        <v>0</v>
      </c>
      <c r="Q96" s="1071">
        <f t="shared" si="7"/>
        <v>0</v>
      </c>
      <c r="R96" s="30"/>
      <c r="S96" s="30"/>
      <c r="T96" s="30"/>
      <c r="U96" s="30"/>
      <c r="V96" s="30"/>
      <c r="W96" s="30"/>
    </row>
    <row r="97" spans="1:23" x14ac:dyDescent="0.2">
      <c r="A97" s="30"/>
      <c r="B97" s="162"/>
      <c r="C97" s="259"/>
      <c r="D97" s="267"/>
      <c r="E97" s="35"/>
      <c r="F97" s="151"/>
      <c r="G97" s="263">
        <f t="shared" si="8"/>
        <v>0</v>
      </c>
      <c r="H97" s="65"/>
      <c r="I97" s="275">
        <f t="shared" si="9"/>
        <v>0</v>
      </c>
      <c r="J97" s="161"/>
      <c r="K97" s="30"/>
      <c r="L97" s="30"/>
      <c r="M97" s="30"/>
      <c r="N97" s="30"/>
      <c r="O97" s="71">
        <f t="shared" si="5"/>
        <v>0</v>
      </c>
      <c r="P97" s="1070">
        <f t="shared" si="6"/>
        <v>0</v>
      </c>
      <c r="Q97" s="1071">
        <f t="shared" si="7"/>
        <v>0</v>
      </c>
      <c r="R97" s="30"/>
      <c r="S97" s="30"/>
      <c r="T97" s="30"/>
      <c r="U97" s="30"/>
      <c r="V97" s="30"/>
      <c r="W97" s="30"/>
    </row>
    <row r="98" spans="1:23" x14ac:dyDescent="0.2">
      <c r="A98" s="30"/>
      <c r="B98" s="162"/>
      <c r="C98" s="259"/>
      <c r="D98" s="267"/>
      <c r="E98" s="35"/>
      <c r="F98" s="151"/>
      <c r="G98" s="263">
        <f t="shared" si="8"/>
        <v>0</v>
      </c>
      <c r="H98" s="65"/>
      <c r="I98" s="275">
        <f t="shared" si="9"/>
        <v>0</v>
      </c>
      <c r="J98" s="161"/>
      <c r="K98" s="30"/>
      <c r="L98" s="30"/>
      <c r="M98" s="30"/>
      <c r="N98" s="30"/>
      <c r="O98" s="71">
        <f t="shared" si="5"/>
        <v>0</v>
      </c>
      <c r="P98" s="1070">
        <f t="shared" si="6"/>
        <v>0</v>
      </c>
      <c r="Q98" s="1071">
        <f t="shared" ref="Q98:Q117" si="10">IF($F98=$Q$43,$I98,0)</f>
        <v>0</v>
      </c>
      <c r="R98" s="30"/>
      <c r="S98" s="30"/>
      <c r="T98" s="30"/>
      <c r="U98" s="30"/>
      <c r="V98" s="30"/>
      <c r="W98" s="30"/>
    </row>
    <row r="99" spans="1:23" x14ac:dyDescent="0.2">
      <c r="A99" s="30"/>
      <c r="B99" s="162"/>
      <c r="C99" s="259"/>
      <c r="D99" s="267"/>
      <c r="E99" s="35"/>
      <c r="F99" s="151"/>
      <c r="G99" s="263">
        <f t="shared" si="8"/>
        <v>0</v>
      </c>
      <c r="H99" s="65"/>
      <c r="I99" s="275">
        <f t="shared" si="9"/>
        <v>0</v>
      </c>
      <c r="J99" s="161"/>
      <c r="K99" s="30"/>
      <c r="L99" s="30"/>
      <c r="M99" s="30"/>
      <c r="N99" s="30"/>
      <c r="O99" s="71">
        <f t="shared" si="5"/>
        <v>0</v>
      </c>
      <c r="P99" s="1070">
        <f t="shared" ref="P99:P117" si="11">IF($F99=$Q$42,$I99,0)</f>
        <v>0</v>
      </c>
      <c r="Q99" s="1071">
        <f t="shared" si="10"/>
        <v>0</v>
      </c>
      <c r="R99" s="30"/>
      <c r="S99" s="30"/>
      <c r="T99" s="30"/>
      <c r="U99" s="30"/>
      <c r="V99" s="30"/>
      <c r="W99" s="30"/>
    </row>
    <row r="100" spans="1:23" x14ac:dyDescent="0.2">
      <c r="A100" s="30"/>
      <c r="B100" s="162"/>
      <c r="C100" s="259"/>
      <c r="D100" s="267"/>
      <c r="E100" s="35"/>
      <c r="F100" s="151"/>
      <c r="G100" s="263">
        <f t="shared" si="8"/>
        <v>0</v>
      </c>
      <c r="H100" s="65"/>
      <c r="I100" s="275">
        <f t="shared" si="9"/>
        <v>0</v>
      </c>
      <c r="J100" s="161"/>
      <c r="K100" s="30"/>
      <c r="L100" s="30"/>
      <c r="M100" s="30"/>
      <c r="N100" s="30"/>
      <c r="O100" s="71">
        <f t="shared" si="5"/>
        <v>0</v>
      </c>
      <c r="P100" s="1070">
        <f t="shared" si="11"/>
        <v>0</v>
      </c>
      <c r="Q100" s="1071">
        <f t="shared" si="10"/>
        <v>0</v>
      </c>
      <c r="R100" s="30"/>
      <c r="S100" s="30"/>
      <c r="T100" s="30"/>
      <c r="U100" s="30"/>
      <c r="V100" s="30"/>
      <c r="W100" s="30"/>
    </row>
    <row r="101" spans="1:23" x14ac:dyDescent="0.2">
      <c r="A101" s="30"/>
      <c r="B101" s="162"/>
      <c r="C101" s="259"/>
      <c r="D101" s="267"/>
      <c r="E101" s="35"/>
      <c r="F101" s="151"/>
      <c r="G101" s="263">
        <f t="shared" si="8"/>
        <v>0</v>
      </c>
      <c r="H101" s="65"/>
      <c r="I101" s="275">
        <f t="shared" si="9"/>
        <v>0</v>
      </c>
      <c r="J101" s="161"/>
      <c r="K101" s="30"/>
      <c r="L101" s="30"/>
      <c r="M101" s="30"/>
      <c r="N101" s="30"/>
      <c r="O101" s="71">
        <f t="shared" si="5"/>
        <v>0</v>
      </c>
      <c r="P101" s="1070">
        <f t="shared" si="11"/>
        <v>0</v>
      </c>
      <c r="Q101" s="1071">
        <f t="shared" si="10"/>
        <v>0</v>
      </c>
      <c r="R101" s="30"/>
      <c r="S101" s="30"/>
      <c r="T101" s="30"/>
      <c r="U101" s="30"/>
      <c r="V101" s="30"/>
      <c r="W101" s="30"/>
    </row>
    <row r="102" spans="1:23" x14ac:dyDescent="0.2">
      <c r="A102" s="30"/>
      <c r="B102" s="162"/>
      <c r="C102" s="259"/>
      <c r="D102" s="267"/>
      <c r="E102" s="35"/>
      <c r="F102" s="151"/>
      <c r="G102" s="263">
        <f t="shared" si="8"/>
        <v>0</v>
      </c>
      <c r="H102" s="65"/>
      <c r="I102" s="275">
        <f t="shared" si="9"/>
        <v>0</v>
      </c>
      <c r="J102" s="161"/>
      <c r="K102" s="30"/>
      <c r="L102" s="30"/>
      <c r="M102" s="30"/>
      <c r="N102" s="30"/>
      <c r="O102" s="71">
        <f t="shared" si="5"/>
        <v>0</v>
      </c>
      <c r="P102" s="1070">
        <f t="shared" si="11"/>
        <v>0</v>
      </c>
      <c r="Q102" s="1071">
        <f t="shared" si="10"/>
        <v>0</v>
      </c>
      <c r="R102" s="30"/>
      <c r="S102" s="30"/>
      <c r="T102" s="30"/>
      <c r="U102" s="30"/>
      <c r="V102" s="30"/>
      <c r="W102" s="30"/>
    </row>
    <row r="103" spans="1:23" x14ac:dyDescent="0.2">
      <c r="A103" s="30"/>
      <c r="B103" s="162"/>
      <c r="C103" s="259"/>
      <c r="D103" s="267"/>
      <c r="E103" s="35"/>
      <c r="F103" s="151"/>
      <c r="G103" s="263">
        <f t="shared" si="8"/>
        <v>0</v>
      </c>
      <c r="H103" s="65"/>
      <c r="I103" s="275">
        <f t="shared" si="9"/>
        <v>0</v>
      </c>
      <c r="J103" s="161"/>
      <c r="K103" s="30"/>
      <c r="L103" s="30"/>
      <c r="M103" s="30"/>
      <c r="N103" s="30"/>
      <c r="O103" s="71">
        <f t="shared" si="5"/>
        <v>0</v>
      </c>
      <c r="P103" s="1070">
        <f t="shared" si="11"/>
        <v>0</v>
      </c>
      <c r="Q103" s="1071">
        <f t="shared" si="10"/>
        <v>0</v>
      </c>
      <c r="R103" s="30"/>
      <c r="S103" s="30"/>
      <c r="T103" s="30"/>
      <c r="U103" s="30"/>
      <c r="V103" s="30"/>
      <c r="W103" s="30"/>
    </row>
    <row r="104" spans="1:23" x14ac:dyDescent="0.2">
      <c r="A104" s="30"/>
      <c r="B104" s="162"/>
      <c r="C104" s="259"/>
      <c r="D104" s="267"/>
      <c r="E104" s="35"/>
      <c r="F104" s="151"/>
      <c r="G104" s="263">
        <f t="shared" si="8"/>
        <v>0</v>
      </c>
      <c r="H104" s="65"/>
      <c r="I104" s="275">
        <f t="shared" si="9"/>
        <v>0</v>
      </c>
      <c r="J104" s="161"/>
      <c r="K104" s="30"/>
      <c r="L104" s="30"/>
      <c r="M104" s="30"/>
      <c r="N104" s="30"/>
      <c r="O104" s="71">
        <f t="shared" si="5"/>
        <v>0</v>
      </c>
      <c r="P104" s="1070">
        <f t="shared" si="11"/>
        <v>0</v>
      </c>
      <c r="Q104" s="1071">
        <f t="shared" si="10"/>
        <v>0</v>
      </c>
      <c r="R104" s="30"/>
      <c r="S104" s="30"/>
      <c r="T104" s="30"/>
      <c r="U104" s="30"/>
      <c r="V104" s="30"/>
      <c r="W104" s="30"/>
    </row>
    <row r="105" spans="1:23" x14ac:dyDescent="0.2">
      <c r="A105" s="30"/>
      <c r="B105" s="162"/>
      <c r="C105" s="259"/>
      <c r="D105" s="267"/>
      <c r="E105" s="35"/>
      <c r="F105" s="151"/>
      <c r="G105" s="263">
        <f t="shared" si="8"/>
        <v>0</v>
      </c>
      <c r="H105" s="65"/>
      <c r="I105" s="275">
        <f t="shared" si="9"/>
        <v>0</v>
      </c>
      <c r="J105" s="161"/>
      <c r="K105" s="30"/>
      <c r="L105" s="30"/>
      <c r="M105" s="30"/>
      <c r="N105" s="30"/>
      <c r="O105" s="71">
        <f t="shared" si="5"/>
        <v>0</v>
      </c>
      <c r="P105" s="1070">
        <f t="shared" si="11"/>
        <v>0</v>
      </c>
      <c r="Q105" s="1071">
        <f t="shared" si="10"/>
        <v>0</v>
      </c>
      <c r="R105" s="30"/>
      <c r="S105" s="30"/>
      <c r="T105" s="30"/>
      <c r="U105" s="30"/>
      <c r="V105" s="30"/>
      <c r="W105" s="30"/>
    </row>
    <row r="106" spans="1:23" x14ac:dyDescent="0.2">
      <c r="A106" s="30"/>
      <c r="B106" s="162"/>
      <c r="C106" s="259"/>
      <c r="D106" s="267"/>
      <c r="E106" s="35"/>
      <c r="F106" s="151"/>
      <c r="G106" s="263">
        <f t="shared" si="8"/>
        <v>0</v>
      </c>
      <c r="H106" s="65"/>
      <c r="I106" s="275">
        <f t="shared" si="9"/>
        <v>0</v>
      </c>
      <c r="J106" s="161"/>
      <c r="K106" s="30"/>
      <c r="L106" s="30"/>
      <c r="M106" s="30"/>
      <c r="N106" s="30"/>
      <c r="O106" s="71">
        <f t="shared" si="5"/>
        <v>0</v>
      </c>
      <c r="P106" s="1070">
        <f t="shared" si="11"/>
        <v>0</v>
      </c>
      <c r="Q106" s="1071">
        <f t="shared" si="10"/>
        <v>0</v>
      </c>
      <c r="R106" s="30"/>
      <c r="S106" s="30"/>
      <c r="T106" s="30"/>
      <c r="U106" s="30"/>
      <c r="V106" s="30"/>
      <c r="W106" s="30"/>
    </row>
    <row r="107" spans="1:23" x14ac:dyDescent="0.2">
      <c r="A107" s="30"/>
      <c r="B107" s="162"/>
      <c r="C107" s="259"/>
      <c r="D107" s="267"/>
      <c r="E107" s="35"/>
      <c r="F107" s="151"/>
      <c r="G107" s="263">
        <f t="shared" si="8"/>
        <v>0</v>
      </c>
      <c r="H107" s="65"/>
      <c r="I107" s="275">
        <f t="shared" si="9"/>
        <v>0</v>
      </c>
      <c r="J107" s="161"/>
      <c r="K107" s="30"/>
      <c r="L107" s="30"/>
      <c r="M107" s="30"/>
      <c r="N107" s="30"/>
      <c r="O107" s="71">
        <f t="shared" si="5"/>
        <v>0</v>
      </c>
      <c r="P107" s="1070">
        <f t="shared" si="11"/>
        <v>0</v>
      </c>
      <c r="Q107" s="1071">
        <f t="shared" si="10"/>
        <v>0</v>
      </c>
      <c r="R107" s="30"/>
      <c r="S107" s="30"/>
      <c r="T107" s="30"/>
      <c r="U107" s="30"/>
      <c r="V107" s="30"/>
      <c r="W107" s="30"/>
    </row>
    <row r="108" spans="1:23" x14ac:dyDescent="0.2">
      <c r="A108" s="30"/>
      <c r="B108" s="162"/>
      <c r="C108" s="259"/>
      <c r="D108" s="267"/>
      <c r="E108" s="35"/>
      <c r="F108" s="151"/>
      <c r="G108" s="263">
        <f t="shared" si="8"/>
        <v>0</v>
      </c>
      <c r="H108" s="65"/>
      <c r="I108" s="275">
        <f t="shared" si="9"/>
        <v>0</v>
      </c>
      <c r="J108" s="161"/>
      <c r="K108" s="30"/>
      <c r="L108" s="30"/>
      <c r="M108" s="30"/>
      <c r="N108" s="30"/>
      <c r="O108" s="71">
        <f t="shared" si="5"/>
        <v>0</v>
      </c>
      <c r="P108" s="1070">
        <f t="shared" si="11"/>
        <v>0</v>
      </c>
      <c r="Q108" s="1071">
        <f t="shared" si="10"/>
        <v>0</v>
      </c>
      <c r="R108" s="30"/>
      <c r="S108" s="30"/>
      <c r="T108" s="30"/>
      <c r="U108" s="30"/>
      <c r="V108" s="30"/>
      <c r="W108" s="30"/>
    </row>
    <row r="109" spans="1:23" x14ac:dyDescent="0.2">
      <c r="A109" s="30"/>
      <c r="B109" s="162"/>
      <c r="C109" s="259"/>
      <c r="D109" s="267"/>
      <c r="E109" s="35"/>
      <c r="F109" s="151"/>
      <c r="G109" s="263">
        <f t="shared" si="8"/>
        <v>0</v>
      </c>
      <c r="H109" s="65"/>
      <c r="I109" s="275">
        <f t="shared" si="9"/>
        <v>0</v>
      </c>
      <c r="J109" s="161"/>
      <c r="K109" s="30"/>
      <c r="L109" s="30"/>
      <c r="M109" s="30"/>
      <c r="N109" s="30"/>
      <c r="O109" s="71">
        <f t="shared" si="5"/>
        <v>0</v>
      </c>
      <c r="P109" s="1070">
        <f t="shared" si="11"/>
        <v>0</v>
      </c>
      <c r="Q109" s="1071">
        <f t="shared" si="10"/>
        <v>0</v>
      </c>
      <c r="R109" s="30"/>
      <c r="S109" s="30"/>
      <c r="T109" s="30"/>
      <c r="U109" s="30"/>
      <c r="V109" s="30"/>
      <c r="W109" s="30"/>
    </row>
    <row r="110" spans="1:23" x14ac:dyDescent="0.2">
      <c r="A110" s="30"/>
      <c r="B110" s="162"/>
      <c r="C110" s="259"/>
      <c r="D110" s="267"/>
      <c r="E110" s="35"/>
      <c r="F110" s="151"/>
      <c r="G110" s="263">
        <f t="shared" si="8"/>
        <v>0</v>
      </c>
      <c r="H110" s="65"/>
      <c r="I110" s="275">
        <f t="shared" si="9"/>
        <v>0</v>
      </c>
      <c r="J110" s="161"/>
      <c r="K110" s="30"/>
      <c r="L110" s="30"/>
      <c r="M110" s="30"/>
      <c r="N110" s="30"/>
      <c r="O110" s="71">
        <f t="shared" si="5"/>
        <v>0</v>
      </c>
      <c r="P110" s="1070">
        <f t="shared" si="11"/>
        <v>0</v>
      </c>
      <c r="Q110" s="1071">
        <f t="shared" si="10"/>
        <v>0</v>
      </c>
      <c r="R110" s="30"/>
      <c r="S110" s="30"/>
      <c r="T110" s="30"/>
      <c r="U110" s="30"/>
      <c r="V110" s="30"/>
      <c r="W110" s="30"/>
    </row>
    <row r="111" spans="1:23" x14ac:dyDescent="0.2">
      <c r="A111" s="30"/>
      <c r="B111" s="162"/>
      <c r="C111" s="259"/>
      <c r="D111" s="267"/>
      <c r="E111" s="35"/>
      <c r="F111" s="151"/>
      <c r="G111" s="263">
        <f t="shared" si="8"/>
        <v>0</v>
      </c>
      <c r="H111" s="65"/>
      <c r="I111" s="275">
        <f t="shared" si="9"/>
        <v>0</v>
      </c>
      <c r="J111" s="161"/>
      <c r="K111" s="30"/>
      <c r="L111" s="30"/>
      <c r="M111" s="30"/>
      <c r="N111" s="30"/>
      <c r="O111" s="71">
        <f t="shared" si="5"/>
        <v>0</v>
      </c>
      <c r="P111" s="1070">
        <f t="shared" si="11"/>
        <v>0</v>
      </c>
      <c r="Q111" s="1071">
        <f t="shared" si="10"/>
        <v>0</v>
      </c>
      <c r="R111" s="30"/>
      <c r="S111" s="30"/>
      <c r="T111" s="30"/>
      <c r="U111" s="30"/>
      <c r="V111" s="30"/>
      <c r="W111" s="30"/>
    </row>
    <row r="112" spans="1:23" x14ac:dyDescent="0.2">
      <c r="A112" s="30"/>
      <c r="B112" s="162"/>
      <c r="C112" s="259"/>
      <c r="D112" s="267"/>
      <c r="E112" s="35"/>
      <c r="F112" s="151"/>
      <c r="G112" s="263">
        <f t="shared" ref="G112:G117" si="12">ABS(C112-B112)</f>
        <v>0</v>
      </c>
      <c r="H112" s="65"/>
      <c r="I112" s="275">
        <f t="shared" ref="I112:I117" si="13">ROUNDUP((G112*H112)/9,0)</f>
        <v>0</v>
      </c>
      <c r="J112" s="161"/>
      <c r="K112" s="30"/>
      <c r="L112" s="30"/>
      <c r="M112" s="30"/>
      <c r="N112" s="30"/>
      <c r="O112" s="71">
        <f t="shared" si="5"/>
        <v>0</v>
      </c>
      <c r="P112" s="1070">
        <f t="shared" si="11"/>
        <v>0</v>
      </c>
      <c r="Q112" s="1071">
        <f t="shared" si="10"/>
        <v>0</v>
      </c>
      <c r="R112" s="30"/>
      <c r="S112" s="30"/>
      <c r="T112" s="30"/>
      <c r="U112" s="30"/>
      <c r="V112" s="30"/>
      <c r="W112" s="30"/>
    </row>
    <row r="113" spans="1:23" x14ac:dyDescent="0.2">
      <c r="A113" s="30"/>
      <c r="B113" s="162"/>
      <c r="C113" s="259"/>
      <c r="D113" s="267"/>
      <c r="E113" s="35"/>
      <c r="F113" s="151"/>
      <c r="G113" s="263">
        <f t="shared" si="12"/>
        <v>0</v>
      </c>
      <c r="H113" s="65"/>
      <c r="I113" s="275">
        <f t="shared" si="13"/>
        <v>0</v>
      </c>
      <c r="J113" s="161"/>
      <c r="K113" s="30"/>
      <c r="L113" s="30"/>
      <c r="M113" s="30"/>
      <c r="N113" s="30"/>
      <c r="O113" s="71">
        <f t="shared" si="5"/>
        <v>0</v>
      </c>
      <c r="P113" s="1070">
        <f t="shared" si="11"/>
        <v>0</v>
      </c>
      <c r="Q113" s="1071">
        <f t="shared" si="10"/>
        <v>0</v>
      </c>
      <c r="R113" s="30"/>
      <c r="S113" s="30"/>
      <c r="T113" s="30"/>
      <c r="U113" s="30"/>
      <c r="V113" s="30"/>
      <c r="W113" s="30"/>
    </row>
    <row r="114" spans="1:23" x14ac:dyDescent="0.2">
      <c r="A114" s="30"/>
      <c r="B114" s="162"/>
      <c r="C114" s="259"/>
      <c r="D114" s="267"/>
      <c r="E114" s="35"/>
      <c r="F114" s="151"/>
      <c r="G114" s="263">
        <f t="shared" si="12"/>
        <v>0</v>
      </c>
      <c r="H114" s="65"/>
      <c r="I114" s="275">
        <f t="shared" si="13"/>
        <v>0</v>
      </c>
      <c r="J114" s="161"/>
      <c r="K114" s="30"/>
      <c r="L114" s="30"/>
      <c r="M114" s="30"/>
      <c r="N114" s="30"/>
      <c r="O114" s="71">
        <f t="shared" si="5"/>
        <v>0</v>
      </c>
      <c r="P114" s="1070">
        <f t="shared" si="11"/>
        <v>0</v>
      </c>
      <c r="Q114" s="1071">
        <f t="shared" si="10"/>
        <v>0</v>
      </c>
      <c r="R114" s="30"/>
      <c r="S114" s="30"/>
      <c r="T114" s="30"/>
      <c r="U114" s="30"/>
      <c r="V114" s="30"/>
      <c r="W114" s="30"/>
    </row>
    <row r="115" spans="1:23" x14ac:dyDescent="0.2">
      <c r="A115" s="30"/>
      <c r="B115" s="162"/>
      <c r="C115" s="259"/>
      <c r="D115" s="267"/>
      <c r="E115" s="35"/>
      <c r="F115" s="151"/>
      <c r="G115" s="263">
        <f t="shared" si="12"/>
        <v>0</v>
      </c>
      <c r="H115" s="65"/>
      <c r="I115" s="275">
        <f t="shared" si="13"/>
        <v>0</v>
      </c>
      <c r="J115" s="161"/>
      <c r="K115" s="30"/>
      <c r="L115" s="30"/>
      <c r="M115" s="30"/>
      <c r="N115" s="30"/>
      <c r="O115" s="71">
        <f t="shared" si="5"/>
        <v>0</v>
      </c>
      <c r="P115" s="1070">
        <f t="shared" si="11"/>
        <v>0</v>
      </c>
      <c r="Q115" s="1071">
        <f t="shared" si="10"/>
        <v>0</v>
      </c>
      <c r="R115" s="30"/>
      <c r="S115" s="30"/>
      <c r="T115" s="30"/>
      <c r="U115" s="30"/>
      <c r="V115" s="30"/>
      <c r="W115" s="30"/>
    </row>
    <row r="116" spans="1:23" x14ac:dyDescent="0.2">
      <c r="A116" s="30"/>
      <c r="B116" s="162"/>
      <c r="C116" s="259"/>
      <c r="D116" s="267"/>
      <c r="E116" s="35"/>
      <c r="F116" s="151"/>
      <c r="G116" s="263">
        <f t="shared" si="12"/>
        <v>0</v>
      </c>
      <c r="H116" s="65"/>
      <c r="I116" s="275">
        <f t="shared" si="13"/>
        <v>0</v>
      </c>
      <c r="J116" s="161"/>
      <c r="K116" s="30"/>
      <c r="L116" s="30"/>
      <c r="M116" s="30"/>
      <c r="N116" s="30"/>
      <c r="O116" s="71">
        <f t="shared" si="5"/>
        <v>0</v>
      </c>
      <c r="P116" s="1070">
        <f t="shared" si="11"/>
        <v>0</v>
      </c>
      <c r="Q116" s="1071">
        <f t="shared" si="10"/>
        <v>0</v>
      </c>
      <c r="R116" s="30"/>
      <c r="S116" s="30"/>
      <c r="T116" s="30"/>
      <c r="U116" s="30"/>
      <c r="V116" s="30"/>
      <c r="W116" s="30"/>
    </row>
    <row r="117" spans="1:23" ht="13.5" thickBot="1" x14ac:dyDescent="0.25">
      <c r="A117" s="30"/>
      <c r="B117" s="163"/>
      <c r="C117" s="260"/>
      <c r="D117" s="268"/>
      <c r="E117" s="24"/>
      <c r="F117" s="25"/>
      <c r="G117" s="264">
        <f t="shared" si="12"/>
        <v>0</v>
      </c>
      <c r="H117" s="272"/>
      <c r="I117" s="276">
        <f t="shared" si="13"/>
        <v>0</v>
      </c>
      <c r="J117" s="161"/>
      <c r="K117" s="30"/>
      <c r="L117" s="30"/>
      <c r="M117" s="30"/>
      <c r="N117" s="30"/>
      <c r="O117" s="71">
        <f t="shared" si="5"/>
        <v>0</v>
      </c>
      <c r="P117" s="1070">
        <f t="shared" si="11"/>
        <v>0</v>
      </c>
      <c r="Q117" s="1071">
        <f t="shared" si="10"/>
        <v>0</v>
      </c>
      <c r="R117" s="30"/>
      <c r="S117" s="30"/>
      <c r="T117" s="30"/>
      <c r="U117" s="30"/>
      <c r="V117" s="30"/>
      <c r="W117" s="30"/>
    </row>
    <row r="118" spans="1:23" ht="6.75" customHeight="1" thickBot="1" x14ac:dyDescent="0.25">
      <c r="A118" s="30"/>
      <c r="B118" s="155"/>
      <c r="C118" s="155"/>
      <c r="D118" s="155"/>
      <c r="E118" s="155"/>
      <c r="F118" s="155"/>
      <c r="G118" s="155"/>
      <c r="H118" s="155"/>
      <c r="I118" s="155"/>
      <c r="J118" s="155"/>
      <c r="K118" s="30"/>
      <c r="L118" s="30"/>
      <c r="M118" s="30"/>
      <c r="N118" s="30"/>
      <c r="O118" s="812">
        <f>SUM(O66:O117)</f>
        <v>0</v>
      </c>
      <c r="P118" s="1075">
        <f>SUM(P66:P117)</f>
        <v>0</v>
      </c>
      <c r="Q118" s="813">
        <f>SUM(Q66:Q117)</f>
        <v>0</v>
      </c>
      <c r="R118" s="30"/>
      <c r="S118" s="30"/>
      <c r="T118" s="30"/>
      <c r="U118" s="30"/>
      <c r="V118" s="30"/>
      <c r="W118" s="30"/>
    </row>
    <row r="119" spans="1:23" ht="50.1" customHeight="1" x14ac:dyDescent="0.2">
      <c r="A119" s="30"/>
      <c r="B119" s="155"/>
      <c r="C119" s="155"/>
      <c r="D119" s="155"/>
      <c r="E119" s="155"/>
      <c r="F119" s="155"/>
      <c r="G119" s="155"/>
      <c r="H119" s="155"/>
      <c r="I119" s="155"/>
      <c r="J119" s="155"/>
      <c r="K119" s="30"/>
      <c r="L119" s="30"/>
      <c r="M119" s="30"/>
      <c r="N119" s="30"/>
      <c r="O119" s="30"/>
      <c r="P119" s="30"/>
      <c r="Q119" s="30"/>
      <c r="R119" s="30"/>
      <c r="S119" s="30"/>
      <c r="T119" s="30"/>
      <c r="U119" s="30"/>
      <c r="V119" s="30"/>
      <c r="W119" s="30"/>
    </row>
    <row r="120" spans="1:23" ht="18" x14ac:dyDescent="0.2">
      <c r="A120" s="1224" t="str">
        <f>UPPER("Patching Summary Table")</f>
        <v>PATCHING SUMMARY TABLE</v>
      </c>
      <c r="B120" s="1224"/>
      <c r="C120" s="1224"/>
      <c r="D120" s="1224"/>
      <c r="E120" s="1224"/>
      <c r="F120" s="1224"/>
      <c r="G120" s="1224"/>
      <c r="H120" s="1224"/>
      <c r="I120" s="1224"/>
      <c r="J120" s="1224"/>
      <c r="K120" s="30"/>
      <c r="L120" s="30"/>
      <c r="M120" s="30"/>
      <c r="N120" s="30"/>
      <c r="O120" s="30"/>
      <c r="P120" s="30"/>
      <c r="Q120" s="30"/>
      <c r="R120" s="30"/>
      <c r="S120" s="30"/>
      <c r="T120" s="30"/>
      <c r="U120" s="30"/>
      <c r="V120" s="30"/>
      <c r="W120" s="30"/>
    </row>
    <row r="121" spans="1:23" ht="7.5" customHeight="1" thickBot="1" x14ac:dyDescent="0.25">
      <c r="A121" s="30"/>
      <c r="B121" s="31"/>
      <c r="C121" s="31"/>
      <c r="D121" s="31"/>
      <c r="E121" s="31"/>
      <c r="F121" s="31"/>
      <c r="G121" s="31"/>
      <c r="H121" s="31"/>
      <c r="I121" s="31"/>
      <c r="J121" s="31"/>
      <c r="K121" s="30"/>
      <c r="L121" s="30"/>
      <c r="M121" s="30"/>
      <c r="N121" s="30"/>
      <c r="O121" s="30"/>
      <c r="P121" s="30"/>
      <c r="Q121" s="30"/>
      <c r="R121" s="30"/>
      <c r="S121" s="30"/>
      <c r="T121" s="30"/>
      <c r="U121" s="30"/>
      <c r="V121" s="30"/>
      <c r="W121" s="30"/>
    </row>
    <row r="122" spans="1:23" x14ac:dyDescent="0.2">
      <c r="A122" s="30"/>
      <c r="B122" s="1310" t="s">
        <v>2</v>
      </c>
      <c r="C122" s="1319" t="s">
        <v>3</v>
      </c>
      <c r="D122" s="1310" t="s">
        <v>39</v>
      </c>
      <c r="E122" s="1308" t="s">
        <v>4</v>
      </c>
      <c r="F122" s="1223" t="s">
        <v>535</v>
      </c>
      <c r="G122" s="261" t="s">
        <v>129</v>
      </c>
      <c r="H122" s="269" t="s">
        <v>102</v>
      </c>
      <c r="I122" s="152" t="s">
        <v>209</v>
      </c>
      <c r="J122" s="31"/>
      <c r="K122" s="30"/>
      <c r="L122" s="30"/>
      <c r="M122" s="30"/>
      <c r="N122" s="30"/>
      <c r="O122" s="1159" t="s">
        <v>537</v>
      </c>
      <c r="P122" s="1305"/>
      <c r="Q122" s="1306"/>
      <c r="R122" s="30"/>
      <c r="S122" s="30"/>
      <c r="T122" s="30"/>
      <c r="U122" s="30"/>
      <c r="V122" s="30"/>
      <c r="W122" s="30"/>
    </row>
    <row r="123" spans="1:23" ht="13.5" thickBot="1" x14ac:dyDescent="0.25">
      <c r="A123" s="30"/>
      <c r="B123" s="1285"/>
      <c r="C123" s="1320"/>
      <c r="D123" s="1285"/>
      <c r="E123" s="1227"/>
      <c r="F123" s="1242"/>
      <c r="G123" s="262" t="s">
        <v>100</v>
      </c>
      <c r="H123" s="270" t="s">
        <v>100</v>
      </c>
      <c r="I123" s="273" t="s">
        <v>210</v>
      </c>
      <c r="J123" s="31"/>
      <c r="K123" s="30"/>
      <c r="L123" s="30"/>
      <c r="M123" s="30"/>
      <c r="N123" s="30"/>
      <c r="O123" s="41" t="str">
        <f>$Q$41</f>
        <v>Partial</v>
      </c>
      <c r="P123" s="42" t="str">
        <f>$Q$42</f>
        <v>Full ( HMA)</v>
      </c>
      <c r="Q123" s="43" t="str">
        <f>$Q$43</f>
        <v>Full (Composite)</v>
      </c>
    </row>
    <row r="124" spans="1:23" x14ac:dyDescent="0.2">
      <c r="A124" s="30"/>
      <c r="B124" s="159"/>
      <c r="C124" s="258"/>
      <c r="D124" s="265"/>
      <c r="E124" s="160"/>
      <c r="F124" s="266"/>
      <c r="G124" s="263">
        <f>ABS(C124-B124)</f>
        <v>0</v>
      </c>
      <c r="H124" s="271"/>
      <c r="I124" s="274">
        <f t="shared" ref="I124:I175" si="14">ROUNDUP((G124*H124)/9,0)</f>
        <v>0</v>
      </c>
      <c r="J124" s="161"/>
      <c r="K124" s="30"/>
      <c r="L124" s="30"/>
      <c r="M124" s="30"/>
      <c r="N124" s="30"/>
      <c r="O124" s="54">
        <f t="shared" ref="O124:O175" si="15">IF($F124=$Q$41,$I124,0)</f>
        <v>0</v>
      </c>
      <c r="P124" s="1069">
        <f t="shared" ref="P124:P156" si="16">IF($F124=$Q$42,$I124,0)</f>
        <v>0</v>
      </c>
      <c r="Q124" s="811">
        <f t="shared" ref="Q124:Q155" si="17">IF($F124=$Q$43,$I124,0)</f>
        <v>0</v>
      </c>
    </row>
    <row r="125" spans="1:23" x14ac:dyDescent="0.2">
      <c r="A125" s="30"/>
      <c r="B125" s="162"/>
      <c r="C125" s="259"/>
      <c r="D125" s="267"/>
      <c r="E125" s="35"/>
      <c r="F125" s="151"/>
      <c r="G125" s="263">
        <f t="shared" ref="G125:G175" si="18">ABS(C125-B125)</f>
        <v>0</v>
      </c>
      <c r="H125" s="65"/>
      <c r="I125" s="275">
        <f t="shared" si="14"/>
        <v>0</v>
      </c>
      <c r="J125" s="161"/>
      <c r="K125" s="30"/>
      <c r="L125" s="30"/>
      <c r="M125" s="30"/>
      <c r="N125" s="30"/>
      <c r="O125" s="71">
        <f t="shared" si="15"/>
        <v>0</v>
      </c>
      <c r="P125" s="1070">
        <f t="shared" si="16"/>
        <v>0</v>
      </c>
      <c r="Q125" s="1071">
        <f t="shared" si="17"/>
        <v>0</v>
      </c>
    </row>
    <row r="126" spans="1:23" x14ac:dyDescent="0.2">
      <c r="A126" s="30"/>
      <c r="B126" s="162"/>
      <c r="C126" s="259"/>
      <c r="D126" s="267"/>
      <c r="E126" s="35"/>
      <c r="F126" s="151"/>
      <c r="G126" s="263">
        <f t="shared" si="18"/>
        <v>0</v>
      </c>
      <c r="H126" s="65"/>
      <c r="I126" s="275">
        <f t="shared" si="14"/>
        <v>0</v>
      </c>
      <c r="J126" s="161"/>
      <c r="K126" s="30"/>
      <c r="L126" s="30"/>
      <c r="M126" s="30"/>
      <c r="N126" s="30"/>
      <c r="O126" s="71">
        <f t="shared" si="15"/>
        <v>0</v>
      </c>
      <c r="P126" s="1070">
        <f t="shared" si="16"/>
        <v>0</v>
      </c>
      <c r="Q126" s="1071">
        <f t="shared" si="17"/>
        <v>0</v>
      </c>
    </row>
    <row r="127" spans="1:23" x14ac:dyDescent="0.2">
      <c r="A127" s="30"/>
      <c r="B127" s="162"/>
      <c r="C127" s="259"/>
      <c r="D127" s="267"/>
      <c r="E127" s="35"/>
      <c r="F127" s="151"/>
      <c r="G127" s="263">
        <f t="shared" si="18"/>
        <v>0</v>
      </c>
      <c r="H127" s="65"/>
      <c r="I127" s="275">
        <f t="shared" si="14"/>
        <v>0</v>
      </c>
      <c r="J127" s="161"/>
      <c r="K127" s="30"/>
      <c r="L127" s="30"/>
      <c r="M127" s="30"/>
      <c r="N127" s="30"/>
      <c r="O127" s="71">
        <f t="shared" si="15"/>
        <v>0</v>
      </c>
      <c r="P127" s="1070">
        <f t="shared" si="16"/>
        <v>0</v>
      </c>
      <c r="Q127" s="1071">
        <f t="shared" si="17"/>
        <v>0</v>
      </c>
    </row>
    <row r="128" spans="1:23" x14ac:dyDescent="0.2">
      <c r="A128" s="30"/>
      <c r="B128" s="162"/>
      <c r="C128" s="259"/>
      <c r="D128" s="267"/>
      <c r="E128" s="35"/>
      <c r="F128" s="151"/>
      <c r="G128" s="263">
        <f t="shared" si="18"/>
        <v>0</v>
      </c>
      <c r="H128" s="65"/>
      <c r="I128" s="275">
        <f t="shared" si="14"/>
        <v>0</v>
      </c>
      <c r="J128" s="161"/>
      <c r="K128" s="30"/>
      <c r="L128" s="30"/>
      <c r="M128" s="30"/>
      <c r="N128" s="30"/>
      <c r="O128" s="71">
        <f t="shared" si="15"/>
        <v>0</v>
      </c>
      <c r="P128" s="1070">
        <f t="shared" si="16"/>
        <v>0</v>
      </c>
      <c r="Q128" s="1071">
        <f t="shared" si="17"/>
        <v>0</v>
      </c>
    </row>
    <row r="129" spans="1:17" x14ac:dyDescent="0.2">
      <c r="A129" s="30"/>
      <c r="B129" s="162"/>
      <c r="C129" s="259"/>
      <c r="D129" s="267"/>
      <c r="E129" s="35"/>
      <c r="F129" s="151"/>
      <c r="G129" s="263">
        <f t="shared" si="18"/>
        <v>0</v>
      </c>
      <c r="H129" s="65"/>
      <c r="I129" s="275">
        <f t="shared" si="14"/>
        <v>0</v>
      </c>
      <c r="J129" s="161"/>
      <c r="K129" s="30"/>
      <c r="L129" s="30"/>
      <c r="M129" s="30"/>
      <c r="N129" s="30"/>
      <c r="O129" s="71">
        <f t="shared" si="15"/>
        <v>0</v>
      </c>
      <c r="P129" s="1070">
        <f t="shared" si="16"/>
        <v>0</v>
      </c>
      <c r="Q129" s="1071">
        <f t="shared" si="17"/>
        <v>0</v>
      </c>
    </row>
    <row r="130" spans="1:17" x14ac:dyDescent="0.2">
      <c r="A130" s="30"/>
      <c r="B130" s="162"/>
      <c r="C130" s="259"/>
      <c r="D130" s="267"/>
      <c r="E130" s="35"/>
      <c r="F130" s="151"/>
      <c r="G130" s="263">
        <f t="shared" si="18"/>
        <v>0</v>
      </c>
      <c r="H130" s="65"/>
      <c r="I130" s="275">
        <f t="shared" si="14"/>
        <v>0</v>
      </c>
      <c r="J130" s="161"/>
      <c r="K130" s="30"/>
      <c r="L130" s="30"/>
      <c r="M130" s="30"/>
      <c r="N130" s="30"/>
      <c r="O130" s="71">
        <f t="shared" si="15"/>
        <v>0</v>
      </c>
      <c r="P130" s="1070">
        <f t="shared" si="16"/>
        <v>0</v>
      </c>
      <c r="Q130" s="1071">
        <f t="shared" si="17"/>
        <v>0</v>
      </c>
    </row>
    <row r="131" spans="1:17" x14ac:dyDescent="0.2">
      <c r="A131" s="30"/>
      <c r="B131" s="162"/>
      <c r="C131" s="259"/>
      <c r="D131" s="267"/>
      <c r="E131" s="35"/>
      <c r="F131" s="151"/>
      <c r="G131" s="263">
        <f t="shared" si="18"/>
        <v>0</v>
      </c>
      <c r="H131" s="65"/>
      <c r="I131" s="275">
        <f t="shared" si="14"/>
        <v>0</v>
      </c>
      <c r="J131" s="161"/>
      <c r="K131" s="30"/>
      <c r="L131" s="30"/>
      <c r="M131" s="30"/>
      <c r="N131" s="30"/>
      <c r="O131" s="71">
        <f t="shared" si="15"/>
        <v>0</v>
      </c>
      <c r="P131" s="1070">
        <f t="shared" si="16"/>
        <v>0</v>
      </c>
      <c r="Q131" s="1071">
        <f t="shared" si="17"/>
        <v>0</v>
      </c>
    </row>
    <row r="132" spans="1:17" x14ac:dyDescent="0.2">
      <c r="A132" s="30"/>
      <c r="B132" s="162"/>
      <c r="C132" s="259"/>
      <c r="D132" s="267"/>
      <c r="E132" s="35"/>
      <c r="F132" s="151"/>
      <c r="G132" s="263">
        <f t="shared" si="18"/>
        <v>0</v>
      </c>
      <c r="H132" s="65"/>
      <c r="I132" s="275">
        <f t="shared" si="14"/>
        <v>0</v>
      </c>
      <c r="J132" s="161"/>
      <c r="K132" s="30"/>
      <c r="L132" s="30"/>
      <c r="M132" s="30"/>
      <c r="N132" s="30"/>
      <c r="O132" s="71">
        <f t="shared" si="15"/>
        <v>0</v>
      </c>
      <c r="P132" s="1070">
        <f t="shared" si="16"/>
        <v>0</v>
      </c>
      <c r="Q132" s="1071">
        <f t="shared" si="17"/>
        <v>0</v>
      </c>
    </row>
    <row r="133" spans="1:17" x14ac:dyDescent="0.2">
      <c r="A133" s="30"/>
      <c r="B133" s="162"/>
      <c r="C133" s="259"/>
      <c r="D133" s="267"/>
      <c r="E133" s="35"/>
      <c r="F133" s="151"/>
      <c r="G133" s="263">
        <f t="shared" si="18"/>
        <v>0</v>
      </c>
      <c r="H133" s="65"/>
      <c r="I133" s="275">
        <f t="shared" si="14"/>
        <v>0</v>
      </c>
      <c r="J133" s="161"/>
      <c r="K133" s="30"/>
      <c r="L133" s="30"/>
      <c r="M133" s="30"/>
      <c r="N133" s="30"/>
      <c r="O133" s="71">
        <f t="shared" si="15"/>
        <v>0</v>
      </c>
      <c r="P133" s="1070">
        <f t="shared" si="16"/>
        <v>0</v>
      </c>
      <c r="Q133" s="1071">
        <f t="shared" si="17"/>
        <v>0</v>
      </c>
    </row>
    <row r="134" spans="1:17" x14ac:dyDescent="0.2">
      <c r="A134" s="30"/>
      <c r="B134" s="162"/>
      <c r="C134" s="259"/>
      <c r="D134" s="267"/>
      <c r="E134" s="35"/>
      <c r="F134" s="151"/>
      <c r="G134" s="263">
        <f t="shared" si="18"/>
        <v>0</v>
      </c>
      <c r="H134" s="65"/>
      <c r="I134" s="275">
        <f t="shared" si="14"/>
        <v>0</v>
      </c>
      <c r="J134" s="161"/>
      <c r="K134" s="30"/>
      <c r="L134" s="30"/>
      <c r="M134" s="30"/>
      <c r="N134" s="30"/>
      <c r="O134" s="71">
        <f t="shared" si="15"/>
        <v>0</v>
      </c>
      <c r="P134" s="1070">
        <f t="shared" si="16"/>
        <v>0</v>
      </c>
      <c r="Q134" s="1071">
        <f t="shared" si="17"/>
        <v>0</v>
      </c>
    </row>
    <row r="135" spans="1:17" x14ac:dyDescent="0.2">
      <c r="A135" s="30"/>
      <c r="B135" s="162"/>
      <c r="C135" s="259"/>
      <c r="D135" s="267"/>
      <c r="E135" s="35"/>
      <c r="F135" s="151"/>
      <c r="G135" s="263">
        <f t="shared" si="18"/>
        <v>0</v>
      </c>
      <c r="H135" s="65"/>
      <c r="I135" s="275">
        <f t="shared" si="14"/>
        <v>0</v>
      </c>
      <c r="J135" s="161"/>
      <c r="K135" s="30"/>
      <c r="L135" s="30"/>
      <c r="M135" s="30"/>
      <c r="N135" s="30"/>
      <c r="O135" s="71">
        <f t="shared" si="15"/>
        <v>0</v>
      </c>
      <c r="P135" s="1070">
        <f t="shared" si="16"/>
        <v>0</v>
      </c>
      <c r="Q135" s="1071">
        <f t="shared" si="17"/>
        <v>0</v>
      </c>
    </row>
    <row r="136" spans="1:17" x14ac:dyDescent="0.2">
      <c r="A136" s="30"/>
      <c r="B136" s="162"/>
      <c r="C136" s="259"/>
      <c r="D136" s="267"/>
      <c r="E136" s="35"/>
      <c r="F136" s="151"/>
      <c r="G136" s="263">
        <f t="shared" si="18"/>
        <v>0</v>
      </c>
      <c r="H136" s="65"/>
      <c r="I136" s="275">
        <f t="shared" si="14"/>
        <v>0</v>
      </c>
      <c r="J136" s="161"/>
      <c r="K136" s="30"/>
      <c r="L136" s="30"/>
      <c r="M136" s="30"/>
      <c r="N136" s="30"/>
      <c r="O136" s="71">
        <f t="shared" si="15"/>
        <v>0</v>
      </c>
      <c r="P136" s="1070">
        <f t="shared" si="16"/>
        <v>0</v>
      </c>
      <c r="Q136" s="1071">
        <f t="shared" si="17"/>
        <v>0</v>
      </c>
    </row>
    <row r="137" spans="1:17" x14ac:dyDescent="0.2">
      <c r="A137" s="30"/>
      <c r="B137" s="162"/>
      <c r="C137" s="259"/>
      <c r="D137" s="267"/>
      <c r="E137" s="35"/>
      <c r="F137" s="151"/>
      <c r="G137" s="263">
        <f t="shared" si="18"/>
        <v>0</v>
      </c>
      <c r="H137" s="65"/>
      <c r="I137" s="275">
        <f t="shared" si="14"/>
        <v>0</v>
      </c>
      <c r="J137" s="161"/>
      <c r="K137" s="30"/>
      <c r="L137" s="30"/>
      <c r="M137" s="30"/>
      <c r="N137" s="30"/>
      <c r="O137" s="71">
        <f t="shared" si="15"/>
        <v>0</v>
      </c>
      <c r="P137" s="1070">
        <f t="shared" si="16"/>
        <v>0</v>
      </c>
      <c r="Q137" s="1071">
        <f t="shared" si="17"/>
        <v>0</v>
      </c>
    </row>
    <row r="138" spans="1:17" x14ac:dyDescent="0.2">
      <c r="A138" s="30"/>
      <c r="B138" s="162"/>
      <c r="C138" s="259"/>
      <c r="D138" s="267"/>
      <c r="E138" s="35"/>
      <c r="F138" s="151"/>
      <c r="G138" s="263">
        <f t="shared" si="18"/>
        <v>0</v>
      </c>
      <c r="H138" s="65"/>
      <c r="I138" s="275">
        <f t="shared" si="14"/>
        <v>0</v>
      </c>
      <c r="J138" s="161"/>
      <c r="K138" s="30"/>
      <c r="L138" s="30"/>
      <c r="M138" s="30"/>
      <c r="N138" s="30"/>
      <c r="O138" s="71">
        <f t="shared" si="15"/>
        <v>0</v>
      </c>
      <c r="P138" s="1070">
        <f t="shared" si="16"/>
        <v>0</v>
      </c>
      <c r="Q138" s="1071">
        <f t="shared" si="17"/>
        <v>0</v>
      </c>
    </row>
    <row r="139" spans="1:17" x14ac:dyDescent="0.2">
      <c r="A139" s="30"/>
      <c r="B139" s="162"/>
      <c r="C139" s="259"/>
      <c r="D139" s="267"/>
      <c r="E139" s="35"/>
      <c r="F139" s="151"/>
      <c r="G139" s="263">
        <f t="shared" si="18"/>
        <v>0</v>
      </c>
      <c r="H139" s="65"/>
      <c r="I139" s="275">
        <f t="shared" si="14"/>
        <v>0</v>
      </c>
      <c r="J139" s="161"/>
      <c r="K139" s="30"/>
      <c r="L139" s="30"/>
      <c r="M139" s="30"/>
      <c r="N139" s="30"/>
      <c r="O139" s="71">
        <f t="shared" si="15"/>
        <v>0</v>
      </c>
      <c r="P139" s="1070">
        <f t="shared" si="16"/>
        <v>0</v>
      </c>
      <c r="Q139" s="1071">
        <f t="shared" si="17"/>
        <v>0</v>
      </c>
    </row>
    <row r="140" spans="1:17" x14ac:dyDescent="0.2">
      <c r="A140" s="30"/>
      <c r="B140" s="162"/>
      <c r="C140" s="259"/>
      <c r="D140" s="267"/>
      <c r="E140" s="35"/>
      <c r="F140" s="151"/>
      <c r="G140" s="263">
        <f t="shared" si="18"/>
        <v>0</v>
      </c>
      <c r="H140" s="65"/>
      <c r="I140" s="275">
        <f t="shared" si="14"/>
        <v>0</v>
      </c>
      <c r="J140" s="161"/>
      <c r="K140" s="30"/>
      <c r="L140" s="30"/>
      <c r="M140" s="30"/>
      <c r="N140" s="30"/>
      <c r="O140" s="71">
        <f t="shared" si="15"/>
        <v>0</v>
      </c>
      <c r="P140" s="1070">
        <f t="shared" si="16"/>
        <v>0</v>
      </c>
      <c r="Q140" s="1071">
        <f t="shared" si="17"/>
        <v>0</v>
      </c>
    </row>
    <row r="141" spans="1:17" x14ac:dyDescent="0.2">
      <c r="A141" s="30"/>
      <c r="B141" s="162"/>
      <c r="C141" s="259"/>
      <c r="D141" s="267"/>
      <c r="E141" s="35"/>
      <c r="F141" s="151"/>
      <c r="G141" s="263">
        <f t="shared" si="18"/>
        <v>0</v>
      </c>
      <c r="H141" s="65"/>
      <c r="I141" s="275">
        <f t="shared" si="14"/>
        <v>0</v>
      </c>
      <c r="J141" s="161"/>
      <c r="K141" s="30"/>
      <c r="L141" s="30"/>
      <c r="M141" s="30"/>
      <c r="N141" s="30"/>
      <c r="O141" s="71">
        <f t="shared" si="15"/>
        <v>0</v>
      </c>
      <c r="P141" s="1070">
        <f t="shared" si="16"/>
        <v>0</v>
      </c>
      <c r="Q141" s="1071">
        <f t="shared" si="17"/>
        <v>0</v>
      </c>
    </row>
    <row r="142" spans="1:17" x14ac:dyDescent="0.2">
      <c r="A142" s="30"/>
      <c r="B142" s="162"/>
      <c r="C142" s="259"/>
      <c r="D142" s="267"/>
      <c r="E142" s="35"/>
      <c r="F142" s="151"/>
      <c r="G142" s="263">
        <f t="shared" si="18"/>
        <v>0</v>
      </c>
      <c r="H142" s="65"/>
      <c r="I142" s="275">
        <f t="shared" si="14"/>
        <v>0</v>
      </c>
      <c r="J142" s="161"/>
      <c r="K142" s="30"/>
      <c r="L142" s="30"/>
      <c r="M142" s="30"/>
      <c r="N142" s="30"/>
      <c r="O142" s="71">
        <f t="shared" si="15"/>
        <v>0</v>
      </c>
      <c r="P142" s="1070">
        <f t="shared" si="16"/>
        <v>0</v>
      </c>
      <c r="Q142" s="1071">
        <f t="shared" si="17"/>
        <v>0</v>
      </c>
    </row>
    <row r="143" spans="1:17" x14ac:dyDescent="0.2">
      <c r="A143" s="30"/>
      <c r="B143" s="162"/>
      <c r="C143" s="259"/>
      <c r="D143" s="267"/>
      <c r="E143" s="35"/>
      <c r="F143" s="151"/>
      <c r="G143" s="263">
        <f t="shared" si="18"/>
        <v>0</v>
      </c>
      <c r="H143" s="65"/>
      <c r="I143" s="275">
        <f t="shared" si="14"/>
        <v>0</v>
      </c>
      <c r="J143" s="161"/>
      <c r="K143" s="30"/>
      <c r="L143" s="30"/>
      <c r="M143" s="30"/>
      <c r="N143" s="30"/>
      <c r="O143" s="71">
        <f t="shared" si="15"/>
        <v>0</v>
      </c>
      <c r="P143" s="1070">
        <f t="shared" si="16"/>
        <v>0</v>
      </c>
      <c r="Q143" s="1071">
        <f t="shared" si="17"/>
        <v>0</v>
      </c>
    </row>
    <row r="144" spans="1:17" x14ac:dyDescent="0.2">
      <c r="A144" s="30"/>
      <c r="B144" s="162"/>
      <c r="C144" s="259"/>
      <c r="D144" s="267"/>
      <c r="E144" s="35"/>
      <c r="F144" s="151"/>
      <c r="G144" s="263">
        <f t="shared" si="18"/>
        <v>0</v>
      </c>
      <c r="H144" s="65"/>
      <c r="I144" s="275">
        <f t="shared" si="14"/>
        <v>0</v>
      </c>
      <c r="J144" s="161"/>
      <c r="K144" s="30"/>
      <c r="L144" s="30"/>
      <c r="M144" s="30"/>
      <c r="N144" s="30"/>
      <c r="O144" s="71">
        <f t="shared" si="15"/>
        <v>0</v>
      </c>
      <c r="P144" s="1070">
        <f t="shared" si="16"/>
        <v>0</v>
      </c>
      <c r="Q144" s="1071">
        <f t="shared" si="17"/>
        <v>0</v>
      </c>
    </row>
    <row r="145" spans="1:17" x14ac:dyDescent="0.2">
      <c r="A145" s="30"/>
      <c r="B145" s="162"/>
      <c r="C145" s="259"/>
      <c r="D145" s="267"/>
      <c r="E145" s="35"/>
      <c r="F145" s="151"/>
      <c r="G145" s="263">
        <f t="shared" si="18"/>
        <v>0</v>
      </c>
      <c r="H145" s="65"/>
      <c r="I145" s="275">
        <f t="shared" si="14"/>
        <v>0</v>
      </c>
      <c r="J145" s="161"/>
      <c r="K145" s="30"/>
      <c r="L145" s="30"/>
      <c r="M145" s="30"/>
      <c r="N145" s="30"/>
      <c r="O145" s="71">
        <f t="shared" si="15"/>
        <v>0</v>
      </c>
      <c r="P145" s="1070">
        <f t="shared" si="16"/>
        <v>0</v>
      </c>
      <c r="Q145" s="1071">
        <f t="shared" si="17"/>
        <v>0</v>
      </c>
    </row>
    <row r="146" spans="1:17" x14ac:dyDescent="0.2">
      <c r="A146" s="30"/>
      <c r="B146" s="162"/>
      <c r="C146" s="259"/>
      <c r="D146" s="267"/>
      <c r="E146" s="35"/>
      <c r="F146" s="151"/>
      <c r="G146" s="263">
        <f t="shared" si="18"/>
        <v>0</v>
      </c>
      <c r="H146" s="65"/>
      <c r="I146" s="275">
        <f t="shared" si="14"/>
        <v>0</v>
      </c>
      <c r="J146" s="161"/>
      <c r="K146" s="30"/>
      <c r="L146" s="30"/>
      <c r="M146" s="30"/>
      <c r="N146" s="30"/>
      <c r="O146" s="71">
        <f t="shared" si="15"/>
        <v>0</v>
      </c>
      <c r="P146" s="1070">
        <f t="shared" si="16"/>
        <v>0</v>
      </c>
      <c r="Q146" s="1071">
        <f t="shared" si="17"/>
        <v>0</v>
      </c>
    </row>
    <row r="147" spans="1:17" x14ac:dyDescent="0.2">
      <c r="A147" s="30"/>
      <c r="B147" s="162"/>
      <c r="C147" s="259"/>
      <c r="D147" s="267"/>
      <c r="E147" s="35"/>
      <c r="F147" s="151"/>
      <c r="G147" s="263">
        <f t="shared" si="18"/>
        <v>0</v>
      </c>
      <c r="H147" s="65"/>
      <c r="I147" s="275">
        <f t="shared" si="14"/>
        <v>0</v>
      </c>
      <c r="J147" s="161"/>
      <c r="K147" s="30"/>
      <c r="L147" s="30"/>
      <c r="M147" s="30"/>
      <c r="N147" s="30"/>
      <c r="O147" s="71">
        <f t="shared" si="15"/>
        <v>0</v>
      </c>
      <c r="P147" s="1070">
        <f t="shared" si="16"/>
        <v>0</v>
      </c>
      <c r="Q147" s="1071">
        <f t="shared" si="17"/>
        <v>0</v>
      </c>
    </row>
    <row r="148" spans="1:17" x14ac:dyDescent="0.2">
      <c r="A148" s="30"/>
      <c r="B148" s="162"/>
      <c r="C148" s="259"/>
      <c r="D148" s="267"/>
      <c r="E148" s="35"/>
      <c r="F148" s="151"/>
      <c r="G148" s="263">
        <f t="shared" si="18"/>
        <v>0</v>
      </c>
      <c r="H148" s="65"/>
      <c r="I148" s="275">
        <f t="shared" si="14"/>
        <v>0</v>
      </c>
      <c r="J148" s="161"/>
      <c r="K148" s="30"/>
      <c r="L148" s="30"/>
      <c r="M148" s="30"/>
      <c r="N148" s="30"/>
      <c r="O148" s="71">
        <f t="shared" si="15"/>
        <v>0</v>
      </c>
      <c r="P148" s="1070">
        <f t="shared" si="16"/>
        <v>0</v>
      </c>
      <c r="Q148" s="1071">
        <f t="shared" si="17"/>
        <v>0</v>
      </c>
    </row>
    <row r="149" spans="1:17" x14ac:dyDescent="0.2">
      <c r="A149" s="30"/>
      <c r="B149" s="162"/>
      <c r="C149" s="259"/>
      <c r="D149" s="267"/>
      <c r="E149" s="35"/>
      <c r="F149" s="151"/>
      <c r="G149" s="263">
        <f t="shared" si="18"/>
        <v>0</v>
      </c>
      <c r="H149" s="65"/>
      <c r="I149" s="275">
        <f t="shared" si="14"/>
        <v>0</v>
      </c>
      <c r="J149" s="161"/>
      <c r="K149" s="30"/>
      <c r="L149" s="30"/>
      <c r="M149" s="30"/>
      <c r="N149" s="30"/>
      <c r="O149" s="71">
        <f t="shared" si="15"/>
        <v>0</v>
      </c>
      <c r="P149" s="1070">
        <f t="shared" si="16"/>
        <v>0</v>
      </c>
      <c r="Q149" s="1071">
        <f t="shared" si="17"/>
        <v>0</v>
      </c>
    </row>
    <row r="150" spans="1:17" x14ac:dyDescent="0.2">
      <c r="A150" s="30"/>
      <c r="B150" s="162"/>
      <c r="C150" s="259"/>
      <c r="D150" s="267"/>
      <c r="E150" s="35"/>
      <c r="F150" s="151"/>
      <c r="G150" s="263">
        <f t="shared" si="18"/>
        <v>0</v>
      </c>
      <c r="H150" s="65"/>
      <c r="I150" s="275">
        <f t="shared" si="14"/>
        <v>0</v>
      </c>
      <c r="J150" s="161"/>
      <c r="K150" s="30"/>
      <c r="L150" s="30"/>
      <c r="M150" s="30"/>
      <c r="N150" s="30"/>
      <c r="O150" s="71">
        <f t="shared" si="15"/>
        <v>0</v>
      </c>
      <c r="P150" s="1070">
        <f t="shared" si="16"/>
        <v>0</v>
      </c>
      <c r="Q150" s="1071">
        <f t="shared" si="17"/>
        <v>0</v>
      </c>
    </row>
    <row r="151" spans="1:17" x14ac:dyDescent="0.2">
      <c r="A151" s="30"/>
      <c r="B151" s="162"/>
      <c r="C151" s="259"/>
      <c r="D151" s="267"/>
      <c r="E151" s="35"/>
      <c r="F151" s="151"/>
      <c r="G151" s="263">
        <f t="shared" si="18"/>
        <v>0</v>
      </c>
      <c r="H151" s="65"/>
      <c r="I151" s="275">
        <f t="shared" si="14"/>
        <v>0</v>
      </c>
      <c r="J151" s="161"/>
      <c r="K151" s="30"/>
      <c r="L151" s="30"/>
      <c r="M151" s="30"/>
      <c r="N151" s="30"/>
      <c r="O151" s="71">
        <f t="shared" si="15"/>
        <v>0</v>
      </c>
      <c r="P151" s="1070">
        <f t="shared" si="16"/>
        <v>0</v>
      </c>
      <c r="Q151" s="1071">
        <f t="shared" si="17"/>
        <v>0</v>
      </c>
    </row>
    <row r="152" spans="1:17" x14ac:dyDescent="0.2">
      <c r="A152" s="30"/>
      <c r="B152" s="162"/>
      <c r="C152" s="259"/>
      <c r="D152" s="267"/>
      <c r="E152" s="35"/>
      <c r="F152" s="151"/>
      <c r="G152" s="263">
        <f t="shared" si="18"/>
        <v>0</v>
      </c>
      <c r="H152" s="65"/>
      <c r="I152" s="275">
        <f t="shared" si="14"/>
        <v>0</v>
      </c>
      <c r="J152" s="161"/>
      <c r="K152" s="30"/>
      <c r="L152" s="30"/>
      <c r="M152" s="30"/>
      <c r="N152" s="30"/>
      <c r="O152" s="71">
        <f t="shared" si="15"/>
        <v>0</v>
      </c>
      <c r="P152" s="1070">
        <f t="shared" si="16"/>
        <v>0</v>
      </c>
      <c r="Q152" s="1071">
        <f t="shared" si="17"/>
        <v>0</v>
      </c>
    </row>
    <row r="153" spans="1:17" x14ac:dyDescent="0.2">
      <c r="A153" s="30"/>
      <c r="B153" s="162"/>
      <c r="C153" s="259"/>
      <c r="D153" s="267"/>
      <c r="E153" s="35"/>
      <c r="F153" s="151"/>
      <c r="G153" s="263">
        <f t="shared" si="18"/>
        <v>0</v>
      </c>
      <c r="H153" s="65"/>
      <c r="I153" s="275">
        <f t="shared" si="14"/>
        <v>0</v>
      </c>
      <c r="J153" s="161"/>
      <c r="K153" s="30"/>
      <c r="L153" s="30"/>
      <c r="M153" s="30"/>
      <c r="N153" s="30"/>
      <c r="O153" s="71">
        <f t="shared" si="15"/>
        <v>0</v>
      </c>
      <c r="P153" s="1070">
        <f t="shared" si="16"/>
        <v>0</v>
      </c>
      <c r="Q153" s="1071">
        <f t="shared" si="17"/>
        <v>0</v>
      </c>
    </row>
    <row r="154" spans="1:17" x14ac:dyDescent="0.2">
      <c r="A154" s="30"/>
      <c r="B154" s="162"/>
      <c r="C154" s="259"/>
      <c r="D154" s="267"/>
      <c r="E154" s="35"/>
      <c r="F154" s="151"/>
      <c r="G154" s="263">
        <f t="shared" si="18"/>
        <v>0</v>
      </c>
      <c r="H154" s="65"/>
      <c r="I154" s="275">
        <f t="shared" si="14"/>
        <v>0</v>
      </c>
      <c r="J154" s="161"/>
      <c r="K154" s="30"/>
      <c r="L154" s="30"/>
      <c r="M154" s="30"/>
      <c r="N154" s="30"/>
      <c r="O154" s="71">
        <f t="shared" si="15"/>
        <v>0</v>
      </c>
      <c r="P154" s="1070">
        <f t="shared" si="16"/>
        <v>0</v>
      </c>
      <c r="Q154" s="1071">
        <f t="shared" si="17"/>
        <v>0</v>
      </c>
    </row>
    <row r="155" spans="1:17" x14ac:dyDescent="0.2">
      <c r="A155" s="30"/>
      <c r="B155" s="162"/>
      <c r="C155" s="259"/>
      <c r="D155" s="267"/>
      <c r="E155" s="35"/>
      <c r="F155" s="151"/>
      <c r="G155" s="263">
        <f t="shared" si="18"/>
        <v>0</v>
      </c>
      <c r="H155" s="65"/>
      <c r="I155" s="275">
        <f t="shared" si="14"/>
        <v>0</v>
      </c>
      <c r="J155" s="161"/>
      <c r="K155" s="30"/>
      <c r="L155" s="30"/>
      <c r="M155" s="30"/>
      <c r="N155" s="30"/>
      <c r="O155" s="71">
        <f t="shared" si="15"/>
        <v>0</v>
      </c>
      <c r="P155" s="1070">
        <f t="shared" si="16"/>
        <v>0</v>
      </c>
      <c r="Q155" s="1071">
        <f t="shared" si="17"/>
        <v>0</v>
      </c>
    </row>
    <row r="156" spans="1:17" x14ac:dyDescent="0.2">
      <c r="A156" s="30"/>
      <c r="B156" s="162"/>
      <c r="C156" s="259"/>
      <c r="D156" s="267"/>
      <c r="E156" s="35"/>
      <c r="F156" s="151"/>
      <c r="G156" s="263">
        <f t="shared" si="18"/>
        <v>0</v>
      </c>
      <c r="H156" s="65"/>
      <c r="I156" s="275">
        <f t="shared" si="14"/>
        <v>0</v>
      </c>
      <c r="J156" s="161"/>
      <c r="K156" s="30"/>
      <c r="L156" s="30"/>
      <c r="M156" s="30"/>
      <c r="N156" s="30"/>
      <c r="O156" s="71">
        <f t="shared" si="15"/>
        <v>0</v>
      </c>
      <c r="P156" s="1070">
        <f t="shared" si="16"/>
        <v>0</v>
      </c>
      <c r="Q156" s="1071">
        <f t="shared" ref="Q156:Q175" si="19">IF($F156=$Q$43,$I156,0)</f>
        <v>0</v>
      </c>
    </row>
    <row r="157" spans="1:17" x14ac:dyDescent="0.2">
      <c r="A157" s="30"/>
      <c r="B157" s="162"/>
      <c r="C157" s="259"/>
      <c r="D157" s="267"/>
      <c r="E157" s="35"/>
      <c r="F157" s="151"/>
      <c r="G157" s="263">
        <f t="shared" si="18"/>
        <v>0</v>
      </c>
      <c r="H157" s="65"/>
      <c r="I157" s="275">
        <f t="shared" si="14"/>
        <v>0</v>
      </c>
      <c r="J157" s="161"/>
      <c r="K157" s="30"/>
      <c r="L157" s="30"/>
      <c r="M157" s="30"/>
      <c r="N157" s="30"/>
      <c r="O157" s="71">
        <f t="shared" si="15"/>
        <v>0</v>
      </c>
      <c r="P157" s="1070">
        <f t="shared" ref="P157:P175" si="20">IF($F157=$Q$42,$I157,0)</f>
        <v>0</v>
      </c>
      <c r="Q157" s="1071">
        <f t="shared" si="19"/>
        <v>0</v>
      </c>
    </row>
    <row r="158" spans="1:17" x14ac:dyDescent="0.2">
      <c r="A158" s="30"/>
      <c r="B158" s="162"/>
      <c r="C158" s="259"/>
      <c r="D158" s="267"/>
      <c r="E158" s="35"/>
      <c r="F158" s="151"/>
      <c r="G158" s="263">
        <f t="shared" si="18"/>
        <v>0</v>
      </c>
      <c r="H158" s="65"/>
      <c r="I158" s="275">
        <f t="shared" si="14"/>
        <v>0</v>
      </c>
      <c r="J158" s="161"/>
      <c r="K158" s="30"/>
      <c r="L158" s="30"/>
      <c r="M158" s="30"/>
      <c r="N158" s="30"/>
      <c r="O158" s="71">
        <f t="shared" si="15"/>
        <v>0</v>
      </c>
      <c r="P158" s="1070">
        <f t="shared" si="20"/>
        <v>0</v>
      </c>
      <c r="Q158" s="1071">
        <f t="shared" si="19"/>
        <v>0</v>
      </c>
    </row>
    <row r="159" spans="1:17" x14ac:dyDescent="0.2">
      <c r="A159" s="30"/>
      <c r="B159" s="162"/>
      <c r="C159" s="259"/>
      <c r="D159" s="267"/>
      <c r="E159" s="35"/>
      <c r="F159" s="151"/>
      <c r="G159" s="263">
        <f t="shared" si="18"/>
        <v>0</v>
      </c>
      <c r="H159" s="65"/>
      <c r="I159" s="275">
        <f t="shared" si="14"/>
        <v>0</v>
      </c>
      <c r="J159" s="161"/>
      <c r="K159" s="30"/>
      <c r="L159" s="30"/>
      <c r="M159" s="30"/>
      <c r="N159" s="30"/>
      <c r="O159" s="71">
        <f t="shared" si="15"/>
        <v>0</v>
      </c>
      <c r="P159" s="1070">
        <f t="shared" si="20"/>
        <v>0</v>
      </c>
      <c r="Q159" s="1071">
        <f t="shared" si="19"/>
        <v>0</v>
      </c>
    </row>
    <row r="160" spans="1:17" x14ac:dyDescent="0.2">
      <c r="A160" s="30"/>
      <c r="B160" s="162"/>
      <c r="C160" s="259"/>
      <c r="D160" s="267"/>
      <c r="E160" s="35"/>
      <c r="F160" s="151"/>
      <c r="G160" s="263">
        <f t="shared" si="18"/>
        <v>0</v>
      </c>
      <c r="H160" s="65"/>
      <c r="I160" s="275">
        <f t="shared" si="14"/>
        <v>0</v>
      </c>
      <c r="J160" s="161"/>
      <c r="K160" s="30"/>
      <c r="L160" s="30"/>
      <c r="M160" s="30"/>
      <c r="N160" s="30"/>
      <c r="O160" s="71">
        <f t="shared" si="15"/>
        <v>0</v>
      </c>
      <c r="P160" s="1070">
        <f t="shared" si="20"/>
        <v>0</v>
      </c>
      <c r="Q160" s="1071">
        <f t="shared" si="19"/>
        <v>0</v>
      </c>
    </row>
    <row r="161" spans="1:17" x14ac:dyDescent="0.2">
      <c r="A161" s="30"/>
      <c r="B161" s="162"/>
      <c r="C161" s="259"/>
      <c r="D161" s="267"/>
      <c r="E161" s="35"/>
      <c r="F161" s="151"/>
      <c r="G161" s="263">
        <f t="shared" si="18"/>
        <v>0</v>
      </c>
      <c r="H161" s="65"/>
      <c r="I161" s="275">
        <f t="shared" si="14"/>
        <v>0</v>
      </c>
      <c r="J161" s="161"/>
      <c r="K161" s="30"/>
      <c r="L161" s="30"/>
      <c r="M161" s="30"/>
      <c r="N161" s="30"/>
      <c r="O161" s="71">
        <f t="shared" si="15"/>
        <v>0</v>
      </c>
      <c r="P161" s="1070">
        <f t="shared" si="20"/>
        <v>0</v>
      </c>
      <c r="Q161" s="1071">
        <f t="shared" si="19"/>
        <v>0</v>
      </c>
    </row>
    <row r="162" spans="1:17" x14ac:dyDescent="0.2">
      <c r="A162" s="30"/>
      <c r="B162" s="162"/>
      <c r="C162" s="259"/>
      <c r="D162" s="267"/>
      <c r="E162" s="35"/>
      <c r="F162" s="151"/>
      <c r="G162" s="263">
        <f t="shared" si="18"/>
        <v>0</v>
      </c>
      <c r="H162" s="65"/>
      <c r="I162" s="275">
        <f t="shared" si="14"/>
        <v>0</v>
      </c>
      <c r="J162" s="161"/>
      <c r="K162" s="30"/>
      <c r="L162" s="30"/>
      <c r="M162" s="30"/>
      <c r="N162" s="30"/>
      <c r="O162" s="71">
        <f t="shared" si="15"/>
        <v>0</v>
      </c>
      <c r="P162" s="1070">
        <f t="shared" si="20"/>
        <v>0</v>
      </c>
      <c r="Q162" s="1071">
        <f t="shared" si="19"/>
        <v>0</v>
      </c>
    </row>
    <row r="163" spans="1:17" x14ac:dyDescent="0.2">
      <c r="A163" s="30"/>
      <c r="B163" s="162"/>
      <c r="C163" s="259"/>
      <c r="D163" s="267"/>
      <c r="E163" s="35"/>
      <c r="F163" s="151"/>
      <c r="G163" s="263">
        <f t="shared" si="18"/>
        <v>0</v>
      </c>
      <c r="H163" s="65"/>
      <c r="I163" s="275">
        <f t="shared" si="14"/>
        <v>0</v>
      </c>
      <c r="J163" s="161"/>
      <c r="K163" s="30"/>
      <c r="L163" s="30"/>
      <c r="M163" s="30"/>
      <c r="N163" s="30"/>
      <c r="O163" s="71">
        <f t="shared" si="15"/>
        <v>0</v>
      </c>
      <c r="P163" s="1070">
        <f t="shared" si="20"/>
        <v>0</v>
      </c>
      <c r="Q163" s="1071">
        <f t="shared" si="19"/>
        <v>0</v>
      </c>
    </row>
    <row r="164" spans="1:17" x14ac:dyDescent="0.2">
      <c r="A164" s="30"/>
      <c r="B164" s="162"/>
      <c r="C164" s="259"/>
      <c r="D164" s="267"/>
      <c r="E164" s="35"/>
      <c r="F164" s="151"/>
      <c r="G164" s="263">
        <f t="shared" si="18"/>
        <v>0</v>
      </c>
      <c r="H164" s="65"/>
      <c r="I164" s="275">
        <f t="shared" si="14"/>
        <v>0</v>
      </c>
      <c r="J164" s="161"/>
      <c r="K164" s="30"/>
      <c r="L164" s="30"/>
      <c r="M164" s="30"/>
      <c r="N164" s="30"/>
      <c r="O164" s="71">
        <f t="shared" si="15"/>
        <v>0</v>
      </c>
      <c r="P164" s="1070">
        <f t="shared" si="20"/>
        <v>0</v>
      </c>
      <c r="Q164" s="1071">
        <f t="shared" si="19"/>
        <v>0</v>
      </c>
    </row>
    <row r="165" spans="1:17" x14ac:dyDescent="0.2">
      <c r="A165" s="30"/>
      <c r="B165" s="162"/>
      <c r="C165" s="259"/>
      <c r="D165" s="267"/>
      <c r="E165" s="35"/>
      <c r="F165" s="151"/>
      <c r="G165" s="263">
        <f t="shared" si="18"/>
        <v>0</v>
      </c>
      <c r="H165" s="65"/>
      <c r="I165" s="275">
        <f t="shared" si="14"/>
        <v>0</v>
      </c>
      <c r="J165" s="161"/>
      <c r="K165" s="30"/>
      <c r="L165" s="30"/>
      <c r="M165" s="30"/>
      <c r="N165" s="30"/>
      <c r="O165" s="71">
        <f t="shared" si="15"/>
        <v>0</v>
      </c>
      <c r="P165" s="1070">
        <f t="shared" si="20"/>
        <v>0</v>
      </c>
      <c r="Q165" s="1071">
        <f t="shared" si="19"/>
        <v>0</v>
      </c>
    </row>
    <row r="166" spans="1:17" x14ac:dyDescent="0.2">
      <c r="A166" s="30"/>
      <c r="B166" s="162"/>
      <c r="C166" s="259"/>
      <c r="D166" s="267"/>
      <c r="E166" s="35"/>
      <c r="F166" s="151"/>
      <c r="G166" s="263">
        <f t="shared" si="18"/>
        <v>0</v>
      </c>
      <c r="H166" s="65"/>
      <c r="I166" s="275">
        <f t="shared" si="14"/>
        <v>0</v>
      </c>
      <c r="J166" s="161"/>
      <c r="K166" s="30"/>
      <c r="L166" s="30"/>
      <c r="M166" s="30"/>
      <c r="N166" s="30"/>
      <c r="O166" s="71">
        <f t="shared" si="15"/>
        <v>0</v>
      </c>
      <c r="P166" s="1070">
        <f t="shared" si="20"/>
        <v>0</v>
      </c>
      <c r="Q166" s="1071">
        <f t="shared" si="19"/>
        <v>0</v>
      </c>
    </row>
    <row r="167" spans="1:17" x14ac:dyDescent="0.2">
      <c r="A167" s="30"/>
      <c r="B167" s="162"/>
      <c r="C167" s="259"/>
      <c r="D167" s="267"/>
      <c r="E167" s="35"/>
      <c r="F167" s="151"/>
      <c r="G167" s="263">
        <f t="shared" si="18"/>
        <v>0</v>
      </c>
      <c r="H167" s="65"/>
      <c r="I167" s="275">
        <f t="shared" si="14"/>
        <v>0</v>
      </c>
      <c r="J167" s="161"/>
      <c r="K167" s="30"/>
      <c r="L167" s="30"/>
      <c r="M167" s="30"/>
      <c r="N167" s="30"/>
      <c r="O167" s="71">
        <f t="shared" si="15"/>
        <v>0</v>
      </c>
      <c r="P167" s="1070">
        <f t="shared" si="20"/>
        <v>0</v>
      </c>
      <c r="Q167" s="1071">
        <f t="shared" si="19"/>
        <v>0</v>
      </c>
    </row>
    <row r="168" spans="1:17" x14ac:dyDescent="0.2">
      <c r="A168" s="30"/>
      <c r="B168" s="162"/>
      <c r="C168" s="259"/>
      <c r="D168" s="267"/>
      <c r="E168" s="35"/>
      <c r="F168" s="151"/>
      <c r="G168" s="263">
        <f t="shared" si="18"/>
        <v>0</v>
      </c>
      <c r="H168" s="65"/>
      <c r="I168" s="275">
        <f t="shared" si="14"/>
        <v>0</v>
      </c>
      <c r="J168" s="161"/>
      <c r="K168" s="30"/>
      <c r="L168" s="30"/>
      <c r="M168" s="30"/>
      <c r="N168" s="30"/>
      <c r="O168" s="71">
        <f t="shared" si="15"/>
        <v>0</v>
      </c>
      <c r="P168" s="1070">
        <f t="shared" si="20"/>
        <v>0</v>
      </c>
      <c r="Q168" s="1071">
        <f t="shared" si="19"/>
        <v>0</v>
      </c>
    </row>
    <row r="169" spans="1:17" x14ac:dyDescent="0.2">
      <c r="A169" s="30"/>
      <c r="B169" s="162"/>
      <c r="C169" s="259"/>
      <c r="D169" s="267"/>
      <c r="E169" s="35"/>
      <c r="F169" s="151"/>
      <c r="G169" s="263">
        <f t="shared" si="18"/>
        <v>0</v>
      </c>
      <c r="H169" s="65"/>
      <c r="I169" s="275">
        <f t="shared" si="14"/>
        <v>0</v>
      </c>
      <c r="J169" s="161"/>
      <c r="K169" s="30"/>
      <c r="L169" s="30"/>
      <c r="M169" s="30"/>
      <c r="N169" s="30"/>
      <c r="O169" s="71">
        <f t="shared" si="15"/>
        <v>0</v>
      </c>
      <c r="P169" s="1070">
        <f t="shared" si="20"/>
        <v>0</v>
      </c>
      <c r="Q169" s="1071">
        <f t="shared" si="19"/>
        <v>0</v>
      </c>
    </row>
    <row r="170" spans="1:17" x14ac:dyDescent="0.2">
      <c r="A170" s="30"/>
      <c r="B170" s="162"/>
      <c r="C170" s="259"/>
      <c r="D170" s="267"/>
      <c r="E170" s="35"/>
      <c r="F170" s="151"/>
      <c r="G170" s="263">
        <f t="shared" si="18"/>
        <v>0</v>
      </c>
      <c r="H170" s="65"/>
      <c r="I170" s="275">
        <f t="shared" si="14"/>
        <v>0</v>
      </c>
      <c r="J170" s="161"/>
      <c r="K170" s="30"/>
      <c r="L170" s="30"/>
      <c r="M170" s="30"/>
      <c r="N170" s="30"/>
      <c r="O170" s="71">
        <f t="shared" si="15"/>
        <v>0</v>
      </c>
      <c r="P170" s="1070">
        <f t="shared" si="20"/>
        <v>0</v>
      </c>
      <c r="Q170" s="1071">
        <f t="shared" si="19"/>
        <v>0</v>
      </c>
    </row>
    <row r="171" spans="1:17" x14ac:dyDescent="0.2">
      <c r="A171" s="30"/>
      <c r="B171" s="162"/>
      <c r="C171" s="259"/>
      <c r="D171" s="267"/>
      <c r="E171" s="35"/>
      <c r="F171" s="151"/>
      <c r="G171" s="263">
        <f t="shared" si="18"/>
        <v>0</v>
      </c>
      <c r="H171" s="65"/>
      <c r="I171" s="275">
        <f t="shared" si="14"/>
        <v>0</v>
      </c>
      <c r="J171" s="161"/>
      <c r="K171" s="30"/>
      <c r="L171" s="30"/>
      <c r="M171" s="30"/>
      <c r="N171" s="30"/>
      <c r="O171" s="71">
        <f t="shared" si="15"/>
        <v>0</v>
      </c>
      <c r="P171" s="1070">
        <f t="shared" si="20"/>
        <v>0</v>
      </c>
      <c r="Q171" s="1071">
        <f t="shared" si="19"/>
        <v>0</v>
      </c>
    </row>
    <row r="172" spans="1:17" x14ac:dyDescent="0.2">
      <c r="A172" s="30"/>
      <c r="B172" s="162"/>
      <c r="C172" s="259"/>
      <c r="D172" s="267"/>
      <c r="E172" s="35"/>
      <c r="F172" s="151"/>
      <c r="G172" s="263">
        <f t="shared" si="18"/>
        <v>0</v>
      </c>
      <c r="H172" s="65"/>
      <c r="I172" s="275">
        <f t="shared" si="14"/>
        <v>0</v>
      </c>
      <c r="J172" s="161"/>
      <c r="K172" s="30"/>
      <c r="L172" s="30"/>
      <c r="M172" s="30"/>
      <c r="N172" s="30"/>
      <c r="O172" s="71">
        <f t="shared" si="15"/>
        <v>0</v>
      </c>
      <c r="P172" s="1070">
        <f t="shared" si="20"/>
        <v>0</v>
      </c>
      <c r="Q172" s="1071">
        <f t="shared" si="19"/>
        <v>0</v>
      </c>
    </row>
    <row r="173" spans="1:17" x14ac:dyDescent="0.2">
      <c r="A173" s="30"/>
      <c r="B173" s="162"/>
      <c r="C173" s="259"/>
      <c r="D173" s="267"/>
      <c r="E173" s="35"/>
      <c r="F173" s="151"/>
      <c r="G173" s="263">
        <f t="shared" si="18"/>
        <v>0</v>
      </c>
      <c r="H173" s="65"/>
      <c r="I173" s="275">
        <f t="shared" si="14"/>
        <v>0</v>
      </c>
      <c r="J173" s="161"/>
      <c r="K173" s="30"/>
      <c r="L173" s="30"/>
      <c r="M173" s="30"/>
      <c r="N173" s="30"/>
      <c r="O173" s="71">
        <f t="shared" si="15"/>
        <v>0</v>
      </c>
      <c r="P173" s="1070">
        <f t="shared" si="20"/>
        <v>0</v>
      </c>
      <c r="Q173" s="1071">
        <f t="shared" si="19"/>
        <v>0</v>
      </c>
    </row>
    <row r="174" spans="1:17" x14ac:dyDescent="0.2">
      <c r="A174" s="30"/>
      <c r="B174" s="162"/>
      <c r="C174" s="259"/>
      <c r="D174" s="267"/>
      <c r="E174" s="35"/>
      <c r="F174" s="151"/>
      <c r="G174" s="263">
        <f t="shared" si="18"/>
        <v>0</v>
      </c>
      <c r="H174" s="65"/>
      <c r="I174" s="275">
        <f t="shared" si="14"/>
        <v>0</v>
      </c>
      <c r="J174" s="161"/>
      <c r="K174" s="30"/>
      <c r="L174" s="30"/>
      <c r="M174" s="30"/>
      <c r="N174" s="30"/>
      <c r="O174" s="71">
        <f t="shared" si="15"/>
        <v>0</v>
      </c>
      <c r="P174" s="1070">
        <f t="shared" si="20"/>
        <v>0</v>
      </c>
      <c r="Q174" s="1071">
        <f t="shared" si="19"/>
        <v>0</v>
      </c>
    </row>
    <row r="175" spans="1:17" ht="13.5" thickBot="1" x14ac:dyDescent="0.25">
      <c r="A175" s="30"/>
      <c r="B175" s="163"/>
      <c r="C175" s="260"/>
      <c r="D175" s="268"/>
      <c r="E175" s="24"/>
      <c r="F175" s="25"/>
      <c r="G175" s="264">
        <f t="shared" si="18"/>
        <v>0</v>
      </c>
      <c r="H175" s="272"/>
      <c r="I175" s="276">
        <f t="shared" si="14"/>
        <v>0</v>
      </c>
      <c r="J175" s="161"/>
      <c r="K175" s="30"/>
      <c r="L175" s="30"/>
      <c r="M175" s="30"/>
      <c r="N175" s="30"/>
      <c r="O175" s="71">
        <f t="shared" si="15"/>
        <v>0</v>
      </c>
      <c r="P175" s="1070">
        <f t="shared" si="20"/>
        <v>0</v>
      </c>
      <c r="Q175" s="1071">
        <f t="shared" si="19"/>
        <v>0</v>
      </c>
    </row>
    <row r="176" spans="1:17" ht="6.75" customHeight="1" thickBot="1" x14ac:dyDescent="0.25">
      <c r="A176" s="30"/>
      <c r="B176" s="155"/>
      <c r="C176" s="155"/>
      <c r="D176" s="155"/>
      <c r="E176" s="155"/>
      <c r="F176" s="155"/>
      <c r="G176" s="155"/>
      <c r="H176" s="155"/>
      <c r="I176" s="155"/>
      <c r="J176" s="155"/>
      <c r="K176" s="30"/>
      <c r="L176" s="30"/>
      <c r="M176" s="30"/>
      <c r="N176" s="30"/>
      <c r="O176" s="812">
        <f>SUM(O124:O175)</f>
        <v>0</v>
      </c>
      <c r="P176" s="1075">
        <f>SUM(P124:P175)</f>
        <v>0</v>
      </c>
      <c r="Q176" s="813">
        <f>SUM(Q124:Q175)</f>
        <v>0</v>
      </c>
    </row>
    <row r="177" spans="1:17" ht="50.1" customHeight="1" x14ac:dyDescent="0.2">
      <c r="L177" s="30"/>
      <c r="M177" s="30"/>
      <c r="N177" s="30"/>
    </row>
    <row r="178" spans="1:17" ht="18" x14ac:dyDescent="0.2">
      <c r="A178" s="1224" t="str">
        <f>UPPER("Patching Summary Table")</f>
        <v>PATCHING SUMMARY TABLE</v>
      </c>
      <c r="B178" s="1224"/>
      <c r="C178" s="1224"/>
      <c r="D178" s="1224"/>
      <c r="E178" s="1224"/>
      <c r="F178" s="1224"/>
      <c r="G178" s="1224"/>
      <c r="H178" s="1224"/>
      <c r="I178" s="1224"/>
      <c r="J178" s="1224"/>
      <c r="K178" s="30"/>
      <c r="L178" s="30"/>
      <c r="M178" s="30"/>
      <c r="N178" s="30"/>
      <c r="O178" s="30"/>
      <c r="P178" s="30"/>
    </row>
    <row r="179" spans="1:17" ht="7.5" customHeight="1" thickBot="1" x14ac:dyDescent="0.25">
      <c r="A179" s="30"/>
      <c r="B179" s="31"/>
      <c r="C179" s="31"/>
      <c r="D179" s="31"/>
      <c r="E179" s="31"/>
      <c r="F179" s="31"/>
      <c r="G179" s="31"/>
      <c r="H179" s="31"/>
      <c r="I179" s="31"/>
      <c r="J179" s="31"/>
      <c r="K179" s="30"/>
      <c r="O179" s="30"/>
      <c r="P179" s="30"/>
    </row>
    <row r="180" spans="1:17" x14ac:dyDescent="0.2">
      <c r="A180" s="30"/>
      <c r="B180" s="1310" t="s">
        <v>2</v>
      </c>
      <c r="C180" s="1319" t="s">
        <v>3</v>
      </c>
      <c r="D180" s="1310" t="s">
        <v>39</v>
      </c>
      <c r="E180" s="1308" t="s">
        <v>4</v>
      </c>
      <c r="F180" s="1223" t="s">
        <v>535</v>
      </c>
      <c r="G180" s="261" t="s">
        <v>129</v>
      </c>
      <c r="H180" s="269" t="s">
        <v>102</v>
      </c>
      <c r="I180" s="152" t="s">
        <v>209</v>
      </c>
      <c r="J180" s="31"/>
      <c r="K180" s="30"/>
      <c r="L180" s="30"/>
      <c r="M180" s="30"/>
      <c r="N180" s="30"/>
      <c r="O180" s="1159" t="s">
        <v>537</v>
      </c>
      <c r="P180" s="1305"/>
      <c r="Q180" s="1306"/>
    </row>
    <row r="181" spans="1:17" ht="13.5" thickBot="1" x14ac:dyDescent="0.25">
      <c r="A181" s="30"/>
      <c r="B181" s="1285"/>
      <c r="C181" s="1320"/>
      <c r="D181" s="1285"/>
      <c r="E181" s="1227"/>
      <c r="F181" s="1242"/>
      <c r="G181" s="262" t="s">
        <v>100</v>
      </c>
      <c r="H181" s="270" t="s">
        <v>100</v>
      </c>
      <c r="I181" s="273" t="s">
        <v>210</v>
      </c>
      <c r="J181" s="31"/>
      <c r="K181" s="30"/>
      <c r="L181" s="30"/>
      <c r="M181" s="30"/>
      <c r="N181" s="30"/>
      <c r="O181" s="41" t="str">
        <f>$Q$41</f>
        <v>Partial</v>
      </c>
      <c r="P181" s="42" t="str">
        <f>$Q$42</f>
        <v>Full ( HMA)</v>
      </c>
      <c r="Q181" s="43" t="str">
        <f>$Q$43</f>
        <v>Full (Composite)</v>
      </c>
    </row>
    <row r="182" spans="1:17" x14ac:dyDescent="0.2">
      <c r="A182" s="30"/>
      <c r="B182" s="159"/>
      <c r="C182" s="258"/>
      <c r="D182" s="265"/>
      <c r="E182" s="160"/>
      <c r="F182" s="266"/>
      <c r="G182" s="263">
        <f>ABS(C182-B182)</f>
        <v>0</v>
      </c>
      <c r="H182" s="271"/>
      <c r="I182" s="274">
        <f t="shared" ref="I182:I233" si="21">ROUNDUP((G182*H182)/9,0)</f>
        <v>0</v>
      </c>
      <c r="J182" s="161"/>
      <c r="K182" s="30"/>
      <c r="L182" s="30"/>
      <c r="M182" s="30"/>
      <c r="N182" s="30"/>
      <c r="O182" s="54">
        <f t="shared" ref="O182:O233" si="22">IF($F182=$Q$41,$I182,0)</f>
        <v>0</v>
      </c>
      <c r="P182" s="1069">
        <f t="shared" ref="P182:P214" si="23">IF($F182=$Q$42,$I182,0)</f>
        <v>0</v>
      </c>
      <c r="Q182" s="811">
        <f t="shared" ref="Q182:Q213" si="24">IF($F182=$Q$43,$I182,0)</f>
        <v>0</v>
      </c>
    </row>
    <row r="183" spans="1:17" x14ac:dyDescent="0.2">
      <c r="A183" s="30"/>
      <c r="B183" s="162"/>
      <c r="C183" s="259"/>
      <c r="D183" s="267"/>
      <c r="E183" s="35"/>
      <c r="F183" s="151"/>
      <c r="G183" s="263">
        <f t="shared" ref="G183:G233" si="25">ABS(C183-B183)</f>
        <v>0</v>
      </c>
      <c r="H183" s="65"/>
      <c r="I183" s="275">
        <f t="shared" si="21"/>
        <v>0</v>
      </c>
      <c r="J183" s="161"/>
      <c r="K183" s="30"/>
      <c r="L183" s="30"/>
      <c r="M183" s="30"/>
      <c r="N183" s="30"/>
      <c r="O183" s="71">
        <f t="shared" si="22"/>
        <v>0</v>
      </c>
      <c r="P183" s="1070">
        <f t="shared" si="23"/>
        <v>0</v>
      </c>
      <c r="Q183" s="1071">
        <f t="shared" si="24"/>
        <v>0</v>
      </c>
    </row>
    <row r="184" spans="1:17" x14ac:dyDescent="0.2">
      <c r="A184" s="30"/>
      <c r="B184" s="162"/>
      <c r="C184" s="259"/>
      <c r="D184" s="267"/>
      <c r="E184" s="35"/>
      <c r="F184" s="151"/>
      <c r="G184" s="263">
        <f t="shared" si="25"/>
        <v>0</v>
      </c>
      <c r="H184" s="65"/>
      <c r="I184" s="275">
        <f t="shared" si="21"/>
        <v>0</v>
      </c>
      <c r="J184" s="161"/>
      <c r="K184" s="30"/>
      <c r="L184" s="30"/>
      <c r="M184" s="30"/>
      <c r="N184" s="30"/>
      <c r="O184" s="71">
        <f t="shared" si="22"/>
        <v>0</v>
      </c>
      <c r="P184" s="1070">
        <f t="shared" si="23"/>
        <v>0</v>
      </c>
      <c r="Q184" s="1071">
        <f t="shared" si="24"/>
        <v>0</v>
      </c>
    </row>
    <row r="185" spans="1:17" x14ac:dyDescent="0.2">
      <c r="A185" s="30"/>
      <c r="B185" s="162"/>
      <c r="C185" s="259"/>
      <c r="D185" s="267"/>
      <c r="E185" s="35"/>
      <c r="F185" s="151"/>
      <c r="G185" s="263">
        <f t="shared" si="25"/>
        <v>0</v>
      </c>
      <c r="H185" s="65"/>
      <c r="I185" s="275">
        <f t="shared" si="21"/>
        <v>0</v>
      </c>
      <c r="J185" s="161"/>
      <c r="K185" s="30"/>
      <c r="L185" s="30"/>
      <c r="M185" s="30"/>
      <c r="N185" s="30"/>
      <c r="O185" s="71">
        <f t="shared" si="22"/>
        <v>0</v>
      </c>
      <c r="P185" s="1070">
        <f t="shared" si="23"/>
        <v>0</v>
      </c>
      <c r="Q185" s="1071">
        <f t="shared" si="24"/>
        <v>0</v>
      </c>
    </row>
    <row r="186" spans="1:17" x14ac:dyDescent="0.2">
      <c r="A186" s="30"/>
      <c r="B186" s="162"/>
      <c r="C186" s="259"/>
      <c r="D186" s="267"/>
      <c r="E186" s="35"/>
      <c r="F186" s="151"/>
      <c r="G186" s="263">
        <f t="shared" si="25"/>
        <v>0</v>
      </c>
      <c r="H186" s="65"/>
      <c r="I186" s="275">
        <f t="shared" si="21"/>
        <v>0</v>
      </c>
      <c r="J186" s="161"/>
      <c r="K186" s="30"/>
      <c r="L186" s="30"/>
      <c r="M186" s="30"/>
      <c r="N186" s="30"/>
      <c r="O186" s="71">
        <f t="shared" si="22"/>
        <v>0</v>
      </c>
      <c r="P186" s="1070">
        <f t="shared" si="23"/>
        <v>0</v>
      </c>
      <c r="Q186" s="1071">
        <f t="shared" si="24"/>
        <v>0</v>
      </c>
    </row>
    <row r="187" spans="1:17" x14ac:dyDescent="0.2">
      <c r="A187" s="30"/>
      <c r="B187" s="162"/>
      <c r="C187" s="259"/>
      <c r="D187" s="267"/>
      <c r="E187" s="35"/>
      <c r="F187" s="151"/>
      <c r="G187" s="263">
        <f t="shared" si="25"/>
        <v>0</v>
      </c>
      <c r="H187" s="65"/>
      <c r="I187" s="275">
        <f t="shared" si="21"/>
        <v>0</v>
      </c>
      <c r="J187" s="161"/>
      <c r="K187" s="30"/>
      <c r="L187" s="30"/>
      <c r="M187" s="30"/>
      <c r="N187" s="30"/>
      <c r="O187" s="71">
        <f t="shared" si="22"/>
        <v>0</v>
      </c>
      <c r="P187" s="1070">
        <f t="shared" si="23"/>
        <v>0</v>
      </c>
      <c r="Q187" s="1071">
        <f t="shared" si="24"/>
        <v>0</v>
      </c>
    </row>
    <row r="188" spans="1:17" x14ac:dyDescent="0.2">
      <c r="A188" s="30"/>
      <c r="B188" s="162"/>
      <c r="C188" s="259"/>
      <c r="D188" s="267"/>
      <c r="E188" s="35"/>
      <c r="F188" s="151"/>
      <c r="G188" s="263">
        <f t="shared" si="25"/>
        <v>0</v>
      </c>
      <c r="H188" s="65"/>
      <c r="I188" s="275">
        <f t="shared" si="21"/>
        <v>0</v>
      </c>
      <c r="J188" s="161"/>
      <c r="K188" s="30"/>
      <c r="L188" s="30"/>
      <c r="M188" s="30"/>
      <c r="N188" s="30"/>
      <c r="O188" s="71">
        <f t="shared" si="22"/>
        <v>0</v>
      </c>
      <c r="P188" s="1070">
        <f t="shared" si="23"/>
        <v>0</v>
      </c>
      <c r="Q188" s="1071">
        <f t="shared" si="24"/>
        <v>0</v>
      </c>
    </row>
    <row r="189" spans="1:17" x14ac:dyDescent="0.2">
      <c r="A189" s="30"/>
      <c r="B189" s="162"/>
      <c r="C189" s="259"/>
      <c r="D189" s="267"/>
      <c r="E189" s="35"/>
      <c r="F189" s="151"/>
      <c r="G189" s="263">
        <f t="shared" si="25"/>
        <v>0</v>
      </c>
      <c r="H189" s="65"/>
      <c r="I189" s="275">
        <f t="shared" si="21"/>
        <v>0</v>
      </c>
      <c r="J189" s="161"/>
      <c r="K189" s="30"/>
      <c r="L189" s="30"/>
      <c r="M189" s="30"/>
      <c r="N189" s="30"/>
      <c r="O189" s="71">
        <f t="shared" si="22"/>
        <v>0</v>
      </c>
      <c r="P189" s="1070">
        <f t="shared" si="23"/>
        <v>0</v>
      </c>
      <c r="Q189" s="1071">
        <f t="shared" si="24"/>
        <v>0</v>
      </c>
    </row>
    <row r="190" spans="1:17" x14ac:dyDescent="0.2">
      <c r="A190" s="30"/>
      <c r="B190" s="162"/>
      <c r="C190" s="259"/>
      <c r="D190" s="267"/>
      <c r="E190" s="35"/>
      <c r="F190" s="151"/>
      <c r="G190" s="263">
        <f t="shared" si="25"/>
        <v>0</v>
      </c>
      <c r="H190" s="65"/>
      <c r="I190" s="275">
        <f t="shared" si="21"/>
        <v>0</v>
      </c>
      <c r="J190" s="161"/>
      <c r="K190" s="30"/>
      <c r="L190" s="30"/>
      <c r="M190" s="30"/>
      <c r="N190" s="30"/>
      <c r="O190" s="71">
        <f t="shared" si="22"/>
        <v>0</v>
      </c>
      <c r="P190" s="1070">
        <f t="shared" si="23"/>
        <v>0</v>
      </c>
      <c r="Q190" s="1071">
        <f t="shared" si="24"/>
        <v>0</v>
      </c>
    </row>
    <row r="191" spans="1:17" x14ac:dyDescent="0.2">
      <c r="A191" s="30"/>
      <c r="B191" s="162"/>
      <c r="C191" s="259"/>
      <c r="D191" s="267"/>
      <c r="E191" s="35"/>
      <c r="F191" s="151"/>
      <c r="G191" s="263">
        <f t="shared" si="25"/>
        <v>0</v>
      </c>
      <c r="H191" s="65"/>
      <c r="I191" s="275">
        <f t="shared" si="21"/>
        <v>0</v>
      </c>
      <c r="J191" s="161"/>
      <c r="K191" s="30"/>
      <c r="L191" s="30"/>
      <c r="M191" s="30"/>
      <c r="N191" s="30"/>
      <c r="O191" s="71">
        <f t="shared" si="22"/>
        <v>0</v>
      </c>
      <c r="P191" s="1070">
        <f t="shared" si="23"/>
        <v>0</v>
      </c>
      <c r="Q191" s="1071">
        <f t="shared" si="24"/>
        <v>0</v>
      </c>
    </row>
    <row r="192" spans="1:17" x14ac:dyDescent="0.2">
      <c r="A192" s="30"/>
      <c r="B192" s="162"/>
      <c r="C192" s="259"/>
      <c r="D192" s="267"/>
      <c r="E192" s="35"/>
      <c r="F192" s="151"/>
      <c r="G192" s="263">
        <f t="shared" si="25"/>
        <v>0</v>
      </c>
      <c r="H192" s="65"/>
      <c r="I192" s="275">
        <f t="shared" si="21"/>
        <v>0</v>
      </c>
      <c r="J192" s="161"/>
      <c r="K192" s="30"/>
      <c r="L192" s="30"/>
      <c r="M192" s="30"/>
      <c r="N192" s="30"/>
      <c r="O192" s="71">
        <f t="shared" si="22"/>
        <v>0</v>
      </c>
      <c r="P192" s="1070">
        <f t="shared" si="23"/>
        <v>0</v>
      </c>
      <c r="Q192" s="1071">
        <f t="shared" si="24"/>
        <v>0</v>
      </c>
    </row>
    <row r="193" spans="1:17" x14ac:dyDescent="0.2">
      <c r="A193" s="30"/>
      <c r="B193" s="162"/>
      <c r="C193" s="259"/>
      <c r="D193" s="267"/>
      <c r="E193" s="35"/>
      <c r="F193" s="151"/>
      <c r="G193" s="263">
        <f t="shared" si="25"/>
        <v>0</v>
      </c>
      <c r="H193" s="65"/>
      <c r="I193" s="275">
        <f t="shared" si="21"/>
        <v>0</v>
      </c>
      <c r="J193" s="161"/>
      <c r="K193" s="30"/>
      <c r="L193" s="30"/>
      <c r="M193" s="30"/>
      <c r="N193" s="30"/>
      <c r="O193" s="71">
        <f t="shared" si="22"/>
        <v>0</v>
      </c>
      <c r="P193" s="1070">
        <f t="shared" si="23"/>
        <v>0</v>
      </c>
      <c r="Q193" s="1071">
        <f t="shared" si="24"/>
        <v>0</v>
      </c>
    </row>
    <row r="194" spans="1:17" x14ac:dyDescent="0.2">
      <c r="A194" s="30"/>
      <c r="B194" s="162"/>
      <c r="C194" s="259"/>
      <c r="D194" s="267"/>
      <c r="E194" s="35"/>
      <c r="F194" s="151"/>
      <c r="G194" s="263">
        <f t="shared" si="25"/>
        <v>0</v>
      </c>
      <c r="H194" s="65"/>
      <c r="I194" s="275">
        <f t="shared" si="21"/>
        <v>0</v>
      </c>
      <c r="J194" s="161"/>
      <c r="K194" s="30"/>
      <c r="L194" s="30"/>
      <c r="M194" s="30"/>
      <c r="N194" s="30"/>
      <c r="O194" s="71">
        <f t="shared" si="22"/>
        <v>0</v>
      </c>
      <c r="P194" s="1070">
        <f t="shared" si="23"/>
        <v>0</v>
      </c>
      <c r="Q194" s="1071">
        <f t="shared" si="24"/>
        <v>0</v>
      </c>
    </row>
    <row r="195" spans="1:17" x14ac:dyDescent="0.2">
      <c r="A195" s="30"/>
      <c r="B195" s="162"/>
      <c r="C195" s="259"/>
      <c r="D195" s="267"/>
      <c r="E195" s="35"/>
      <c r="F195" s="151"/>
      <c r="G195" s="263">
        <f t="shared" si="25"/>
        <v>0</v>
      </c>
      <c r="H195" s="65"/>
      <c r="I195" s="275">
        <f t="shared" si="21"/>
        <v>0</v>
      </c>
      <c r="J195" s="161"/>
      <c r="K195" s="30"/>
      <c r="L195" s="30"/>
      <c r="M195" s="30"/>
      <c r="N195" s="30"/>
      <c r="O195" s="71">
        <f t="shared" si="22"/>
        <v>0</v>
      </c>
      <c r="P195" s="1070">
        <f t="shared" si="23"/>
        <v>0</v>
      </c>
      <c r="Q195" s="1071">
        <f t="shared" si="24"/>
        <v>0</v>
      </c>
    </row>
    <row r="196" spans="1:17" x14ac:dyDescent="0.2">
      <c r="A196" s="30"/>
      <c r="B196" s="162"/>
      <c r="C196" s="259"/>
      <c r="D196" s="267"/>
      <c r="E196" s="35"/>
      <c r="F196" s="151"/>
      <c r="G196" s="263">
        <f t="shared" si="25"/>
        <v>0</v>
      </c>
      <c r="H196" s="65"/>
      <c r="I196" s="275">
        <f t="shared" si="21"/>
        <v>0</v>
      </c>
      <c r="J196" s="161"/>
      <c r="K196" s="30"/>
      <c r="L196" s="30"/>
      <c r="M196" s="30"/>
      <c r="N196" s="30"/>
      <c r="O196" s="71">
        <f t="shared" si="22"/>
        <v>0</v>
      </c>
      <c r="P196" s="1070">
        <f t="shared" si="23"/>
        <v>0</v>
      </c>
      <c r="Q196" s="1071">
        <f t="shared" si="24"/>
        <v>0</v>
      </c>
    </row>
    <row r="197" spans="1:17" x14ac:dyDescent="0.2">
      <c r="A197" s="30"/>
      <c r="B197" s="162"/>
      <c r="C197" s="259"/>
      <c r="D197" s="267"/>
      <c r="E197" s="35"/>
      <c r="F197" s="151"/>
      <c r="G197" s="263">
        <f t="shared" si="25"/>
        <v>0</v>
      </c>
      <c r="H197" s="65"/>
      <c r="I197" s="275">
        <f t="shared" si="21"/>
        <v>0</v>
      </c>
      <c r="J197" s="161"/>
      <c r="K197" s="30"/>
      <c r="L197" s="30"/>
      <c r="M197" s="30"/>
      <c r="N197" s="30"/>
      <c r="O197" s="71">
        <f t="shared" si="22"/>
        <v>0</v>
      </c>
      <c r="P197" s="1070">
        <f t="shared" si="23"/>
        <v>0</v>
      </c>
      <c r="Q197" s="1071">
        <f t="shared" si="24"/>
        <v>0</v>
      </c>
    </row>
    <row r="198" spans="1:17" x14ac:dyDescent="0.2">
      <c r="A198" s="30"/>
      <c r="B198" s="162"/>
      <c r="C198" s="259"/>
      <c r="D198" s="267"/>
      <c r="E198" s="35"/>
      <c r="F198" s="151"/>
      <c r="G198" s="263">
        <f t="shared" si="25"/>
        <v>0</v>
      </c>
      <c r="H198" s="65"/>
      <c r="I198" s="275">
        <f t="shared" si="21"/>
        <v>0</v>
      </c>
      <c r="J198" s="161"/>
      <c r="K198" s="30"/>
      <c r="L198" s="30"/>
      <c r="M198" s="30"/>
      <c r="N198" s="30"/>
      <c r="O198" s="71">
        <f t="shared" si="22"/>
        <v>0</v>
      </c>
      <c r="P198" s="1070">
        <f t="shared" si="23"/>
        <v>0</v>
      </c>
      <c r="Q198" s="1071">
        <f t="shared" si="24"/>
        <v>0</v>
      </c>
    </row>
    <row r="199" spans="1:17" x14ac:dyDescent="0.2">
      <c r="A199" s="30"/>
      <c r="B199" s="162"/>
      <c r="C199" s="259"/>
      <c r="D199" s="267"/>
      <c r="E199" s="35"/>
      <c r="F199" s="151"/>
      <c r="G199" s="263">
        <f t="shared" si="25"/>
        <v>0</v>
      </c>
      <c r="H199" s="65"/>
      <c r="I199" s="275">
        <f t="shared" si="21"/>
        <v>0</v>
      </c>
      <c r="J199" s="161"/>
      <c r="K199" s="30"/>
      <c r="L199" s="30"/>
      <c r="M199" s="30"/>
      <c r="N199" s="30"/>
      <c r="O199" s="71">
        <f t="shared" si="22"/>
        <v>0</v>
      </c>
      <c r="P199" s="1070">
        <f t="shared" si="23"/>
        <v>0</v>
      </c>
      <c r="Q199" s="1071">
        <f t="shared" si="24"/>
        <v>0</v>
      </c>
    </row>
    <row r="200" spans="1:17" x14ac:dyDescent="0.2">
      <c r="A200" s="30"/>
      <c r="B200" s="162"/>
      <c r="C200" s="259"/>
      <c r="D200" s="267"/>
      <c r="E200" s="35"/>
      <c r="F200" s="151"/>
      <c r="G200" s="263">
        <f t="shared" si="25"/>
        <v>0</v>
      </c>
      <c r="H200" s="65"/>
      <c r="I200" s="275">
        <f t="shared" si="21"/>
        <v>0</v>
      </c>
      <c r="J200" s="161"/>
      <c r="K200" s="30"/>
      <c r="L200" s="30"/>
      <c r="M200" s="30"/>
      <c r="N200" s="30"/>
      <c r="O200" s="71">
        <f t="shared" si="22"/>
        <v>0</v>
      </c>
      <c r="P200" s="1070">
        <f t="shared" si="23"/>
        <v>0</v>
      </c>
      <c r="Q200" s="1071">
        <f t="shared" si="24"/>
        <v>0</v>
      </c>
    </row>
    <row r="201" spans="1:17" x14ac:dyDescent="0.2">
      <c r="A201" s="30"/>
      <c r="B201" s="162"/>
      <c r="C201" s="259"/>
      <c r="D201" s="267"/>
      <c r="E201" s="35"/>
      <c r="F201" s="151"/>
      <c r="G201" s="263">
        <f t="shared" si="25"/>
        <v>0</v>
      </c>
      <c r="H201" s="65"/>
      <c r="I201" s="275">
        <f t="shared" si="21"/>
        <v>0</v>
      </c>
      <c r="J201" s="161"/>
      <c r="K201" s="30"/>
      <c r="L201" s="30"/>
      <c r="M201" s="30"/>
      <c r="N201" s="30"/>
      <c r="O201" s="71">
        <f t="shared" si="22"/>
        <v>0</v>
      </c>
      <c r="P201" s="1070">
        <f t="shared" si="23"/>
        <v>0</v>
      </c>
      <c r="Q201" s="1071">
        <f t="shared" si="24"/>
        <v>0</v>
      </c>
    </row>
    <row r="202" spans="1:17" x14ac:dyDescent="0.2">
      <c r="A202" s="30"/>
      <c r="B202" s="162"/>
      <c r="C202" s="259"/>
      <c r="D202" s="267"/>
      <c r="E202" s="35"/>
      <c r="F202" s="151"/>
      <c r="G202" s="263">
        <f t="shared" si="25"/>
        <v>0</v>
      </c>
      <c r="H202" s="65"/>
      <c r="I202" s="275">
        <f t="shared" si="21"/>
        <v>0</v>
      </c>
      <c r="J202" s="161"/>
      <c r="K202" s="30"/>
      <c r="L202" s="30"/>
      <c r="M202" s="30"/>
      <c r="N202" s="30"/>
      <c r="O202" s="71">
        <f t="shared" si="22"/>
        <v>0</v>
      </c>
      <c r="P202" s="1070">
        <f t="shared" si="23"/>
        <v>0</v>
      </c>
      <c r="Q202" s="1071">
        <f t="shared" si="24"/>
        <v>0</v>
      </c>
    </row>
    <row r="203" spans="1:17" x14ac:dyDescent="0.2">
      <c r="A203" s="30"/>
      <c r="B203" s="162"/>
      <c r="C203" s="259"/>
      <c r="D203" s="267"/>
      <c r="E203" s="35"/>
      <c r="F203" s="151"/>
      <c r="G203" s="263">
        <f t="shared" si="25"/>
        <v>0</v>
      </c>
      <c r="H203" s="65"/>
      <c r="I203" s="275">
        <f t="shared" si="21"/>
        <v>0</v>
      </c>
      <c r="J203" s="161"/>
      <c r="K203" s="30"/>
      <c r="L203" s="30"/>
      <c r="M203" s="30"/>
      <c r="N203" s="30"/>
      <c r="O203" s="71">
        <f t="shared" si="22"/>
        <v>0</v>
      </c>
      <c r="P203" s="1070">
        <f t="shared" si="23"/>
        <v>0</v>
      </c>
      <c r="Q203" s="1071">
        <f t="shared" si="24"/>
        <v>0</v>
      </c>
    </row>
    <row r="204" spans="1:17" x14ac:dyDescent="0.2">
      <c r="A204" s="30"/>
      <c r="B204" s="162"/>
      <c r="C204" s="259"/>
      <c r="D204" s="267"/>
      <c r="E204" s="35"/>
      <c r="F204" s="151"/>
      <c r="G204" s="263">
        <f t="shared" si="25"/>
        <v>0</v>
      </c>
      <c r="H204" s="65"/>
      <c r="I204" s="275">
        <f t="shared" si="21"/>
        <v>0</v>
      </c>
      <c r="J204" s="161"/>
      <c r="K204" s="30"/>
      <c r="L204" s="30"/>
      <c r="M204" s="30"/>
      <c r="N204" s="30"/>
      <c r="O204" s="71">
        <f t="shared" si="22"/>
        <v>0</v>
      </c>
      <c r="P204" s="1070">
        <f t="shared" si="23"/>
        <v>0</v>
      </c>
      <c r="Q204" s="1071">
        <f t="shared" si="24"/>
        <v>0</v>
      </c>
    </row>
    <row r="205" spans="1:17" x14ac:dyDescent="0.2">
      <c r="A205" s="30"/>
      <c r="B205" s="162"/>
      <c r="C205" s="259"/>
      <c r="D205" s="267"/>
      <c r="E205" s="35"/>
      <c r="F205" s="151"/>
      <c r="G205" s="263">
        <f t="shared" si="25"/>
        <v>0</v>
      </c>
      <c r="H205" s="65"/>
      <c r="I205" s="275">
        <f t="shared" si="21"/>
        <v>0</v>
      </c>
      <c r="J205" s="161"/>
      <c r="K205" s="30"/>
      <c r="L205" s="30"/>
      <c r="M205" s="30"/>
      <c r="N205" s="30"/>
      <c r="O205" s="71">
        <f t="shared" si="22"/>
        <v>0</v>
      </c>
      <c r="P205" s="1070">
        <f t="shared" si="23"/>
        <v>0</v>
      </c>
      <c r="Q205" s="1071">
        <f t="shared" si="24"/>
        <v>0</v>
      </c>
    </row>
    <row r="206" spans="1:17" x14ac:dyDescent="0.2">
      <c r="A206" s="30"/>
      <c r="B206" s="162"/>
      <c r="C206" s="259"/>
      <c r="D206" s="267"/>
      <c r="E206" s="35"/>
      <c r="F206" s="151"/>
      <c r="G206" s="263">
        <f t="shared" si="25"/>
        <v>0</v>
      </c>
      <c r="H206" s="65"/>
      <c r="I206" s="275">
        <f t="shared" si="21"/>
        <v>0</v>
      </c>
      <c r="J206" s="161"/>
      <c r="K206" s="30"/>
      <c r="L206" s="30"/>
      <c r="M206" s="30"/>
      <c r="N206" s="30"/>
      <c r="O206" s="71">
        <f t="shared" si="22"/>
        <v>0</v>
      </c>
      <c r="P206" s="1070">
        <f t="shared" si="23"/>
        <v>0</v>
      </c>
      <c r="Q206" s="1071">
        <f t="shared" si="24"/>
        <v>0</v>
      </c>
    </row>
    <row r="207" spans="1:17" x14ac:dyDescent="0.2">
      <c r="A207" s="30"/>
      <c r="B207" s="162"/>
      <c r="C207" s="259"/>
      <c r="D207" s="267"/>
      <c r="E207" s="35"/>
      <c r="F207" s="151"/>
      <c r="G207" s="263">
        <f t="shared" si="25"/>
        <v>0</v>
      </c>
      <c r="H207" s="65"/>
      <c r="I207" s="275">
        <f t="shared" si="21"/>
        <v>0</v>
      </c>
      <c r="J207" s="161"/>
      <c r="K207" s="30"/>
      <c r="L207" s="30"/>
      <c r="M207" s="30"/>
      <c r="N207" s="30"/>
      <c r="O207" s="71">
        <f t="shared" si="22"/>
        <v>0</v>
      </c>
      <c r="P207" s="1070">
        <f t="shared" si="23"/>
        <v>0</v>
      </c>
      <c r="Q207" s="1071">
        <f t="shared" si="24"/>
        <v>0</v>
      </c>
    </row>
    <row r="208" spans="1:17" x14ac:dyDescent="0.2">
      <c r="A208" s="30"/>
      <c r="B208" s="162"/>
      <c r="C208" s="259"/>
      <c r="D208" s="267"/>
      <c r="E208" s="35"/>
      <c r="F208" s="151"/>
      <c r="G208" s="263">
        <f t="shared" si="25"/>
        <v>0</v>
      </c>
      <c r="H208" s="65"/>
      <c r="I208" s="275">
        <f t="shared" si="21"/>
        <v>0</v>
      </c>
      <c r="J208" s="161"/>
      <c r="K208" s="30"/>
      <c r="L208" s="30"/>
      <c r="M208" s="30"/>
      <c r="N208" s="30"/>
      <c r="O208" s="71">
        <f t="shared" si="22"/>
        <v>0</v>
      </c>
      <c r="P208" s="1070">
        <f t="shared" si="23"/>
        <v>0</v>
      </c>
      <c r="Q208" s="1071">
        <f t="shared" si="24"/>
        <v>0</v>
      </c>
    </row>
    <row r="209" spans="1:17" x14ac:dyDescent="0.2">
      <c r="A209" s="30"/>
      <c r="B209" s="162"/>
      <c r="C209" s="259"/>
      <c r="D209" s="267"/>
      <c r="E209" s="35"/>
      <c r="F209" s="151"/>
      <c r="G209" s="263">
        <f t="shared" si="25"/>
        <v>0</v>
      </c>
      <c r="H209" s="65"/>
      <c r="I209" s="275">
        <f t="shared" si="21"/>
        <v>0</v>
      </c>
      <c r="J209" s="161"/>
      <c r="K209" s="30"/>
      <c r="L209" s="30"/>
      <c r="M209" s="30"/>
      <c r="N209" s="30"/>
      <c r="O209" s="71">
        <f t="shared" si="22"/>
        <v>0</v>
      </c>
      <c r="P209" s="1070">
        <f t="shared" si="23"/>
        <v>0</v>
      </c>
      <c r="Q209" s="1071">
        <f t="shared" si="24"/>
        <v>0</v>
      </c>
    </row>
    <row r="210" spans="1:17" x14ac:dyDescent="0.2">
      <c r="A210" s="30"/>
      <c r="B210" s="162"/>
      <c r="C210" s="259"/>
      <c r="D210" s="267"/>
      <c r="E210" s="35"/>
      <c r="F210" s="151"/>
      <c r="G210" s="263">
        <f t="shared" si="25"/>
        <v>0</v>
      </c>
      <c r="H210" s="65"/>
      <c r="I210" s="275">
        <f t="shared" si="21"/>
        <v>0</v>
      </c>
      <c r="J210" s="161"/>
      <c r="K210" s="30"/>
      <c r="L210" s="30"/>
      <c r="M210" s="30"/>
      <c r="N210" s="30"/>
      <c r="O210" s="71">
        <f t="shared" si="22"/>
        <v>0</v>
      </c>
      <c r="P210" s="1070">
        <f t="shared" si="23"/>
        <v>0</v>
      </c>
      <c r="Q210" s="1071">
        <f t="shared" si="24"/>
        <v>0</v>
      </c>
    </row>
    <row r="211" spans="1:17" x14ac:dyDescent="0.2">
      <c r="A211" s="30"/>
      <c r="B211" s="162"/>
      <c r="C211" s="259"/>
      <c r="D211" s="267"/>
      <c r="E211" s="35"/>
      <c r="F211" s="151"/>
      <c r="G211" s="263">
        <f t="shared" si="25"/>
        <v>0</v>
      </c>
      <c r="H211" s="65"/>
      <c r="I211" s="275">
        <f t="shared" si="21"/>
        <v>0</v>
      </c>
      <c r="J211" s="161"/>
      <c r="K211" s="30"/>
      <c r="L211" s="30"/>
      <c r="M211" s="30"/>
      <c r="N211" s="30"/>
      <c r="O211" s="71">
        <f t="shared" si="22"/>
        <v>0</v>
      </c>
      <c r="P211" s="1070">
        <f t="shared" si="23"/>
        <v>0</v>
      </c>
      <c r="Q211" s="1071">
        <f t="shared" si="24"/>
        <v>0</v>
      </c>
    </row>
    <row r="212" spans="1:17" x14ac:dyDescent="0.2">
      <c r="A212" s="30"/>
      <c r="B212" s="162"/>
      <c r="C212" s="259"/>
      <c r="D212" s="267"/>
      <c r="E212" s="35"/>
      <c r="F212" s="151"/>
      <c r="G212" s="263">
        <f t="shared" si="25"/>
        <v>0</v>
      </c>
      <c r="H212" s="65"/>
      <c r="I212" s="275">
        <f t="shared" si="21"/>
        <v>0</v>
      </c>
      <c r="J212" s="161"/>
      <c r="K212" s="30"/>
      <c r="L212" s="30"/>
      <c r="M212" s="30"/>
      <c r="N212" s="30"/>
      <c r="O212" s="71">
        <f t="shared" si="22"/>
        <v>0</v>
      </c>
      <c r="P212" s="1070">
        <f t="shared" si="23"/>
        <v>0</v>
      </c>
      <c r="Q212" s="1071">
        <f t="shared" si="24"/>
        <v>0</v>
      </c>
    </row>
    <row r="213" spans="1:17" x14ac:dyDescent="0.2">
      <c r="A213" s="30"/>
      <c r="B213" s="162"/>
      <c r="C213" s="259"/>
      <c r="D213" s="267"/>
      <c r="E213" s="35"/>
      <c r="F213" s="151"/>
      <c r="G213" s="263">
        <f t="shared" si="25"/>
        <v>0</v>
      </c>
      <c r="H213" s="65"/>
      <c r="I213" s="275">
        <f t="shared" si="21"/>
        <v>0</v>
      </c>
      <c r="J213" s="161"/>
      <c r="K213" s="30"/>
      <c r="L213" s="30"/>
      <c r="M213" s="30"/>
      <c r="N213" s="30"/>
      <c r="O213" s="71">
        <f t="shared" si="22"/>
        <v>0</v>
      </c>
      <c r="P213" s="1070">
        <f t="shared" si="23"/>
        <v>0</v>
      </c>
      <c r="Q213" s="1071">
        <f t="shared" si="24"/>
        <v>0</v>
      </c>
    </row>
    <row r="214" spans="1:17" x14ac:dyDescent="0.2">
      <c r="A214" s="30"/>
      <c r="B214" s="162"/>
      <c r="C214" s="259"/>
      <c r="D214" s="267"/>
      <c r="E214" s="35"/>
      <c r="F214" s="151"/>
      <c r="G214" s="263">
        <f t="shared" si="25"/>
        <v>0</v>
      </c>
      <c r="H214" s="65"/>
      <c r="I214" s="275">
        <f t="shared" si="21"/>
        <v>0</v>
      </c>
      <c r="J214" s="161"/>
      <c r="K214" s="30"/>
      <c r="L214" s="30"/>
      <c r="M214" s="30"/>
      <c r="N214" s="30"/>
      <c r="O214" s="71">
        <f t="shared" si="22"/>
        <v>0</v>
      </c>
      <c r="P214" s="1070">
        <f t="shared" si="23"/>
        <v>0</v>
      </c>
      <c r="Q214" s="1071">
        <f t="shared" ref="Q214:Q233" si="26">IF($F214=$Q$43,$I214,0)</f>
        <v>0</v>
      </c>
    </row>
    <row r="215" spans="1:17" x14ac:dyDescent="0.2">
      <c r="A215" s="30"/>
      <c r="B215" s="162"/>
      <c r="C215" s="259"/>
      <c r="D215" s="267"/>
      <c r="E215" s="35"/>
      <c r="F215" s="151"/>
      <c r="G215" s="263">
        <f t="shared" si="25"/>
        <v>0</v>
      </c>
      <c r="H215" s="65"/>
      <c r="I215" s="275">
        <f t="shared" si="21"/>
        <v>0</v>
      </c>
      <c r="J215" s="161"/>
      <c r="K215" s="30"/>
      <c r="L215" s="30"/>
      <c r="M215" s="30"/>
      <c r="N215" s="30"/>
      <c r="O215" s="71">
        <f t="shared" si="22"/>
        <v>0</v>
      </c>
      <c r="P215" s="1070">
        <f t="shared" ref="P215:P233" si="27">IF($F215=$Q$42,$I215,0)</f>
        <v>0</v>
      </c>
      <c r="Q215" s="1071">
        <f t="shared" si="26"/>
        <v>0</v>
      </c>
    </row>
    <row r="216" spans="1:17" x14ac:dyDescent="0.2">
      <c r="A216" s="30"/>
      <c r="B216" s="162"/>
      <c r="C216" s="259"/>
      <c r="D216" s="267"/>
      <c r="E216" s="35"/>
      <c r="F216" s="151"/>
      <c r="G216" s="263">
        <f t="shared" si="25"/>
        <v>0</v>
      </c>
      <c r="H216" s="65"/>
      <c r="I216" s="275">
        <f t="shared" si="21"/>
        <v>0</v>
      </c>
      <c r="J216" s="161"/>
      <c r="K216" s="30"/>
      <c r="L216" s="30"/>
      <c r="M216" s="30"/>
      <c r="N216" s="30"/>
      <c r="O216" s="71">
        <f t="shared" si="22"/>
        <v>0</v>
      </c>
      <c r="P216" s="1070">
        <f t="shared" si="27"/>
        <v>0</v>
      </c>
      <c r="Q216" s="1071">
        <f t="shared" si="26"/>
        <v>0</v>
      </c>
    </row>
    <row r="217" spans="1:17" x14ac:dyDescent="0.2">
      <c r="A217" s="30"/>
      <c r="B217" s="162"/>
      <c r="C217" s="259"/>
      <c r="D217" s="267"/>
      <c r="E217" s="35"/>
      <c r="F217" s="151"/>
      <c r="G217" s="263">
        <f t="shared" si="25"/>
        <v>0</v>
      </c>
      <c r="H217" s="65"/>
      <c r="I217" s="275">
        <f t="shared" si="21"/>
        <v>0</v>
      </c>
      <c r="J217" s="161"/>
      <c r="K217" s="30"/>
      <c r="L217" s="30"/>
      <c r="M217" s="30"/>
      <c r="N217" s="30"/>
      <c r="O217" s="71">
        <f t="shared" si="22"/>
        <v>0</v>
      </c>
      <c r="P217" s="1070">
        <f t="shared" si="27"/>
        <v>0</v>
      </c>
      <c r="Q217" s="1071">
        <f t="shared" si="26"/>
        <v>0</v>
      </c>
    </row>
    <row r="218" spans="1:17" x14ac:dyDescent="0.2">
      <c r="A218" s="30"/>
      <c r="B218" s="162"/>
      <c r="C218" s="259"/>
      <c r="D218" s="267"/>
      <c r="E218" s="35"/>
      <c r="F218" s="151"/>
      <c r="G218" s="263">
        <f t="shared" si="25"/>
        <v>0</v>
      </c>
      <c r="H218" s="65"/>
      <c r="I218" s="275">
        <f t="shared" si="21"/>
        <v>0</v>
      </c>
      <c r="J218" s="161"/>
      <c r="K218" s="30"/>
      <c r="L218" s="30"/>
      <c r="M218" s="30"/>
      <c r="N218" s="30"/>
      <c r="O218" s="71">
        <f t="shared" si="22"/>
        <v>0</v>
      </c>
      <c r="P218" s="1070">
        <f t="shared" si="27"/>
        <v>0</v>
      </c>
      <c r="Q218" s="1071">
        <f t="shared" si="26"/>
        <v>0</v>
      </c>
    </row>
    <row r="219" spans="1:17" x14ac:dyDescent="0.2">
      <c r="A219" s="30"/>
      <c r="B219" s="162"/>
      <c r="C219" s="259"/>
      <c r="D219" s="267"/>
      <c r="E219" s="35"/>
      <c r="F219" s="151"/>
      <c r="G219" s="263">
        <f t="shared" si="25"/>
        <v>0</v>
      </c>
      <c r="H219" s="65"/>
      <c r="I219" s="275">
        <f t="shared" si="21"/>
        <v>0</v>
      </c>
      <c r="J219" s="161"/>
      <c r="K219" s="30"/>
      <c r="L219" s="30"/>
      <c r="M219" s="30"/>
      <c r="N219" s="30"/>
      <c r="O219" s="71">
        <f t="shared" si="22"/>
        <v>0</v>
      </c>
      <c r="P219" s="1070">
        <f t="shared" si="27"/>
        <v>0</v>
      </c>
      <c r="Q219" s="1071">
        <f t="shared" si="26"/>
        <v>0</v>
      </c>
    </row>
    <row r="220" spans="1:17" x14ac:dyDescent="0.2">
      <c r="A220" s="30"/>
      <c r="B220" s="162"/>
      <c r="C220" s="259"/>
      <c r="D220" s="267"/>
      <c r="E220" s="35"/>
      <c r="F220" s="151"/>
      <c r="G220" s="263">
        <f t="shared" si="25"/>
        <v>0</v>
      </c>
      <c r="H220" s="65"/>
      <c r="I220" s="275">
        <f t="shared" si="21"/>
        <v>0</v>
      </c>
      <c r="J220" s="161"/>
      <c r="K220" s="30"/>
      <c r="L220" s="30"/>
      <c r="M220" s="30"/>
      <c r="N220" s="30"/>
      <c r="O220" s="71">
        <f t="shared" si="22"/>
        <v>0</v>
      </c>
      <c r="P220" s="1070">
        <f t="shared" si="27"/>
        <v>0</v>
      </c>
      <c r="Q220" s="1071">
        <f t="shared" si="26"/>
        <v>0</v>
      </c>
    </row>
    <row r="221" spans="1:17" x14ac:dyDescent="0.2">
      <c r="A221" s="30"/>
      <c r="B221" s="162"/>
      <c r="C221" s="259"/>
      <c r="D221" s="267"/>
      <c r="E221" s="35"/>
      <c r="F221" s="151"/>
      <c r="G221" s="263">
        <f t="shared" si="25"/>
        <v>0</v>
      </c>
      <c r="H221" s="65"/>
      <c r="I221" s="275">
        <f t="shared" si="21"/>
        <v>0</v>
      </c>
      <c r="J221" s="161"/>
      <c r="K221" s="30"/>
      <c r="L221" s="30"/>
      <c r="M221" s="30"/>
      <c r="N221" s="30"/>
      <c r="O221" s="71">
        <f t="shared" si="22"/>
        <v>0</v>
      </c>
      <c r="P221" s="1070">
        <f t="shared" si="27"/>
        <v>0</v>
      </c>
      <c r="Q221" s="1071">
        <f t="shared" si="26"/>
        <v>0</v>
      </c>
    </row>
    <row r="222" spans="1:17" x14ac:dyDescent="0.2">
      <c r="A222" s="30"/>
      <c r="B222" s="162"/>
      <c r="C222" s="259"/>
      <c r="D222" s="267"/>
      <c r="E222" s="35"/>
      <c r="F222" s="151"/>
      <c r="G222" s="263">
        <f t="shared" si="25"/>
        <v>0</v>
      </c>
      <c r="H222" s="65"/>
      <c r="I222" s="275">
        <f t="shared" si="21"/>
        <v>0</v>
      </c>
      <c r="J222" s="161"/>
      <c r="K222" s="30"/>
      <c r="L222" s="30"/>
      <c r="M222" s="30"/>
      <c r="N222" s="30"/>
      <c r="O222" s="71">
        <f t="shared" si="22"/>
        <v>0</v>
      </c>
      <c r="P222" s="1070">
        <f t="shared" si="27"/>
        <v>0</v>
      </c>
      <c r="Q222" s="1071">
        <f t="shared" si="26"/>
        <v>0</v>
      </c>
    </row>
    <row r="223" spans="1:17" x14ac:dyDescent="0.2">
      <c r="A223" s="30"/>
      <c r="B223" s="162"/>
      <c r="C223" s="259"/>
      <c r="D223" s="267"/>
      <c r="E223" s="35"/>
      <c r="F223" s="151"/>
      <c r="G223" s="263">
        <f t="shared" si="25"/>
        <v>0</v>
      </c>
      <c r="H223" s="65"/>
      <c r="I223" s="275">
        <f t="shared" si="21"/>
        <v>0</v>
      </c>
      <c r="J223" s="161"/>
      <c r="K223" s="30"/>
      <c r="L223" s="30"/>
      <c r="M223" s="30"/>
      <c r="N223" s="30"/>
      <c r="O223" s="71">
        <f t="shared" si="22"/>
        <v>0</v>
      </c>
      <c r="P223" s="1070">
        <f t="shared" si="27"/>
        <v>0</v>
      </c>
      <c r="Q223" s="1071">
        <f t="shared" si="26"/>
        <v>0</v>
      </c>
    </row>
    <row r="224" spans="1:17" x14ac:dyDescent="0.2">
      <c r="A224" s="30"/>
      <c r="B224" s="162"/>
      <c r="C224" s="259"/>
      <c r="D224" s="267"/>
      <c r="E224" s="35"/>
      <c r="F224" s="151"/>
      <c r="G224" s="263">
        <f t="shared" si="25"/>
        <v>0</v>
      </c>
      <c r="H224" s="65"/>
      <c r="I224" s="275">
        <f t="shared" si="21"/>
        <v>0</v>
      </c>
      <c r="J224" s="161"/>
      <c r="K224" s="30"/>
      <c r="L224" s="30"/>
      <c r="M224" s="30"/>
      <c r="N224" s="30"/>
      <c r="O224" s="71">
        <f t="shared" si="22"/>
        <v>0</v>
      </c>
      <c r="P224" s="1070">
        <f t="shared" si="27"/>
        <v>0</v>
      </c>
      <c r="Q224" s="1071">
        <f t="shared" si="26"/>
        <v>0</v>
      </c>
    </row>
    <row r="225" spans="1:17" x14ac:dyDescent="0.2">
      <c r="A225" s="30"/>
      <c r="B225" s="162"/>
      <c r="C225" s="259"/>
      <c r="D225" s="267"/>
      <c r="E225" s="35"/>
      <c r="F225" s="151"/>
      <c r="G225" s="263">
        <f t="shared" si="25"/>
        <v>0</v>
      </c>
      <c r="H225" s="65"/>
      <c r="I225" s="275">
        <f t="shared" si="21"/>
        <v>0</v>
      </c>
      <c r="J225" s="161"/>
      <c r="K225" s="30"/>
      <c r="L225" s="30"/>
      <c r="M225" s="30"/>
      <c r="N225" s="30"/>
      <c r="O225" s="71">
        <f t="shared" si="22"/>
        <v>0</v>
      </c>
      <c r="P225" s="1070">
        <f t="shared" si="27"/>
        <v>0</v>
      </c>
      <c r="Q225" s="1071">
        <f t="shared" si="26"/>
        <v>0</v>
      </c>
    </row>
    <row r="226" spans="1:17" x14ac:dyDescent="0.2">
      <c r="A226" s="30"/>
      <c r="B226" s="162"/>
      <c r="C226" s="259"/>
      <c r="D226" s="267"/>
      <c r="E226" s="35"/>
      <c r="F226" s="151"/>
      <c r="G226" s="263">
        <f t="shared" si="25"/>
        <v>0</v>
      </c>
      <c r="H226" s="65"/>
      <c r="I226" s="275">
        <f t="shared" si="21"/>
        <v>0</v>
      </c>
      <c r="J226" s="161"/>
      <c r="K226" s="30"/>
      <c r="L226" s="30"/>
      <c r="M226" s="30"/>
      <c r="N226" s="30"/>
      <c r="O226" s="71">
        <f t="shared" si="22"/>
        <v>0</v>
      </c>
      <c r="P226" s="1070">
        <f t="shared" si="27"/>
        <v>0</v>
      </c>
      <c r="Q226" s="1071">
        <f t="shared" si="26"/>
        <v>0</v>
      </c>
    </row>
    <row r="227" spans="1:17" x14ac:dyDescent="0.2">
      <c r="A227" s="30"/>
      <c r="B227" s="162"/>
      <c r="C227" s="259"/>
      <c r="D227" s="267"/>
      <c r="E227" s="35"/>
      <c r="F227" s="151"/>
      <c r="G227" s="263">
        <f t="shared" si="25"/>
        <v>0</v>
      </c>
      <c r="H227" s="65"/>
      <c r="I227" s="275">
        <f t="shared" si="21"/>
        <v>0</v>
      </c>
      <c r="J227" s="161"/>
      <c r="K227" s="30"/>
      <c r="L227" s="30"/>
      <c r="M227" s="30"/>
      <c r="N227" s="30"/>
      <c r="O227" s="71">
        <f t="shared" si="22"/>
        <v>0</v>
      </c>
      <c r="P227" s="1070">
        <f t="shared" si="27"/>
        <v>0</v>
      </c>
      <c r="Q227" s="1071">
        <f t="shared" si="26"/>
        <v>0</v>
      </c>
    </row>
    <row r="228" spans="1:17" x14ac:dyDescent="0.2">
      <c r="A228" s="30"/>
      <c r="B228" s="162"/>
      <c r="C228" s="259"/>
      <c r="D228" s="267"/>
      <c r="E228" s="35"/>
      <c r="F228" s="151"/>
      <c r="G228" s="263">
        <f t="shared" si="25"/>
        <v>0</v>
      </c>
      <c r="H228" s="65"/>
      <c r="I228" s="275">
        <f t="shared" si="21"/>
        <v>0</v>
      </c>
      <c r="J228" s="161"/>
      <c r="K228" s="30"/>
      <c r="L228" s="30"/>
      <c r="M228" s="30"/>
      <c r="N228" s="30"/>
      <c r="O228" s="71">
        <f t="shared" si="22"/>
        <v>0</v>
      </c>
      <c r="P228" s="1070">
        <f t="shared" si="27"/>
        <v>0</v>
      </c>
      <c r="Q228" s="1071">
        <f t="shared" si="26"/>
        <v>0</v>
      </c>
    </row>
    <row r="229" spans="1:17" x14ac:dyDescent="0.2">
      <c r="A229" s="30"/>
      <c r="B229" s="162"/>
      <c r="C229" s="259"/>
      <c r="D229" s="267"/>
      <c r="E229" s="35"/>
      <c r="F229" s="151"/>
      <c r="G229" s="263">
        <f t="shared" si="25"/>
        <v>0</v>
      </c>
      <c r="H229" s="65"/>
      <c r="I229" s="275">
        <f t="shared" si="21"/>
        <v>0</v>
      </c>
      <c r="J229" s="161"/>
      <c r="K229" s="30"/>
      <c r="L229" s="30"/>
      <c r="M229" s="30"/>
      <c r="N229" s="30"/>
      <c r="O229" s="71">
        <f t="shared" si="22"/>
        <v>0</v>
      </c>
      <c r="P229" s="1070">
        <f t="shared" si="27"/>
        <v>0</v>
      </c>
      <c r="Q229" s="1071">
        <f t="shared" si="26"/>
        <v>0</v>
      </c>
    </row>
    <row r="230" spans="1:17" x14ac:dyDescent="0.2">
      <c r="A230" s="30"/>
      <c r="B230" s="162"/>
      <c r="C230" s="259"/>
      <c r="D230" s="267"/>
      <c r="E230" s="35"/>
      <c r="F230" s="151"/>
      <c r="G230" s="263">
        <f t="shared" si="25"/>
        <v>0</v>
      </c>
      <c r="H230" s="65"/>
      <c r="I230" s="275">
        <f t="shared" si="21"/>
        <v>0</v>
      </c>
      <c r="J230" s="161"/>
      <c r="K230" s="30"/>
      <c r="L230" s="30"/>
      <c r="M230" s="30"/>
      <c r="N230" s="30"/>
      <c r="O230" s="71">
        <f t="shared" si="22"/>
        <v>0</v>
      </c>
      <c r="P230" s="1070">
        <f t="shared" si="27"/>
        <v>0</v>
      </c>
      <c r="Q230" s="1071">
        <f t="shared" si="26"/>
        <v>0</v>
      </c>
    </row>
    <row r="231" spans="1:17" x14ac:dyDescent="0.2">
      <c r="A231" s="30"/>
      <c r="B231" s="162"/>
      <c r="C231" s="259"/>
      <c r="D231" s="267"/>
      <c r="E231" s="35"/>
      <c r="F231" s="151"/>
      <c r="G231" s="263">
        <f t="shared" si="25"/>
        <v>0</v>
      </c>
      <c r="H231" s="65"/>
      <c r="I231" s="275">
        <f t="shared" si="21"/>
        <v>0</v>
      </c>
      <c r="J231" s="161"/>
      <c r="K231" s="30"/>
      <c r="L231" s="30"/>
      <c r="M231" s="30"/>
      <c r="N231" s="30"/>
      <c r="O231" s="71">
        <f t="shared" si="22"/>
        <v>0</v>
      </c>
      <c r="P231" s="1070">
        <f t="shared" si="27"/>
        <v>0</v>
      </c>
      <c r="Q231" s="1071">
        <f t="shared" si="26"/>
        <v>0</v>
      </c>
    </row>
    <row r="232" spans="1:17" x14ac:dyDescent="0.2">
      <c r="A232" s="30"/>
      <c r="B232" s="162"/>
      <c r="C232" s="259"/>
      <c r="D232" s="267"/>
      <c r="E232" s="35"/>
      <c r="F232" s="151"/>
      <c r="G232" s="263">
        <f t="shared" si="25"/>
        <v>0</v>
      </c>
      <c r="H232" s="65"/>
      <c r="I232" s="275">
        <f t="shared" si="21"/>
        <v>0</v>
      </c>
      <c r="J232" s="161"/>
      <c r="K232" s="30"/>
      <c r="L232" s="30"/>
      <c r="M232" s="30"/>
      <c r="N232" s="30"/>
      <c r="O232" s="71">
        <f t="shared" si="22"/>
        <v>0</v>
      </c>
      <c r="P232" s="1070">
        <f t="shared" si="27"/>
        <v>0</v>
      </c>
      <c r="Q232" s="1071">
        <f t="shared" si="26"/>
        <v>0</v>
      </c>
    </row>
    <row r="233" spans="1:17" ht="13.5" thickBot="1" x14ac:dyDescent="0.25">
      <c r="A233" s="30"/>
      <c r="B233" s="163"/>
      <c r="C233" s="260"/>
      <c r="D233" s="268"/>
      <c r="E233" s="24"/>
      <c r="F233" s="25"/>
      <c r="G233" s="264">
        <f t="shared" si="25"/>
        <v>0</v>
      </c>
      <c r="H233" s="272"/>
      <c r="I233" s="276">
        <f t="shared" si="21"/>
        <v>0</v>
      </c>
      <c r="J233" s="161"/>
      <c r="K233" s="30"/>
      <c r="L233" s="30"/>
      <c r="M233" s="30"/>
      <c r="N233" s="30"/>
      <c r="O233" s="71">
        <f t="shared" si="22"/>
        <v>0</v>
      </c>
      <c r="P233" s="1070">
        <f t="shared" si="27"/>
        <v>0</v>
      </c>
      <c r="Q233" s="1071">
        <f t="shared" si="26"/>
        <v>0</v>
      </c>
    </row>
    <row r="234" spans="1:17" ht="6.75" customHeight="1" thickBot="1" x14ac:dyDescent="0.25">
      <c r="A234" s="30"/>
      <c r="B234" s="155"/>
      <c r="C234" s="155"/>
      <c r="D234" s="155"/>
      <c r="E234" s="155"/>
      <c r="F234" s="155"/>
      <c r="G234" s="155"/>
      <c r="H234" s="155"/>
      <c r="I234" s="155"/>
      <c r="J234" s="155"/>
      <c r="K234" s="30"/>
      <c r="L234" s="30"/>
      <c r="M234" s="30"/>
      <c r="N234" s="30"/>
      <c r="O234" s="812">
        <f>SUM(O182:O233)</f>
        <v>0</v>
      </c>
      <c r="P234" s="1075">
        <f>SUM(P182:P233)</f>
        <v>0</v>
      </c>
      <c r="Q234" s="813">
        <f>SUM(Q182:Q233)</f>
        <v>0</v>
      </c>
    </row>
    <row r="235" spans="1:17" ht="50.1" customHeight="1" x14ac:dyDescent="0.2">
      <c r="A235" s="30"/>
      <c r="B235" s="155"/>
      <c r="C235" s="155"/>
      <c r="D235" s="155"/>
      <c r="E235" s="155"/>
      <c r="F235" s="155"/>
      <c r="G235" s="155"/>
      <c r="H235" s="155"/>
      <c r="I235" s="155"/>
      <c r="J235" s="155"/>
      <c r="K235" s="30"/>
      <c r="L235" s="30"/>
      <c r="M235" s="30"/>
      <c r="N235" s="30"/>
      <c r="O235" s="30"/>
      <c r="P235" s="30"/>
    </row>
    <row r="236" spans="1:17" ht="18" x14ac:dyDescent="0.2">
      <c r="A236" s="1224" t="str">
        <f>UPPER("Patching Summary Table")</f>
        <v>PATCHING SUMMARY TABLE</v>
      </c>
      <c r="B236" s="1224"/>
      <c r="C236" s="1224"/>
      <c r="D236" s="1224"/>
      <c r="E236" s="1224"/>
      <c r="F236" s="1224"/>
      <c r="G236" s="1224"/>
      <c r="H236" s="1224"/>
      <c r="I236" s="1224"/>
      <c r="J236" s="1224"/>
      <c r="K236" s="30"/>
      <c r="L236" s="30"/>
      <c r="M236" s="30"/>
      <c r="N236" s="30"/>
      <c r="O236" s="30"/>
      <c r="P236" s="30"/>
    </row>
    <row r="237" spans="1:17" ht="7.5" customHeight="1" thickBot="1" x14ac:dyDescent="0.25">
      <c r="A237" s="30"/>
      <c r="B237" s="31"/>
      <c r="C237" s="31"/>
      <c r="D237" s="31"/>
      <c r="E237" s="31"/>
      <c r="F237" s="31"/>
      <c r="G237" s="31"/>
      <c r="H237" s="31"/>
      <c r="I237" s="31"/>
      <c r="J237" s="31"/>
      <c r="K237" s="30"/>
      <c r="L237" s="30"/>
      <c r="M237" s="30"/>
      <c r="N237" s="30"/>
      <c r="O237" s="30"/>
      <c r="P237" s="30"/>
    </row>
    <row r="238" spans="1:17" x14ac:dyDescent="0.2">
      <c r="A238" s="30"/>
      <c r="B238" s="1310" t="s">
        <v>2</v>
      </c>
      <c r="C238" s="1319" t="s">
        <v>3</v>
      </c>
      <c r="D238" s="1310" t="s">
        <v>39</v>
      </c>
      <c r="E238" s="1308" t="s">
        <v>4</v>
      </c>
      <c r="F238" s="1223" t="s">
        <v>535</v>
      </c>
      <c r="G238" s="261" t="s">
        <v>129</v>
      </c>
      <c r="H238" s="269" t="s">
        <v>102</v>
      </c>
      <c r="I238" s="152" t="s">
        <v>209</v>
      </c>
      <c r="J238" s="31"/>
      <c r="K238" s="30"/>
      <c r="L238" s="30"/>
      <c r="M238" s="30"/>
      <c r="N238" s="30"/>
      <c r="O238" s="1159" t="s">
        <v>537</v>
      </c>
      <c r="P238" s="1305"/>
      <c r="Q238" s="1306"/>
    </row>
    <row r="239" spans="1:17" ht="13.5" thickBot="1" x14ac:dyDescent="0.25">
      <c r="A239" s="30"/>
      <c r="B239" s="1285"/>
      <c r="C239" s="1320"/>
      <c r="D239" s="1285"/>
      <c r="E239" s="1227"/>
      <c r="F239" s="1242"/>
      <c r="G239" s="262" t="s">
        <v>100</v>
      </c>
      <c r="H239" s="270" t="s">
        <v>100</v>
      </c>
      <c r="I239" s="273" t="s">
        <v>210</v>
      </c>
      <c r="J239" s="31"/>
      <c r="K239" s="30"/>
      <c r="L239" s="30"/>
      <c r="M239" s="30"/>
      <c r="N239" s="30"/>
      <c r="O239" s="41" t="str">
        <f>$Q$41</f>
        <v>Partial</v>
      </c>
      <c r="P239" s="42" t="str">
        <f>$Q$42</f>
        <v>Full ( HMA)</v>
      </c>
      <c r="Q239" s="43" t="str">
        <f>$Q$43</f>
        <v>Full (Composite)</v>
      </c>
    </row>
    <row r="240" spans="1:17" x14ac:dyDescent="0.2">
      <c r="A240" s="30"/>
      <c r="B240" s="159"/>
      <c r="C240" s="258"/>
      <c r="D240" s="265"/>
      <c r="E240" s="160"/>
      <c r="F240" s="266"/>
      <c r="G240" s="263">
        <f>ABS(C240-B240)</f>
        <v>0</v>
      </c>
      <c r="H240" s="271"/>
      <c r="I240" s="274">
        <f t="shared" ref="I240:I291" si="28">ROUNDUP((G240*H240)/9,0)</f>
        <v>0</v>
      </c>
      <c r="J240" s="161"/>
      <c r="K240" s="30"/>
      <c r="L240" s="30"/>
      <c r="M240" s="30"/>
      <c r="N240" s="30"/>
      <c r="O240" s="54">
        <f t="shared" ref="O240:O291" si="29">IF($F240=$Q$41,$I240,0)</f>
        <v>0</v>
      </c>
      <c r="P240" s="1069">
        <f t="shared" ref="P240:P272" si="30">IF($F240=$Q$42,$I240,0)</f>
        <v>0</v>
      </c>
      <c r="Q240" s="811">
        <f t="shared" ref="Q240:Q271" si="31">IF($F240=$Q$43,$I240,0)</f>
        <v>0</v>
      </c>
    </row>
    <row r="241" spans="1:17" x14ac:dyDescent="0.2">
      <c r="A241" s="30"/>
      <c r="B241" s="162"/>
      <c r="C241" s="259"/>
      <c r="D241" s="267"/>
      <c r="E241" s="35"/>
      <c r="F241" s="151"/>
      <c r="G241" s="263">
        <f t="shared" ref="G241:G291" si="32">ABS(C241-B241)</f>
        <v>0</v>
      </c>
      <c r="H241" s="65"/>
      <c r="I241" s="275">
        <f t="shared" si="28"/>
        <v>0</v>
      </c>
      <c r="J241" s="161"/>
      <c r="K241" s="30"/>
      <c r="L241" s="30"/>
      <c r="M241" s="30"/>
      <c r="N241" s="30"/>
      <c r="O241" s="71">
        <f t="shared" si="29"/>
        <v>0</v>
      </c>
      <c r="P241" s="1070">
        <f t="shared" si="30"/>
        <v>0</v>
      </c>
      <c r="Q241" s="1071">
        <f t="shared" si="31"/>
        <v>0</v>
      </c>
    </row>
    <row r="242" spans="1:17" x14ac:dyDescent="0.2">
      <c r="A242" s="30"/>
      <c r="B242" s="162"/>
      <c r="C242" s="259"/>
      <c r="D242" s="267"/>
      <c r="E242" s="35"/>
      <c r="F242" s="151"/>
      <c r="G242" s="263">
        <f t="shared" si="32"/>
        <v>0</v>
      </c>
      <c r="H242" s="65"/>
      <c r="I242" s="275">
        <f t="shared" si="28"/>
        <v>0</v>
      </c>
      <c r="J242" s="161"/>
      <c r="K242" s="30"/>
      <c r="L242" s="30"/>
      <c r="M242" s="30"/>
      <c r="N242" s="30"/>
      <c r="O242" s="71">
        <f t="shared" si="29"/>
        <v>0</v>
      </c>
      <c r="P242" s="1070">
        <f t="shared" si="30"/>
        <v>0</v>
      </c>
      <c r="Q242" s="1071">
        <f t="shared" si="31"/>
        <v>0</v>
      </c>
    </row>
    <row r="243" spans="1:17" x14ac:dyDescent="0.2">
      <c r="A243" s="30"/>
      <c r="B243" s="162"/>
      <c r="C243" s="259"/>
      <c r="D243" s="267"/>
      <c r="E243" s="35"/>
      <c r="F243" s="151"/>
      <c r="G243" s="263">
        <f t="shared" si="32"/>
        <v>0</v>
      </c>
      <c r="H243" s="65"/>
      <c r="I243" s="275">
        <f t="shared" si="28"/>
        <v>0</v>
      </c>
      <c r="J243" s="161"/>
      <c r="K243" s="30"/>
      <c r="L243" s="30"/>
      <c r="M243" s="30"/>
      <c r="N243" s="30"/>
      <c r="O243" s="71">
        <f t="shared" si="29"/>
        <v>0</v>
      </c>
      <c r="P243" s="1070">
        <f t="shared" si="30"/>
        <v>0</v>
      </c>
      <c r="Q243" s="1071">
        <f t="shared" si="31"/>
        <v>0</v>
      </c>
    </row>
    <row r="244" spans="1:17" x14ac:dyDescent="0.2">
      <c r="A244" s="30"/>
      <c r="B244" s="162"/>
      <c r="C244" s="259"/>
      <c r="D244" s="267"/>
      <c r="E244" s="35"/>
      <c r="F244" s="151"/>
      <c r="G244" s="263">
        <f t="shared" si="32"/>
        <v>0</v>
      </c>
      <c r="H244" s="65"/>
      <c r="I244" s="275">
        <f t="shared" si="28"/>
        <v>0</v>
      </c>
      <c r="J244" s="161"/>
      <c r="K244" s="30"/>
      <c r="L244" s="30"/>
      <c r="M244" s="30"/>
      <c r="N244" s="30"/>
      <c r="O244" s="71">
        <f t="shared" si="29"/>
        <v>0</v>
      </c>
      <c r="P244" s="1070">
        <f t="shared" si="30"/>
        <v>0</v>
      </c>
      <c r="Q244" s="1071">
        <f t="shared" si="31"/>
        <v>0</v>
      </c>
    </row>
    <row r="245" spans="1:17" x14ac:dyDescent="0.2">
      <c r="A245" s="30"/>
      <c r="B245" s="162"/>
      <c r="C245" s="259"/>
      <c r="D245" s="267"/>
      <c r="E245" s="35"/>
      <c r="F245" s="151"/>
      <c r="G245" s="263">
        <f t="shared" si="32"/>
        <v>0</v>
      </c>
      <c r="H245" s="65"/>
      <c r="I245" s="275">
        <f t="shared" si="28"/>
        <v>0</v>
      </c>
      <c r="J245" s="161"/>
      <c r="K245" s="30"/>
      <c r="L245" s="30"/>
      <c r="M245" s="30"/>
      <c r="N245" s="30"/>
      <c r="O245" s="71">
        <f t="shared" si="29"/>
        <v>0</v>
      </c>
      <c r="P245" s="1070">
        <f t="shared" si="30"/>
        <v>0</v>
      </c>
      <c r="Q245" s="1071">
        <f t="shared" si="31"/>
        <v>0</v>
      </c>
    </row>
    <row r="246" spans="1:17" x14ac:dyDescent="0.2">
      <c r="A246" s="30"/>
      <c r="B246" s="162"/>
      <c r="C246" s="259"/>
      <c r="D246" s="267"/>
      <c r="E246" s="35"/>
      <c r="F246" s="151"/>
      <c r="G246" s="263">
        <f t="shared" si="32"/>
        <v>0</v>
      </c>
      <c r="H246" s="65"/>
      <c r="I246" s="275">
        <f t="shared" si="28"/>
        <v>0</v>
      </c>
      <c r="J246" s="161"/>
      <c r="K246" s="30"/>
      <c r="L246" s="30"/>
      <c r="M246" s="30"/>
      <c r="N246" s="30"/>
      <c r="O246" s="71">
        <f t="shared" si="29"/>
        <v>0</v>
      </c>
      <c r="P246" s="1070">
        <f t="shared" si="30"/>
        <v>0</v>
      </c>
      <c r="Q246" s="1071">
        <f t="shared" si="31"/>
        <v>0</v>
      </c>
    </row>
    <row r="247" spans="1:17" x14ac:dyDescent="0.2">
      <c r="A247" s="30"/>
      <c r="B247" s="162"/>
      <c r="C247" s="259"/>
      <c r="D247" s="267"/>
      <c r="E247" s="35"/>
      <c r="F247" s="151"/>
      <c r="G247" s="263">
        <f t="shared" si="32"/>
        <v>0</v>
      </c>
      <c r="H247" s="65"/>
      <c r="I247" s="275">
        <f t="shared" si="28"/>
        <v>0</v>
      </c>
      <c r="J247" s="161"/>
      <c r="K247" s="30"/>
      <c r="L247" s="30"/>
      <c r="M247" s="30"/>
      <c r="N247" s="30"/>
      <c r="O247" s="71">
        <f t="shared" si="29"/>
        <v>0</v>
      </c>
      <c r="P247" s="1070">
        <f t="shared" si="30"/>
        <v>0</v>
      </c>
      <c r="Q247" s="1071">
        <f t="shared" si="31"/>
        <v>0</v>
      </c>
    </row>
    <row r="248" spans="1:17" x14ac:dyDescent="0.2">
      <c r="A248" s="30"/>
      <c r="B248" s="162"/>
      <c r="C248" s="259"/>
      <c r="D248" s="267"/>
      <c r="E248" s="35"/>
      <c r="F248" s="151"/>
      <c r="G248" s="263">
        <f t="shared" si="32"/>
        <v>0</v>
      </c>
      <c r="H248" s="65"/>
      <c r="I248" s="275">
        <f t="shared" si="28"/>
        <v>0</v>
      </c>
      <c r="J248" s="161"/>
      <c r="K248" s="30"/>
      <c r="L248" s="30"/>
      <c r="M248" s="30"/>
      <c r="N248" s="30"/>
      <c r="O248" s="71">
        <f t="shared" si="29"/>
        <v>0</v>
      </c>
      <c r="P248" s="1070">
        <f t="shared" si="30"/>
        <v>0</v>
      </c>
      <c r="Q248" s="1071">
        <f t="shared" si="31"/>
        <v>0</v>
      </c>
    </row>
    <row r="249" spans="1:17" x14ac:dyDescent="0.2">
      <c r="A249" s="30"/>
      <c r="B249" s="162"/>
      <c r="C249" s="259"/>
      <c r="D249" s="267"/>
      <c r="E249" s="35"/>
      <c r="F249" s="151"/>
      <c r="G249" s="263">
        <f t="shared" si="32"/>
        <v>0</v>
      </c>
      <c r="H249" s="65"/>
      <c r="I249" s="275">
        <f t="shared" si="28"/>
        <v>0</v>
      </c>
      <c r="J249" s="161"/>
      <c r="K249" s="30"/>
      <c r="L249" s="30"/>
      <c r="M249" s="30"/>
      <c r="N249" s="30"/>
      <c r="O249" s="71">
        <f t="shared" si="29"/>
        <v>0</v>
      </c>
      <c r="P249" s="1070">
        <f t="shared" si="30"/>
        <v>0</v>
      </c>
      <c r="Q249" s="1071">
        <f t="shared" si="31"/>
        <v>0</v>
      </c>
    </row>
    <row r="250" spans="1:17" x14ac:dyDescent="0.2">
      <c r="A250" s="30"/>
      <c r="B250" s="162"/>
      <c r="C250" s="259"/>
      <c r="D250" s="267"/>
      <c r="E250" s="35"/>
      <c r="F250" s="151"/>
      <c r="G250" s="263">
        <f t="shared" si="32"/>
        <v>0</v>
      </c>
      <c r="H250" s="65"/>
      <c r="I250" s="275">
        <f t="shared" si="28"/>
        <v>0</v>
      </c>
      <c r="J250" s="161"/>
      <c r="K250" s="30"/>
      <c r="L250" s="30"/>
      <c r="M250" s="30"/>
      <c r="N250" s="30"/>
      <c r="O250" s="71">
        <f t="shared" si="29"/>
        <v>0</v>
      </c>
      <c r="P250" s="1070">
        <f t="shared" si="30"/>
        <v>0</v>
      </c>
      <c r="Q250" s="1071">
        <f t="shared" si="31"/>
        <v>0</v>
      </c>
    </row>
    <row r="251" spans="1:17" x14ac:dyDescent="0.2">
      <c r="A251" s="30"/>
      <c r="B251" s="162"/>
      <c r="C251" s="259"/>
      <c r="D251" s="267"/>
      <c r="E251" s="35"/>
      <c r="F251" s="151"/>
      <c r="G251" s="263">
        <f t="shared" si="32"/>
        <v>0</v>
      </c>
      <c r="H251" s="65"/>
      <c r="I251" s="275">
        <f t="shared" si="28"/>
        <v>0</v>
      </c>
      <c r="J251" s="161"/>
      <c r="K251" s="30"/>
      <c r="L251" s="30"/>
      <c r="M251" s="30"/>
      <c r="N251" s="30"/>
      <c r="O251" s="71">
        <f t="shared" si="29"/>
        <v>0</v>
      </c>
      <c r="P251" s="1070">
        <f t="shared" si="30"/>
        <v>0</v>
      </c>
      <c r="Q251" s="1071">
        <f t="shared" si="31"/>
        <v>0</v>
      </c>
    </row>
    <row r="252" spans="1:17" x14ac:dyDescent="0.2">
      <c r="A252" s="30"/>
      <c r="B252" s="162"/>
      <c r="C252" s="259"/>
      <c r="D252" s="267"/>
      <c r="E252" s="35"/>
      <c r="F252" s="151"/>
      <c r="G252" s="263">
        <f t="shared" si="32"/>
        <v>0</v>
      </c>
      <c r="H252" s="65"/>
      <c r="I252" s="275">
        <f t="shared" si="28"/>
        <v>0</v>
      </c>
      <c r="J252" s="161"/>
      <c r="K252" s="30"/>
      <c r="L252" s="30"/>
      <c r="M252" s="30"/>
      <c r="N252" s="30"/>
      <c r="O252" s="71">
        <f t="shared" si="29"/>
        <v>0</v>
      </c>
      <c r="P252" s="1070">
        <f t="shared" si="30"/>
        <v>0</v>
      </c>
      <c r="Q252" s="1071">
        <f t="shared" si="31"/>
        <v>0</v>
      </c>
    </row>
    <row r="253" spans="1:17" x14ac:dyDescent="0.2">
      <c r="A253" s="30"/>
      <c r="B253" s="162"/>
      <c r="C253" s="259"/>
      <c r="D253" s="267"/>
      <c r="E253" s="35"/>
      <c r="F253" s="151"/>
      <c r="G253" s="263">
        <f t="shared" si="32"/>
        <v>0</v>
      </c>
      <c r="H253" s="65"/>
      <c r="I253" s="275">
        <f t="shared" si="28"/>
        <v>0</v>
      </c>
      <c r="J253" s="161"/>
      <c r="K253" s="30"/>
      <c r="L253" s="30"/>
      <c r="M253" s="30"/>
      <c r="N253" s="30"/>
      <c r="O253" s="71">
        <f t="shared" si="29"/>
        <v>0</v>
      </c>
      <c r="P253" s="1070">
        <f t="shared" si="30"/>
        <v>0</v>
      </c>
      <c r="Q253" s="1071">
        <f t="shared" si="31"/>
        <v>0</v>
      </c>
    </row>
    <row r="254" spans="1:17" x14ac:dyDescent="0.2">
      <c r="A254" s="30"/>
      <c r="B254" s="162"/>
      <c r="C254" s="259"/>
      <c r="D254" s="267"/>
      <c r="E254" s="35"/>
      <c r="F254" s="151"/>
      <c r="G254" s="263">
        <f t="shared" si="32"/>
        <v>0</v>
      </c>
      <c r="H254" s="65"/>
      <c r="I254" s="275">
        <f t="shared" si="28"/>
        <v>0</v>
      </c>
      <c r="J254" s="161"/>
      <c r="K254" s="30"/>
      <c r="L254" s="30"/>
      <c r="M254" s="30"/>
      <c r="N254" s="30"/>
      <c r="O254" s="71">
        <f t="shared" si="29"/>
        <v>0</v>
      </c>
      <c r="P254" s="1070">
        <f t="shared" si="30"/>
        <v>0</v>
      </c>
      <c r="Q254" s="1071">
        <f t="shared" si="31"/>
        <v>0</v>
      </c>
    </row>
    <row r="255" spans="1:17" x14ac:dyDescent="0.2">
      <c r="A255" s="30"/>
      <c r="B255" s="162"/>
      <c r="C255" s="259"/>
      <c r="D255" s="267"/>
      <c r="E255" s="35"/>
      <c r="F255" s="151"/>
      <c r="G255" s="263">
        <f t="shared" si="32"/>
        <v>0</v>
      </c>
      <c r="H255" s="65"/>
      <c r="I255" s="275">
        <f t="shared" si="28"/>
        <v>0</v>
      </c>
      <c r="J255" s="161"/>
      <c r="K255" s="30"/>
      <c r="L255" s="30"/>
      <c r="M255" s="30"/>
      <c r="N255" s="30"/>
      <c r="O255" s="71">
        <f t="shared" si="29"/>
        <v>0</v>
      </c>
      <c r="P255" s="1070">
        <f t="shared" si="30"/>
        <v>0</v>
      </c>
      <c r="Q255" s="1071">
        <f t="shared" si="31"/>
        <v>0</v>
      </c>
    </row>
    <row r="256" spans="1:17" x14ac:dyDescent="0.2">
      <c r="A256" s="30"/>
      <c r="B256" s="162"/>
      <c r="C256" s="259"/>
      <c r="D256" s="267"/>
      <c r="E256" s="35"/>
      <c r="F256" s="151"/>
      <c r="G256" s="263">
        <f t="shared" si="32"/>
        <v>0</v>
      </c>
      <c r="H256" s="65"/>
      <c r="I256" s="275">
        <f t="shared" si="28"/>
        <v>0</v>
      </c>
      <c r="J256" s="161"/>
      <c r="K256" s="30"/>
      <c r="L256" s="30"/>
      <c r="M256" s="30"/>
      <c r="N256" s="30"/>
      <c r="O256" s="71">
        <f t="shared" si="29"/>
        <v>0</v>
      </c>
      <c r="P256" s="1070">
        <f t="shared" si="30"/>
        <v>0</v>
      </c>
      <c r="Q256" s="1071">
        <f t="shared" si="31"/>
        <v>0</v>
      </c>
    </row>
    <row r="257" spans="1:17" x14ac:dyDescent="0.2">
      <c r="A257" s="30"/>
      <c r="B257" s="162"/>
      <c r="C257" s="259"/>
      <c r="D257" s="267"/>
      <c r="E257" s="35"/>
      <c r="F257" s="151"/>
      <c r="G257" s="263">
        <f t="shared" si="32"/>
        <v>0</v>
      </c>
      <c r="H257" s="65"/>
      <c r="I257" s="275">
        <f t="shared" si="28"/>
        <v>0</v>
      </c>
      <c r="J257" s="161"/>
      <c r="K257" s="30"/>
      <c r="L257" s="30"/>
      <c r="M257" s="30"/>
      <c r="N257" s="30"/>
      <c r="O257" s="71">
        <f t="shared" si="29"/>
        <v>0</v>
      </c>
      <c r="P257" s="1070">
        <f t="shared" si="30"/>
        <v>0</v>
      </c>
      <c r="Q257" s="1071">
        <f t="shared" si="31"/>
        <v>0</v>
      </c>
    </row>
    <row r="258" spans="1:17" x14ac:dyDescent="0.2">
      <c r="A258" s="30"/>
      <c r="B258" s="162"/>
      <c r="C258" s="259"/>
      <c r="D258" s="267"/>
      <c r="E258" s="35"/>
      <c r="F258" s="151"/>
      <c r="G258" s="263">
        <f t="shared" si="32"/>
        <v>0</v>
      </c>
      <c r="H258" s="65"/>
      <c r="I258" s="275">
        <f t="shared" si="28"/>
        <v>0</v>
      </c>
      <c r="J258" s="161"/>
      <c r="K258" s="30"/>
      <c r="L258" s="30"/>
      <c r="M258" s="30"/>
      <c r="N258" s="30"/>
      <c r="O258" s="71">
        <f t="shared" si="29"/>
        <v>0</v>
      </c>
      <c r="P258" s="1070">
        <f t="shared" si="30"/>
        <v>0</v>
      </c>
      <c r="Q258" s="1071">
        <f t="shared" si="31"/>
        <v>0</v>
      </c>
    </row>
    <row r="259" spans="1:17" x14ac:dyDescent="0.2">
      <c r="A259" s="30"/>
      <c r="B259" s="162"/>
      <c r="C259" s="259"/>
      <c r="D259" s="267"/>
      <c r="E259" s="35"/>
      <c r="F259" s="151"/>
      <c r="G259" s="263">
        <f t="shared" si="32"/>
        <v>0</v>
      </c>
      <c r="H259" s="65"/>
      <c r="I259" s="275">
        <f t="shared" si="28"/>
        <v>0</v>
      </c>
      <c r="J259" s="161"/>
      <c r="K259" s="30"/>
      <c r="L259" s="30"/>
      <c r="M259" s="30"/>
      <c r="N259" s="30"/>
      <c r="O259" s="71">
        <f t="shared" si="29"/>
        <v>0</v>
      </c>
      <c r="P259" s="1070">
        <f t="shared" si="30"/>
        <v>0</v>
      </c>
      <c r="Q259" s="1071">
        <f t="shared" si="31"/>
        <v>0</v>
      </c>
    </row>
    <row r="260" spans="1:17" x14ac:dyDescent="0.2">
      <c r="A260" s="30"/>
      <c r="B260" s="162"/>
      <c r="C260" s="259"/>
      <c r="D260" s="267"/>
      <c r="E260" s="35"/>
      <c r="F260" s="151"/>
      <c r="G260" s="263">
        <f t="shared" si="32"/>
        <v>0</v>
      </c>
      <c r="H260" s="65"/>
      <c r="I260" s="275">
        <f t="shared" si="28"/>
        <v>0</v>
      </c>
      <c r="J260" s="161"/>
      <c r="K260" s="30"/>
      <c r="L260" s="30"/>
      <c r="M260" s="30"/>
      <c r="N260" s="30"/>
      <c r="O260" s="71">
        <f t="shared" si="29"/>
        <v>0</v>
      </c>
      <c r="P260" s="1070">
        <f t="shared" si="30"/>
        <v>0</v>
      </c>
      <c r="Q260" s="1071">
        <f t="shared" si="31"/>
        <v>0</v>
      </c>
    </row>
    <row r="261" spans="1:17" x14ac:dyDescent="0.2">
      <c r="A261" s="30"/>
      <c r="B261" s="162"/>
      <c r="C261" s="259"/>
      <c r="D261" s="267"/>
      <c r="E261" s="35"/>
      <c r="F261" s="151"/>
      <c r="G261" s="263">
        <f t="shared" si="32"/>
        <v>0</v>
      </c>
      <c r="H261" s="65"/>
      <c r="I261" s="275">
        <f t="shared" si="28"/>
        <v>0</v>
      </c>
      <c r="J261" s="161"/>
      <c r="K261" s="30"/>
      <c r="L261" s="30"/>
      <c r="M261" s="30"/>
      <c r="N261" s="30"/>
      <c r="O261" s="71">
        <f t="shared" si="29"/>
        <v>0</v>
      </c>
      <c r="P261" s="1070">
        <f t="shared" si="30"/>
        <v>0</v>
      </c>
      <c r="Q261" s="1071">
        <f t="shared" si="31"/>
        <v>0</v>
      </c>
    </row>
    <row r="262" spans="1:17" x14ac:dyDescent="0.2">
      <c r="A262" s="30"/>
      <c r="B262" s="162"/>
      <c r="C262" s="259"/>
      <c r="D262" s="267"/>
      <c r="E262" s="35"/>
      <c r="F262" s="151"/>
      <c r="G262" s="263">
        <f t="shared" si="32"/>
        <v>0</v>
      </c>
      <c r="H262" s="65"/>
      <c r="I262" s="275">
        <f t="shared" si="28"/>
        <v>0</v>
      </c>
      <c r="J262" s="161"/>
      <c r="K262" s="30"/>
      <c r="L262" s="30"/>
      <c r="M262" s="30"/>
      <c r="N262" s="30"/>
      <c r="O262" s="71">
        <f t="shared" si="29"/>
        <v>0</v>
      </c>
      <c r="P262" s="1070">
        <f t="shared" si="30"/>
        <v>0</v>
      </c>
      <c r="Q262" s="1071">
        <f t="shared" si="31"/>
        <v>0</v>
      </c>
    </row>
    <row r="263" spans="1:17" x14ac:dyDescent="0.2">
      <c r="A263" s="30"/>
      <c r="B263" s="162"/>
      <c r="C263" s="259"/>
      <c r="D263" s="267"/>
      <c r="E263" s="35"/>
      <c r="F263" s="151"/>
      <c r="G263" s="263">
        <f t="shared" si="32"/>
        <v>0</v>
      </c>
      <c r="H263" s="65"/>
      <c r="I263" s="275">
        <f t="shared" si="28"/>
        <v>0</v>
      </c>
      <c r="J263" s="161"/>
      <c r="K263" s="30"/>
      <c r="L263" s="30"/>
      <c r="M263" s="30"/>
      <c r="N263" s="30"/>
      <c r="O263" s="71">
        <f t="shared" si="29"/>
        <v>0</v>
      </c>
      <c r="P263" s="1070">
        <f t="shared" si="30"/>
        <v>0</v>
      </c>
      <c r="Q263" s="1071">
        <f t="shared" si="31"/>
        <v>0</v>
      </c>
    </row>
    <row r="264" spans="1:17" x14ac:dyDescent="0.2">
      <c r="A264" s="30"/>
      <c r="B264" s="162"/>
      <c r="C264" s="259"/>
      <c r="D264" s="267"/>
      <c r="E264" s="35"/>
      <c r="F264" s="151"/>
      <c r="G264" s="263">
        <f t="shared" si="32"/>
        <v>0</v>
      </c>
      <c r="H264" s="65"/>
      <c r="I264" s="275">
        <f t="shared" si="28"/>
        <v>0</v>
      </c>
      <c r="J264" s="161"/>
      <c r="K264" s="30"/>
      <c r="L264" s="30"/>
      <c r="M264" s="30"/>
      <c r="N264" s="30"/>
      <c r="O264" s="71">
        <f t="shared" si="29"/>
        <v>0</v>
      </c>
      <c r="P264" s="1070">
        <f t="shared" si="30"/>
        <v>0</v>
      </c>
      <c r="Q264" s="1071">
        <f t="shared" si="31"/>
        <v>0</v>
      </c>
    </row>
    <row r="265" spans="1:17" x14ac:dyDescent="0.2">
      <c r="A265" s="30"/>
      <c r="B265" s="162"/>
      <c r="C265" s="259"/>
      <c r="D265" s="267"/>
      <c r="E265" s="35"/>
      <c r="F265" s="151"/>
      <c r="G265" s="263">
        <f t="shared" si="32"/>
        <v>0</v>
      </c>
      <c r="H265" s="65"/>
      <c r="I265" s="275">
        <f t="shared" si="28"/>
        <v>0</v>
      </c>
      <c r="J265" s="161"/>
      <c r="K265" s="30"/>
      <c r="L265" s="30"/>
      <c r="M265" s="30"/>
      <c r="N265" s="30"/>
      <c r="O265" s="71">
        <f t="shared" si="29"/>
        <v>0</v>
      </c>
      <c r="P265" s="1070">
        <f t="shared" si="30"/>
        <v>0</v>
      </c>
      <c r="Q265" s="1071">
        <f t="shared" si="31"/>
        <v>0</v>
      </c>
    </row>
    <row r="266" spans="1:17" x14ac:dyDescent="0.2">
      <c r="A266" s="30"/>
      <c r="B266" s="162"/>
      <c r="C266" s="259"/>
      <c r="D266" s="267"/>
      <c r="E266" s="35"/>
      <c r="F266" s="151"/>
      <c r="G266" s="263">
        <f t="shared" si="32"/>
        <v>0</v>
      </c>
      <c r="H266" s="65"/>
      <c r="I266" s="275">
        <f t="shared" si="28"/>
        <v>0</v>
      </c>
      <c r="J266" s="161"/>
      <c r="K266" s="30"/>
      <c r="L266" s="30"/>
      <c r="M266" s="30"/>
      <c r="N266" s="30"/>
      <c r="O266" s="71">
        <f t="shared" si="29"/>
        <v>0</v>
      </c>
      <c r="P266" s="1070">
        <f t="shared" si="30"/>
        <v>0</v>
      </c>
      <c r="Q266" s="1071">
        <f t="shared" si="31"/>
        <v>0</v>
      </c>
    </row>
    <row r="267" spans="1:17" x14ac:dyDescent="0.2">
      <c r="A267" s="30"/>
      <c r="B267" s="162"/>
      <c r="C267" s="259"/>
      <c r="D267" s="267"/>
      <c r="E267" s="35"/>
      <c r="F267" s="151"/>
      <c r="G267" s="263">
        <f t="shared" si="32"/>
        <v>0</v>
      </c>
      <c r="H267" s="65"/>
      <c r="I267" s="275">
        <f t="shared" si="28"/>
        <v>0</v>
      </c>
      <c r="J267" s="161"/>
      <c r="K267" s="30"/>
      <c r="L267" s="30"/>
      <c r="M267" s="30"/>
      <c r="N267" s="30"/>
      <c r="O267" s="71">
        <f t="shared" si="29"/>
        <v>0</v>
      </c>
      <c r="P267" s="1070">
        <f t="shared" si="30"/>
        <v>0</v>
      </c>
      <c r="Q267" s="1071">
        <f t="shared" si="31"/>
        <v>0</v>
      </c>
    </row>
    <row r="268" spans="1:17" x14ac:dyDescent="0.2">
      <c r="A268" s="30"/>
      <c r="B268" s="162"/>
      <c r="C268" s="259"/>
      <c r="D268" s="267"/>
      <c r="E268" s="35"/>
      <c r="F268" s="151"/>
      <c r="G268" s="263">
        <f t="shared" si="32"/>
        <v>0</v>
      </c>
      <c r="H268" s="65"/>
      <c r="I268" s="275">
        <f t="shared" si="28"/>
        <v>0</v>
      </c>
      <c r="J268" s="161"/>
      <c r="K268" s="30"/>
      <c r="L268" s="30"/>
      <c r="M268" s="30"/>
      <c r="N268" s="30"/>
      <c r="O268" s="71">
        <f t="shared" si="29"/>
        <v>0</v>
      </c>
      <c r="P268" s="1070">
        <f t="shared" si="30"/>
        <v>0</v>
      </c>
      <c r="Q268" s="1071">
        <f t="shared" si="31"/>
        <v>0</v>
      </c>
    </row>
    <row r="269" spans="1:17" x14ac:dyDescent="0.2">
      <c r="A269" s="30"/>
      <c r="B269" s="162"/>
      <c r="C269" s="259"/>
      <c r="D269" s="267"/>
      <c r="E269" s="35"/>
      <c r="F269" s="151"/>
      <c r="G269" s="263">
        <f t="shared" si="32"/>
        <v>0</v>
      </c>
      <c r="H269" s="65"/>
      <c r="I269" s="275">
        <f t="shared" si="28"/>
        <v>0</v>
      </c>
      <c r="J269" s="161"/>
      <c r="K269" s="30"/>
      <c r="L269" s="30"/>
      <c r="M269" s="30"/>
      <c r="N269" s="30"/>
      <c r="O269" s="71">
        <f t="shared" si="29"/>
        <v>0</v>
      </c>
      <c r="P269" s="1070">
        <f t="shared" si="30"/>
        <v>0</v>
      </c>
      <c r="Q269" s="1071">
        <f t="shared" si="31"/>
        <v>0</v>
      </c>
    </row>
    <row r="270" spans="1:17" x14ac:dyDescent="0.2">
      <c r="A270" s="30"/>
      <c r="B270" s="162"/>
      <c r="C270" s="259"/>
      <c r="D270" s="267"/>
      <c r="E270" s="35"/>
      <c r="F270" s="151"/>
      <c r="G270" s="263">
        <f t="shared" si="32"/>
        <v>0</v>
      </c>
      <c r="H270" s="65"/>
      <c r="I270" s="275">
        <f t="shared" si="28"/>
        <v>0</v>
      </c>
      <c r="J270" s="161"/>
      <c r="K270" s="30"/>
      <c r="L270" s="30"/>
      <c r="M270" s="30"/>
      <c r="N270" s="30"/>
      <c r="O270" s="71">
        <f t="shared" si="29"/>
        <v>0</v>
      </c>
      <c r="P270" s="1070">
        <f t="shared" si="30"/>
        <v>0</v>
      </c>
      <c r="Q270" s="1071">
        <f t="shared" si="31"/>
        <v>0</v>
      </c>
    </row>
    <row r="271" spans="1:17" x14ac:dyDescent="0.2">
      <c r="A271" s="30"/>
      <c r="B271" s="162"/>
      <c r="C271" s="259"/>
      <c r="D271" s="267"/>
      <c r="E271" s="35"/>
      <c r="F271" s="151"/>
      <c r="G271" s="263">
        <f t="shared" si="32"/>
        <v>0</v>
      </c>
      <c r="H271" s="65"/>
      <c r="I271" s="275">
        <f t="shared" si="28"/>
        <v>0</v>
      </c>
      <c r="J271" s="161"/>
      <c r="K271" s="30"/>
      <c r="L271" s="30"/>
      <c r="M271" s="30"/>
      <c r="N271" s="30"/>
      <c r="O271" s="71">
        <f t="shared" si="29"/>
        <v>0</v>
      </c>
      <c r="P271" s="1070">
        <f t="shared" si="30"/>
        <v>0</v>
      </c>
      <c r="Q271" s="1071">
        <f t="shared" si="31"/>
        <v>0</v>
      </c>
    </row>
    <row r="272" spans="1:17" x14ac:dyDescent="0.2">
      <c r="A272" s="30"/>
      <c r="B272" s="162"/>
      <c r="C272" s="259"/>
      <c r="D272" s="267"/>
      <c r="E272" s="35"/>
      <c r="F272" s="151"/>
      <c r="G272" s="263">
        <f t="shared" si="32"/>
        <v>0</v>
      </c>
      <c r="H272" s="65"/>
      <c r="I272" s="275">
        <f t="shared" si="28"/>
        <v>0</v>
      </c>
      <c r="J272" s="161"/>
      <c r="K272" s="30"/>
      <c r="L272" s="30"/>
      <c r="M272" s="30"/>
      <c r="N272" s="30"/>
      <c r="O272" s="71">
        <f t="shared" si="29"/>
        <v>0</v>
      </c>
      <c r="P272" s="1070">
        <f t="shared" si="30"/>
        <v>0</v>
      </c>
      <c r="Q272" s="1071">
        <f t="shared" ref="Q272:Q291" si="33">IF($F272=$Q$43,$I272,0)</f>
        <v>0</v>
      </c>
    </row>
    <row r="273" spans="1:17" x14ac:dyDescent="0.2">
      <c r="A273" s="30"/>
      <c r="B273" s="162"/>
      <c r="C273" s="259"/>
      <c r="D273" s="267"/>
      <c r="E273" s="35"/>
      <c r="F273" s="151"/>
      <c r="G273" s="263">
        <f t="shared" si="32"/>
        <v>0</v>
      </c>
      <c r="H273" s="65"/>
      <c r="I273" s="275">
        <f t="shared" si="28"/>
        <v>0</v>
      </c>
      <c r="J273" s="161"/>
      <c r="K273" s="30"/>
      <c r="L273" s="30"/>
      <c r="M273" s="30"/>
      <c r="N273" s="30"/>
      <c r="O273" s="71">
        <f t="shared" si="29"/>
        <v>0</v>
      </c>
      <c r="P273" s="1070">
        <f t="shared" ref="P273:P291" si="34">IF($F273=$Q$42,$I273,0)</f>
        <v>0</v>
      </c>
      <c r="Q273" s="1071">
        <f t="shared" si="33"/>
        <v>0</v>
      </c>
    </row>
    <row r="274" spans="1:17" x14ac:dyDescent="0.2">
      <c r="A274" s="30"/>
      <c r="B274" s="162"/>
      <c r="C274" s="259"/>
      <c r="D274" s="267"/>
      <c r="E274" s="35"/>
      <c r="F274" s="151"/>
      <c r="G274" s="263">
        <f t="shared" si="32"/>
        <v>0</v>
      </c>
      <c r="H274" s="65"/>
      <c r="I274" s="275">
        <f t="shared" si="28"/>
        <v>0</v>
      </c>
      <c r="J274" s="161"/>
      <c r="K274" s="30"/>
      <c r="L274" s="30"/>
      <c r="M274" s="30"/>
      <c r="N274" s="30"/>
      <c r="O274" s="71">
        <f t="shared" si="29"/>
        <v>0</v>
      </c>
      <c r="P274" s="1070">
        <f t="shared" si="34"/>
        <v>0</v>
      </c>
      <c r="Q274" s="1071">
        <f t="shared" si="33"/>
        <v>0</v>
      </c>
    </row>
    <row r="275" spans="1:17" x14ac:dyDescent="0.2">
      <c r="A275" s="30"/>
      <c r="B275" s="162"/>
      <c r="C275" s="259"/>
      <c r="D275" s="267"/>
      <c r="E275" s="35"/>
      <c r="F275" s="151"/>
      <c r="G275" s="263">
        <f t="shared" si="32"/>
        <v>0</v>
      </c>
      <c r="H275" s="65"/>
      <c r="I275" s="275">
        <f t="shared" si="28"/>
        <v>0</v>
      </c>
      <c r="J275" s="161"/>
      <c r="K275" s="30"/>
      <c r="L275" s="30"/>
      <c r="M275" s="30"/>
      <c r="N275" s="30"/>
      <c r="O275" s="71">
        <f t="shared" si="29"/>
        <v>0</v>
      </c>
      <c r="P275" s="1070">
        <f t="shared" si="34"/>
        <v>0</v>
      </c>
      <c r="Q275" s="1071">
        <f t="shared" si="33"/>
        <v>0</v>
      </c>
    </row>
    <row r="276" spans="1:17" x14ac:dyDescent="0.2">
      <c r="A276" s="30"/>
      <c r="B276" s="162"/>
      <c r="C276" s="259"/>
      <c r="D276" s="267"/>
      <c r="E276" s="35"/>
      <c r="F276" s="151"/>
      <c r="G276" s="263">
        <f t="shared" si="32"/>
        <v>0</v>
      </c>
      <c r="H276" s="65"/>
      <c r="I276" s="275">
        <f t="shared" si="28"/>
        <v>0</v>
      </c>
      <c r="J276" s="161"/>
      <c r="K276" s="30"/>
      <c r="L276" s="30"/>
      <c r="M276" s="30"/>
      <c r="N276" s="30"/>
      <c r="O276" s="71">
        <f t="shared" si="29"/>
        <v>0</v>
      </c>
      <c r="P276" s="1070">
        <f t="shared" si="34"/>
        <v>0</v>
      </c>
      <c r="Q276" s="1071">
        <f t="shared" si="33"/>
        <v>0</v>
      </c>
    </row>
    <row r="277" spans="1:17" x14ac:dyDescent="0.2">
      <c r="A277" s="30"/>
      <c r="B277" s="162"/>
      <c r="C277" s="259"/>
      <c r="D277" s="267"/>
      <c r="E277" s="35"/>
      <c r="F277" s="151"/>
      <c r="G277" s="263">
        <f t="shared" si="32"/>
        <v>0</v>
      </c>
      <c r="H277" s="65"/>
      <c r="I277" s="275">
        <f t="shared" si="28"/>
        <v>0</v>
      </c>
      <c r="J277" s="161"/>
      <c r="K277" s="30"/>
      <c r="L277" s="30"/>
      <c r="M277" s="30"/>
      <c r="N277" s="30"/>
      <c r="O277" s="71">
        <f t="shared" si="29"/>
        <v>0</v>
      </c>
      <c r="P277" s="1070">
        <f t="shared" si="34"/>
        <v>0</v>
      </c>
      <c r="Q277" s="1071">
        <f t="shared" si="33"/>
        <v>0</v>
      </c>
    </row>
    <row r="278" spans="1:17" x14ac:dyDescent="0.2">
      <c r="A278" s="30"/>
      <c r="B278" s="162"/>
      <c r="C278" s="259"/>
      <c r="D278" s="267"/>
      <c r="E278" s="35"/>
      <c r="F278" s="151"/>
      <c r="G278" s="263">
        <f t="shared" si="32"/>
        <v>0</v>
      </c>
      <c r="H278" s="65"/>
      <c r="I278" s="275">
        <f t="shared" si="28"/>
        <v>0</v>
      </c>
      <c r="J278" s="161"/>
      <c r="K278" s="30"/>
      <c r="L278" s="30"/>
      <c r="M278" s="30"/>
      <c r="N278" s="30"/>
      <c r="O278" s="71">
        <f t="shared" si="29"/>
        <v>0</v>
      </c>
      <c r="P278" s="1070">
        <f t="shared" si="34"/>
        <v>0</v>
      </c>
      <c r="Q278" s="1071">
        <f t="shared" si="33"/>
        <v>0</v>
      </c>
    </row>
    <row r="279" spans="1:17" x14ac:dyDescent="0.2">
      <c r="A279" s="30"/>
      <c r="B279" s="162"/>
      <c r="C279" s="259"/>
      <c r="D279" s="267"/>
      <c r="E279" s="35"/>
      <c r="F279" s="151"/>
      <c r="G279" s="263">
        <f t="shared" si="32"/>
        <v>0</v>
      </c>
      <c r="H279" s="65"/>
      <c r="I279" s="275">
        <f t="shared" si="28"/>
        <v>0</v>
      </c>
      <c r="J279" s="161"/>
      <c r="K279" s="30"/>
      <c r="L279" s="30"/>
      <c r="M279" s="30"/>
      <c r="N279" s="30"/>
      <c r="O279" s="71">
        <f t="shared" si="29"/>
        <v>0</v>
      </c>
      <c r="P279" s="1070">
        <f t="shared" si="34"/>
        <v>0</v>
      </c>
      <c r="Q279" s="1071">
        <f t="shared" si="33"/>
        <v>0</v>
      </c>
    </row>
    <row r="280" spans="1:17" x14ac:dyDescent="0.2">
      <c r="A280" s="30"/>
      <c r="B280" s="162"/>
      <c r="C280" s="259"/>
      <c r="D280" s="267"/>
      <c r="E280" s="35"/>
      <c r="F280" s="151"/>
      <c r="G280" s="263">
        <f t="shared" si="32"/>
        <v>0</v>
      </c>
      <c r="H280" s="65"/>
      <c r="I280" s="275">
        <f t="shared" si="28"/>
        <v>0</v>
      </c>
      <c r="J280" s="161"/>
      <c r="K280" s="30"/>
      <c r="L280" s="30"/>
      <c r="M280" s="30"/>
      <c r="N280" s="30"/>
      <c r="O280" s="71">
        <f t="shared" si="29"/>
        <v>0</v>
      </c>
      <c r="P280" s="1070">
        <f t="shared" si="34"/>
        <v>0</v>
      </c>
      <c r="Q280" s="1071">
        <f t="shared" si="33"/>
        <v>0</v>
      </c>
    </row>
    <row r="281" spans="1:17" x14ac:dyDescent="0.2">
      <c r="A281" s="30"/>
      <c r="B281" s="162"/>
      <c r="C281" s="259"/>
      <c r="D281" s="267"/>
      <c r="E281" s="35"/>
      <c r="F281" s="151"/>
      <c r="G281" s="263">
        <f t="shared" si="32"/>
        <v>0</v>
      </c>
      <c r="H281" s="65"/>
      <c r="I281" s="275">
        <f t="shared" si="28"/>
        <v>0</v>
      </c>
      <c r="J281" s="161"/>
      <c r="K281" s="30"/>
      <c r="L281" s="30"/>
      <c r="M281" s="30"/>
      <c r="N281" s="30"/>
      <c r="O281" s="71">
        <f t="shared" si="29"/>
        <v>0</v>
      </c>
      <c r="P281" s="1070">
        <f t="shared" si="34"/>
        <v>0</v>
      </c>
      <c r="Q281" s="1071">
        <f t="shared" si="33"/>
        <v>0</v>
      </c>
    </row>
    <row r="282" spans="1:17" x14ac:dyDescent="0.2">
      <c r="A282" s="30"/>
      <c r="B282" s="162"/>
      <c r="C282" s="259"/>
      <c r="D282" s="267"/>
      <c r="E282" s="35"/>
      <c r="F282" s="151"/>
      <c r="G282" s="263">
        <f t="shared" si="32"/>
        <v>0</v>
      </c>
      <c r="H282" s="65"/>
      <c r="I282" s="275">
        <f t="shared" si="28"/>
        <v>0</v>
      </c>
      <c r="J282" s="161"/>
      <c r="K282" s="30"/>
      <c r="L282" s="30"/>
      <c r="M282" s="30"/>
      <c r="N282" s="30"/>
      <c r="O282" s="71">
        <f t="shared" si="29"/>
        <v>0</v>
      </c>
      <c r="P282" s="1070">
        <f t="shared" si="34"/>
        <v>0</v>
      </c>
      <c r="Q282" s="1071">
        <f t="shared" si="33"/>
        <v>0</v>
      </c>
    </row>
    <row r="283" spans="1:17" x14ac:dyDescent="0.2">
      <c r="A283" s="30"/>
      <c r="B283" s="162"/>
      <c r="C283" s="259"/>
      <c r="D283" s="267"/>
      <c r="E283" s="35"/>
      <c r="F283" s="151"/>
      <c r="G283" s="263">
        <f t="shared" si="32"/>
        <v>0</v>
      </c>
      <c r="H283" s="65"/>
      <c r="I283" s="275">
        <f t="shared" si="28"/>
        <v>0</v>
      </c>
      <c r="J283" s="161"/>
      <c r="K283" s="30"/>
      <c r="L283" s="30"/>
      <c r="M283" s="30"/>
      <c r="N283" s="30"/>
      <c r="O283" s="71">
        <f t="shared" si="29"/>
        <v>0</v>
      </c>
      <c r="P283" s="1070">
        <f t="shared" si="34"/>
        <v>0</v>
      </c>
      <c r="Q283" s="1071">
        <f t="shared" si="33"/>
        <v>0</v>
      </c>
    </row>
    <row r="284" spans="1:17" x14ac:dyDescent="0.2">
      <c r="A284" s="30"/>
      <c r="B284" s="162"/>
      <c r="C284" s="259"/>
      <c r="D284" s="267"/>
      <c r="E284" s="35"/>
      <c r="F284" s="151"/>
      <c r="G284" s="263">
        <f t="shared" si="32"/>
        <v>0</v>
      </c>
      <c r="H284" s="65"/>
      <c r="I284" s="275">
        <f t="shared" si="28"/>
        <v>0</v>
      </c>
      <c r="J284" s="161"/>
      <c r="K284" s="30"/>
      <c r="L284" s="30"/>
      <c r="M284" s="30"/>
      <c r="N284" s="30"/>
      <c r="O284" s="71">
        <f t="shared" si="29"/>
        <v>0</v>
      </c>
      <c r="P284" s="1070">
        <f t="shared" si="34"/>
        <v>0</v>
      </c>
      <c r="Q284" s="1071">
        <f t="shared" si="33"/>
        <v>0</v>
      </c>
    </row>
    <row r="285" spans="1:17" x14ac:dyDescent="0.2">
      <c r="A285" s="30"/>
      <c r="B285" s="162"/>
      <c r="C285" s="259"/>
      <c r="D285" s="267"/>
      <c r="E285" s="35"/>
      <c r="F285" s="151"/>
      <c r="G285" s="263">
        <f t="shared" si="32"/>
        <v>0</v>
      </c>
      <c r="H285" s="65"/>
      <c r="I285" s="275">
        <f t="shared" si="28"/>
        <v>0</v>
      </c>
      <c r="J285" s="161"/>
      <c r="K285" s="30"/>
      <c r="L285" s="30"/>
      <c r="M285" s="30"/>
      <c r="N285" s="30"/>
      <c r="O285" s="71">
        <f t="shared" si="29"/>
        <v>0</v>
      </c>
      <c r="P285" s="1070">
        <f t="shared" si="34"/>
        <v>0</v>
      </c>
      <c r="Q285" s="1071">
        <f t="shared" si="33"/>
        <v>0</v>
      </c>
    </row>
    <row r="286" spans="1:17" x14ac:dyDescent="0.2">
      <c r="A286" s="30"/>
      <c r="B286" s="162"/>
      <c r="C286" s="259"/>
      <c r="D286" s="267"/>
      <c r="E286" s="35"/>
      <c r="F286" s="151"/>
      <c r="G286" s="263">
        <f t="shared" si="32"/>
        <v>0</v>
      </c>
      <c r="H286" s="65"/>
      <c r="I286" s="275">
        <f t="shared" si="28"/>
        <v>0</v>
      </c>
      <c r="J286" s="161"/>
      <c r="K286" s="30"/>
      <c r="L286" s="30"/>
      <c r="M286" s="30"/>
      <c r="N286" s="30"/>
      <c r="O286" s="71">
        <f t="shared" si="29"/>
        <v>0</v>
      </c>
      <c r="P286" s="1070">
        <f t="shared" si="34"/>
        <v>0</v>
      </c>
      <c r="Q286" s="1071">
        <f t="shared" si="33"/>
        <v>0</v>
      </c>
    </row>
    <row r="287" spans="1:17" x14ac:dyDescent="0.2">
      <c r="A287" s="30"/>
      <c r="B287" s="162"/>
      <c r="C287" s="259"/>
      <c r="D287" s="267"/>
      <c r="E287" s="35"/>
      <c r="F287" s="151"/>
      <c r="G287" s="263">
        <f t="shared" si="32"/>
        <v>0</v>
      </c>
      <c r="H287" s="65"/>
      <c r="I287" s="275">
        <f t="shared" si="28"/>
        <v>0</v>
      </c>
      <c r="J287" s="161"/>
      <c r="K287" s="30"/>
      <c r="L287" s="30"/>
      <c r="M287" s="30"/>
      <c r="N287" s="30"/>
      <c r="O287" s="71">
        <f t="shared" si="29"/>
        <v>0</v>
      </c>
      <c r="P287" s="1070">
        <f t="shared" si="34"/>
        <v>0</v>
      </c>
      <c r="Q287" s="1071">
        <f t="shared" si="33"/>
        <v>0</v>
      </c>
    </row>
    <row r="288" spans="1:17" x14ac:dyDescent="0.2">
      <c r="A288" s="30"/>
      <c r="B288" s="162"/>
      <c r="C288" s="259"/>
      <c r="D288" s="267"/>
      <c r="E288" s="35"/>
      <c r="F288" s="151"/>
      <c r="G288" s="263">
        <f t="shared" si="32"/>
        <v>0</v>
      </c>
      <c r="H288" s="65"/>
      <c r="I288" s="275">
        <f t="shared" si="28"/>
        <v>0</v>
      </c>
      <c r="J288" s="161"/>
      <c r="K288" s="30"/>
      <c r="L288" s="30"/>
      <c r="M288" s="30"/>
      <c r="N288" s="30"/>
      <c r="O288" s="71">
        <f t="shared" si="29"/>
        <v>0</v>
      </c>
      <c r="P288" s="1070">
        <f t="shared" si="34"/>
        <v>0</v>
      </c>
      <c r="Q288" s="1071">
        <f t="shared" si="33"/>
        <v>0</v>
      </c>
    </row>
    <row r="289" spans="1:17" x14ac:dyDescent="0.2">
      <c r="A289" s="30"/>
      <c r="B289" s="162"/>
      <c r="C289" s="259"/>
      <c r="D289" s="267"/>
      <c r="E289" s="35"/>
      <c r="F289" s="151"/>
      <c r="G289" s="263">
        <f t="shared" si="32"/>
        <v>0</v>
      </c>
      <c r="H289" s="65"/>
      <c r="I289" s="275">
        <f t="shared" si="28"/>
        <v>0</v>
      </c>
      <c r="J289" s="161"/>
      <c r="K289" s="30"/>
      <c r="L289" s="30"/>
      <c r="M289" s="30"/>
      <c r="N289" s="30"/>
      <c r="O289" s="71">
        <f t="shared" si="29"/>
        <v>0</v>
      </c>
      <c r="P289" s="1070">
        <f t="shared" si="34"/>
        <v>0</v>
      </c>
      <c r="Q289" s="1071">
        <f t="shared" si="33"/>
        <v>0</v>
      </c>
    </row>
    <row r="290" spans="1:17" x14ac:dyDescent="0.2">
      <c r="A290" s="30"/>
      <c r="B290" s="162"/>
      <c r="C290" s="259"/>
      <c r="D290" s="267"/>
      <c r="E290" s="35"/>
      <c r="F290" s="151"/>
      <c r="G290" s="263">
        <f t="shared" si="32"/>
        <v>0</v>
      </c>
      <c r="H290" s="65"/>
      <c r="I290" s="275">
        <f t="shared" si="28"/>
        <v>0</v>
      </c>
      <c r="J290" s="161"/>
      <c r="K290" s="30"/>
      <c r="L290" s="30"/>
      <c r="M290" s="30"/>
      <c r="N290" s="30"/>
      <c r="O290" s="71">
        <f t="shared" si="29"/>
        <v>0</v>
      </c>
      <c r="P290" s="1070">
        <f t="shared" si="34"/>
        <v>0</v>
      </c>
      <c r="Q290" s="1071">
        <f t="shared" si="33"/>
        <v>0</v>
      </c>
    </row>
    <row r="291" spans="1:17" ht="13.5" thickBot="1" x14ac:dyDescent="0.25">
      <c r="A291" s="30"/>
      <c r="B291" s="163"/>
      <c r="C291" s="260"/>
      <c r="D291" s="268"/>
      <c r="E291" s="24"/>
      <c r="F291" s="25"/>
      <c r="G291" s="264">
        <f t="shared" si="32"/>
        <v>0</v>
      </c>
      <c r="H291" s="272"/>
      <c r="I291" s="276">
        <f t="shared" si="28"/>
        <v>0</v>
      </c>
      <c r="J291" s="161"/>
      <c r="K291" s="30"/>
      <c r="L291" s="30"/>
      <c r="M291" s="30"/>
      <c r="N291" s="30"/>
      <c r="O291" s="71">
        <f t="shared" si="29"/>
        <v>0</v>
      </c>
      <c r="P291" s="1070">
        <f t="shared" si="34"/>
        <v>0</v>
      </c>
      <c r="Q291" s="1071">
        <f t="shared" si="33"/>
        <v>0</v>
      </c>
    </row>
    <row r="292" spans="1:17" ht="6.75" customHeight="1" thickBot="1" x14ac:dyDescent="0.25">
      <c r="A292" s="30"/>
      <c r="B292" s="155"/>
      <c r="C292" s="155"/>
      <c r="D292" s="155"/>
      <c r="E292" s="155"/>
      <c r="F292" s="155"/>
      <c r="G292" s="155"/>
      <c r="H292" s="155"/>
      <c r="I292" s="155"/>
      <c r="J292" s="155"/>
      <c r="K292" s="30"/>
      <c r="L292" s="30"/>
      <c r="M292" s="30"/>
      <c r="N292" s="30"/>
      <c r="O292" s="812">
        <f>SUM(O240:O291)</f>
        <v>0</v>
      </c>
      <c r="P292" s="1075">
        <f>SUM(P240:P291)</f>
        <v>0</v>
      </c>
      <c r="Q292" s="813">
        <f>SUM(Q240:Q291)</f>
        <v>0</v>
      </c>
    </row>
    <row r="293" spans="1:17" ht="50.1" customHeight="1" x14ac:dyDescent="0.2">
      <c r="L293" s="30"/>
      <c r="M293" s="30"/>
      <c r="N293" s="30"/>
    </row>
    <row r="294" spans="1:17" ht="18" x14ac:dyDescent="0.2">
      <c r="A294" s="1224" t="str">
        <f>UPPER("Patching Summary Table")</f>
        <v>PATCHING SUMMARY TABLE</v>
      </c>
      <c r="B294" s="1224"/>
      <c r="C294" s="1224"/>
      <c r="D294" s="1224"/>
      <c r="E294" s="1224"/>
      <c r="F294" s="1224"/>
      <c r="G294" s="1224"/>
      <c r="H294" s="1224"/>
      <c r="I294" s="1224"/>
      <c r="J294" s="1224"/>
      <c r="K294" s="30"/>
      <c r="L294" s="30"/>
      <c r="M294" s="30"/>
      <c r="N294" s="30"/>
      <c r="O294" s="30"/>
      <c r="P294" s="30"/>
    </row>
    <row r="295" spans="1:17" ht="7.5" customHeight="1" thickBot="1" x14ac:dyDescent="0.25">
      <c r="A295" s="30"/>
      <c r="B295" s="31"/>
      <c r="C295" s="31"/>
      <c r="D295" s="31"/>
      <c r="E295" s="31"/>
      <c r="F295" s="31"/>
      <c r="G295" s="31"/>
      <c r="H295" s="31"/>
      <c r="I295" s="31"/>
      <c r="J295" s="31"/>
      <c r="K295" s="30"/>
      <c r="O295" s="30"/>
      <c r="P295" s="30"/>
    </row>
    <row r="296" spans="1:17" x14ac:dyDescent="0.2">
      <c r="A296" s="30"/>
      <c r="B296" s="1310" t="s">
        <v>2</v>
      </c>
      <c r="C296" s="1319" t="s">
        <v>3</v>
      </c>
      <c r="D296" s="1310" t="s">
        <v>39</v>
      </c>
      <c r="E296" s="1308" t="s">
        <v>4</v>
      </c>
      <c r="F296" s="1223" t="s">
        <v>535</v>
      </c>
      <c r="G296" s="261" t="s">
        <v>129</v>
      </c>
      <c r="H296" s="269" t="s">
        <v>102</v>
      </c>
      <c r="I296" s="152" t="s">
        <v>209</v>
      </c>
      <c r="J296" s="31"/>
      <c r="K296" s="30"/>
      <c r="L296" s="30"/>
      <c r="M296" s="30"/>
      <c r="N296" s="30"/>
      <c r="O296" s="1159" t="s">
        <v>537</v>
      </c>
      <c r="P296" s="1305"/>
      <c r="Q296" s="1306"/>
    </row>
    <row r="297" spans="1:17" ht="13.5" thickBot="1" x14ac:dyDescent="0.25">
      <c r="A297" s="30"/>
      <c r="B297" s="1285"/>
      <c r="C297" s="1320"/>
      <c r="D297" s="1285"/>
      <c r="E297" s="1227"/>
      <c r="F297" s="1242"/>
      <c r="G297" s="262" t="s">
        <v>100</v>
      </c>
      <c r="H297" s="270" t="s">
        <v>100</v>
      </c>
      <c r="I297" s="273" t="s">
        <v>210</v>
      </c>
      <c r="J297" s="31"/>
      <c r="K297" s="30"/>
      <c r="L297" s="30"/>
      <c r="M297" s="30"/>
      <c r="N297" s="30"/>
      <c r="O297" s="41" t="str">
        <f>$Q$41</f>
        <v>Partial</v>
      </c>
      <c r="P297" s="42" t="str">
        <f>$Q$42</f>
        <v>Full ( HMA)</v>
      </c>
      <c r="Q297" s="43" t="str">
        <f>$Q$43</f>
        <v>Full (Composite)</v>
      </c>
    </row>
    <row r="298" spans="1:17" x14ac:dyDescent="0.2">
      <c r="A298" s="30"/>
      <c r="B298" s="159"/>
      <c r="C298" s="258"/>
      <c r="D298" s="265"/>
      <c r="E298" s="160"/>
      <c r="F298" s="266"/>
      <c r="G298" s="263">
        <f>ABS(C298-B298)</f>
        <v>0</v>
      </c>
      <c r="H298" s="271"/>
      <c r="I298" s="274">
        <f t="shared" ref="I298:I349" si="35">ROUNDUP((G298*H298)/9,0)</f>
        <v>0</v>
      </c>
      <c r="J298" s="161"/>
      <c r="K298" s="30"/>
      <c r="L298" s="30"/>
      <c r="M298" s="30"/>
      <c r="N298" s="30"/>
      <c r="O298" s="54">
        <f t="shared" ref="O298:O349" si="36">IF($F298=$Q$41,$I298,0)</f>
        <v>0</v>
      </c>
      <c r="P298" s="1069">
        <f t="shared" ref="P298:P330" si="37">IF($F298=$Q$42,$I298,0)</f>
        <v>0</v>
      </c>
      <c r="Q298" s="811">
        <f t="shared" ref="Q298:Q329" si="38">IF($F298=$Q$43,$I298,0)</f>
        <v>0</v>
      </c>
    </row>
    <row r="299" spans="1:17" x14ac:dyDescent="0.2">
      <c r="A299" s="30"/>
      <c r="B299" s="162"/>
      <c r="C299" s="259"/>
      <c r="D299" s="267"/>
      <c r="E299" s="35"/>
      <c r="F299" s="151"/>
      <c r="G299" s="263">
        <f t="shared" ref="G299:G349" si="39">ABS(C299-B299)</f>
        <v>0</v>
      </c>
      <c r="H299" s="65"/>
      <c r="I299" s="275">
        <f t="shared" si="35"/>
        <v>0</v>
      </c>
      <c r="J299" s="161"/>
      <c r="K299" s="30"/>
      <c r="L299" s="30"/>
      <c r="M299" s="30"/>
      <c r="N299" s="30"/>
      <c r="O299" s="71">
        <f t="shared" si="36"/>
        <v>0</v>
      </c>
      <c r="P299" s="1070">
        <f t="shared" si="37"/>
        <v>0</v>
      </c>
      <c r="Q299" s="1071">
        <f t="shared" si="38"/>
        <v>0</v>
      </c>
    </row>
    <row r="300" spans="1:17" x14ac:dyDescent="0.2">
      <c r="A300" s="30"/>
      <c r="B300" s="162"/>
      <c r="C300" s="259"/>
      <c r="D300" s="267"/>
      <c r="E300" s="35"/>
      <c r="F300" s="151"/>
      <c r="G300" s="263">
        <f t="shared" si="39"/>
        <v>0</v>
      </c>
      <c r="H300" s="65"/>
      <c r="I300" s="275">
        <f t="shared" si="35"/>
        <v>0</v>
      </c>
      <c r="J300" s="161"/>
      <c r="K300" s="30"/>
      <c r="L300" s="30"/>
      <c r="M300" s="30"/>
      <c r="N300" s="30"/>
      <c r="O300" s="71">
        <f t="shared" si="36"/>
        <v>0</v>
      </c>
      <c r="P300" s="1070">
        <f t="shared" si="37"/>
        <v>0</v>
      </c>
      <c r="Q300" s="1071">
        <f t="shared" si="38"/>
        <v>0</v>
      </c>
    </row>
    <row r="301" spans="1:17" x14ac:dyDescent="0.2">
      <c r="A301" s="30"/>
      <c r="B301" s="162"/>
      <c r="C301" s="259"/>
      <c r="D301" s="267"/>
      <c r="E301" s="35"/>
      <c r="F301" s="151"/>
      <c r="G301" s="263">
        <f t="shared" si="39"/>
        <v>0</v>
      </c>
      <c r="H301" s="65"/>
      <c r="I301" s="275">
        <f t="shared" si="35"/>
        <v>0</v>
      </c>
      <c r="J301" s="161"/>
      <c r="K301" s="30"/>
      <c r="L301" s="30"/>
      <c r="M301" s="30"/>
      <c r="N301" s="30"/>
      <c r="O301" s="71">
        <f t="shared" si="36"/>
        <v>0</v>
      </c>
      <c r="P301" s="1070">
        <f t="shared" si="37"/>
        <v>0</v>
      </c>
      <c r="Q301" s="1071">
        <f t="shared" si="38"/>
        <v>0</v>
      </c>
    </row>
    <row r="302" spans="1:17" x14ac:dyDescent="0.2">
      <c r="A302" s="30"/>
      <c r="B302" s="162"/>
      <c r="C302" s="259"/>
      <c r="D302" s="267"/>
      <c r="E302" s="35"/>
      <c r="F302" s="151"/>
      <c r="G302" s="263">
        <f t="shared" si="39"/>
        <v>0</v>
      </c>
      <c r="H302" s="65"/>
      <c r="I302" s="275">
        <f t="shared" si="35"/>
        <v>0</v>
      </c>
      <c r="J302" s="161"/>
      <c r="K302" s="30"/>
      <c r="L302" s="30"/>
      <c r="M302" s="30"/>
      <c r="N302" s="30"/>
      <c r="O302" s="71">
        <f t="shared" si="36"/>
        <v>0</v>
      </c>
      <c r="P302" s="1070">
        <f t="shared" si="37"/>
        <v>0</v>
      </c>
      <c r="Q302" s="1071">
        <f t="shared" si="38"/>
        <v>0</v>
      </c>
    </row>
    <row r="303" spans="1:17" x14ac:dyDescent="0.2">
      <c r="A303" s="30"/>
      <c r="B303" s="162"/>
      <c r="C303" s="259"/>
      <c r="D303" s="267"/>
      <c r="E303" s="35"/>
      <c r="F303" s="151"/>
      <c r="G303" s="263">
        <f t="shared" si="39"/>
        <v>0</v>
      </c>
      <c r="H303" s="65"/>
      <c r="I303" s="275">
        <f t="shared" si="35"/>
        <v>0</v>
      </c>
      <c r="J303" s="161"/>
      <c r="K303" s="30"/>
      <c r="L303" s="30"/>
      <c r="M303" s="30"/>
      <c r="N303" s="30"/>
      <c r="O303" s="71">
        <f t="shared" si="36"/>
        <v>0</v>
      </c>
      <c r="P303" s="1070">
        <f t="shared" si="37"/>
        <v>0</v>
      </c>
      <c r="Q303" s="1071">
        <f t="shared" si="38"/>
        <v>0</v>
      </c>
    </row>
    <row r="304" spans="1:17" x14ac:dyDescent="0.2">
      <c r="A304" s="30"/>
      <c r="B304" s="162"/>
      <c r="C304" s="259"/>
      <c r="D304" s="267"/>
      <c r="E304" s="35"/>
      <c r="F304" s="151"/>
      <c r="G304" s="263">
        <f t="shared" si="39"/>
        <v>0</v>
      </c>
      <c r="H304" s="65"/>
      <c r="I304" s="275">
        <f t="shared" si="35"/>
        <v>0</v>
      </c>
      <c r="J304" s="161"/>
      <c r="K304" s="30"/>
      <c r="L304" s="30"/>
      <c r="M304" s="30"/>
      <c r="N304" s="30"/>
      <c r="O304" s="71">
        <f t="shared" si="36"/>
        <v>0</v>
      </c>
      <c r="P304" s="1070">
        <f t="shared" si="37"/>
        <v>0</v>
      </c>
      <c r="Q304" s="1071">
        <f t="shared" si="38"/>
        <v>0</v>
      </c>
    </row>
    <row r="305" spans="1:17" x14ac:dyDescent="0.2">
      <c r="A305" s="30"/>
      <c r="B305" s="162"/>
      <c r="C305" s="259"/>
      <c r="D305" s="267"/>
      <c r="E305" s="35"/>
      <c r="F305" s="151"/>
      <c r="G305" s="263">
        <f t="shared" si="39"/>
        <v>0</v>
      </c>
      <c r="H305" s="65"/>
      <c r="I305" s="275">
        <f t="shared" si="35"/>
        <v>0</v>
      </c>
      <c r="J305" s="161"/>
      <c r="K305" s="30"/>
      <c r="L305" s="30"/>
      <c r="M305" s="30"/>
      <c r="N305" s="30"/>
      <c r="O305" s="71">
        <f t="shared" si="36"/>
        <v>0</v>
      </c>
      <c r="P305" s="1070">
        <f t="shared" si="37"/>
        <v>0</v>
      </c>
      <c r="Q305" s="1071">
        <f t="shared" si="38"/>
        <v>0</v>
      </c>
    </row>
    <row r="306" spans="1:17" x14ac:dyDescent="0.2">
      <c r="A306" s="30"/>
      <c r="B306" s="162"/>
      <c r="C306" s="259"/>
      <c r="D306" s="267"/>
      <c r="E306" s="35"/>
      <c r="F306" s="151"/>
      <c r="G306" s="263">
        <f t="shared" si="39"/>
        <v>0</v>
      </c>
      <c r="H306" s="65"/>
      <c r="I306" s="275">
        <f t="shared" si="35"/>
        <v>0</v>
      </c>
      <c r="J306" s="161"/>
      <c r="K306" s="30"/>
      <c r="L306" s="30"/>
      <c r="M306" s="30"/>
      <c r="N306" s="30"/>
      <c r="O306" s="71">
        <f t="shared" si="36"/>
        <v>0</v>
      </c>
      <c r="P306" s="1070">
        <f t="shared" si="37"/>
        <v>0</v>
      </c>
      <c r="Q306" s="1071">
        <f t="shared" si="38"/>
        <v>0</v>
      </c>
    </row>
    <row r="307" spans="1:17" x14ac:dyDescent="0.2">
      <c r="A307" s="30"/>
      <c r="B307" s="162"/>
      <c r="C307" s="259"/>
      <c r="D307" s="267"/>
      <c r="E307" s="35"/>
      <c r="F307" s="151"/>
      <c r="G307" s="263">
        <f t="shared" si="39"/>
        <v>0</v>
      </c>
      <c r="H307" s="65"/>
      <c r="I307" s="275">
        <f t="shared" si="35"/>
        <v>0</v>
      </c>
      <c r="J307" s="161"/>
      <c r="K307" s="30"/>
      <c r="L307" s="30"/>
      <c r="M307" s="30"/>
      <c r="N307" s="30"/>
      <c r="O307" s="71">
        <f t="shared" si="36"/>
        <v>0</v>
      </c>
      <c r="P307" s="1070">
        <f t="shared" si="37"/>
        <v>0</v>
      </c>
      <c r="Q307" s="1071">
        <f t="shared" si="38"/>
        <v>0</v>
      </c>
    </row>
    <row r="308" spans="1:17" x14ac:dyDescent="0.2">
      <c r="A308" s="30"/>
      <c r="B308" s="162"/>
      <c r="C308" s="259"/>
      <c r="D308" s="267"/>
      <c r="E308" s="35"/>
      <c r="F308" s="151"/>
      <c r="G308" s="263">
        <f t="shared" si="39"/>
        <v>0</v>
      </c>
      <c r="H308" s="65"/>
      <c r="I308" s="275">
        <f t="shared" si="35"/>
        <v>0</v>
      </c>
      <c r="J308" s="161"/>
      <c r="K308" s="30"/>
      <c r="L308" s="30"/>
      <c r="M308" s="30"/>
      <c r="N308" s="30"/>
      <c r="O308" s="71">
        <f t="shared" si="36"/>
        <v>0</v>
      </c>
      <c r="P308" s="1070">
        <f t="shared" si="37"/>
        <v>0</v>
      </c>
      <c r="Q308" s="1071">
        <f t="shared" si="38"/>
        <v>0</v>
      </c>
    </row>
    <row r="309" spans="1:17" x14ac:dyDescent="0.2">
      <c r="A309" s="30"/>
      <c r="B309" s="162"/>
      <c r="C309" s="259"/>
      <c r="D309" s="267"/>
      <c r="E309" s="35"/>
      <c r="F309" s="151"/>
      <c r="G309" s="263">
        <f t="shared" si="39"/>
        <v>0</v>
      </c>
      <c r="H309" s="65"/>
      <c r="I309" s="275">
        <f t="shared" si="35"/>
        <v>0</v>
      </c>
      <c r="J309" s="161"/>
      <c r="K309" s="30"/>
      <c r="L309" s="30"/>
      <c r="M309" s="30"/>
      <c r="N309" s="30"/>
      <c r="O309" s="71">
        <f t="shared" si="36"/>
        <v>0</v>
      </c>
      <c r="P309" s="1070">
        <f t="shared" si="37"/>
        <v>0</v>
      </c>
      <c r="Q309" s="1071">
        <f t="shared" si="38"/>
        <v>0</v>
      </c>
    </row>
    <row r="310" spans="1:17" x14ac:dyDescent="0.2">
      <c r="A310" s="30"/>
      <c r="B310" s="162"/>
      <c r="C310" s="259"/>
      <c r="D310" s="267"/>
      <c r="E310" s="35"/>
      <c r="F310" s="151"/>
      <c r="G310" s="263">
        <f t="shared" si="39"/>
        <v>0</v>
      </c>
      <c r="H310" s="65"/>
      <c r="I310" s="275">
        <f t="shared" si="35"/>
        <v>0</v>
      </c>
      <c r="J310" s="161"/>
      <c r="K310" s="30"/>
      <c r="L310" s="30"/>
      <c r="M310" s="30"/>
      <c r="N310" s="30"/>
      <c r="O310" s="71">
        <f t="shared" si="36"/>
        <v>0</v>
      </c>
      <c r="P310" s="1070">
        <f t="shared" si="37"/>
        <v>0</v>
      </c>
      <c r="Q310" s="1071">
        <f t="shared" si="38"/>
        <v>0</v>
      </c>
    </row>
    <row r="311" spans="1:17" x14ac:dyDescent="0.2">
      <c r="A311" s="30"/>
      <c r="B311" s="162"/>
      <c r="C311" s="259"/>
      <c r="D311" s="267"/>
      <c r="E311" s="35"/>
      <c r="F311" s="151"/>
      <c r="G311" s="263">
        <f t="shared" si="39"/>
        <v>0</v>
      </c>
      <c r="H311" s="65"/>
      <c r="I311" s="275">
        <f t="shared" si="35"/>
        <v>0</v>
      </c>
      <c r="J311" s="161"/>
      <c r="K311" s="30"/>
      <c r="L311" s="30"/>
      <c r="M311" s="30"/>
      <c r="N311" s="30"/>
      <c r="O311" s="71">
        <f t="shared" si="36"/>
        <v>0</v>
      </c>
      <c r="P311" s="1070">
        <f t="shared" si="37"/>
        <v>0</v>
      </c>
      <c r="Q311" s="1071">
        <f t="shared" si="38"/>
        <v>0</v>
      </c>
    </row>
    <row r="312" spans="1:17" x14ac:dyDescent="0.2">
      <c r="A312" s="30"/>
      <c r="B312" s="162"/>
      <c r="C312" s="259"/>
      <c r="D312" s="267"/>
      <c r="E312" s="35"/>
      <c r="F312" s="151"/>
      <c r="G312" s="263">
        <f t="shared" si="39"/>
        <v>0</v>
      </c>
      <c r="H312" s="65"/>
      <c r="I312" s="275">
        <f t="shared" si="35"/>
        <v>0</v>
      </c>
      <c r="J312" s="161"/>
      <c r="K312" s="30"/>
      <c r="L312" s="30"/>
      <c r="M312" s="30"/>
      <c r="N312" s="30"/>
      <c r="O312" s="71">
        <f t="shared" si="36"/>
        <v>0</v>
      </c>
      <c r="P312" s="1070">
        <f t="shared" si="37"/>
        <v>0</v>
      </c>
      <c r="Q312" s="1071">
        <f t="shared" si="38"/>
        <v>0</v>
      </c>
    </row>
    <row r="313" spans="1:17" x14ac:dyDescent="0.2">
      <c r="A313" s="30"/>
      <c r="B313" s="162"/>
      <c r="C313" s="259"/>
      <c r="D313" s="267"/>
      <c r="E313" s="35"/>
      <c r="F313" s="151"/>
      <c r="G313" s="263">
        <f t="shared" si="39"/>
        <v>0</v>
      </c>
      <c r="H313" s="65"/>
      <c r="I313" s="275">
        <f t="shared" si="35"/>
        <v>0</v>
      </c>
      <c r="J313" s="161"/>
      <c r="K313" s="30"/>
      <c r="L313" s="30"/>
      <c r="M313" s="30"/>
      <c r="N313" s="30"/>
      <c r="O313" s="71">
        <f t="shared" si="36"/>
        <v>0</v>
      </c>
      <c r="P313" s="1070">
        <f t="shared" si="37"/>
        <v>0</v>
      </c>
      <c r="Q313" s="1071">
        <f t="shared" si="38"/>
        <v>0</v>
      </c>
    </row>
    <row r="314" spans="1:17" x14ac:dyDescent="0.2">
      <c r="A314" s="30"/>
      <c r="B314" s="162"/>
      <c r="C314" s="259"/>
      <c r="D314" s="267"/>
      <c r="E314" s="35"/>
      <c r="F314" s="151"/>
      <c r="G314" s="263">
        <f t="shared" si="39"/>
        <v>0</v>
      </c>
      <c r="H314" s="65"/>
      <c r="I314" s="275">
        <f t="shared" si="35"/>
        <v>0</v>
      </c>
      <c r="J314" s="161"/>
      <c r="K314" s="30"/>
      <c r="L314" s="30"/>
      <c r="M314" s="30"/>
      <c r="N314" s="30"/>
      <c r="O314" s="71">
        <f t="shared" si="36"/>
        <v>0</v>
      </c>
      <c r="P314" s="1070">
        <f t="shared" si="37"/>
        <v>0</v>
      </c>
      <c r="Q314" s="1071">
        <f t="shared" si="38"/>
        <v>0</v>
      </c>
    </row>
    <row r="315" spans="1:17" x14ac:dyDescent="0.2">
      <c r="A315" s="30"/>
      <c r="B315" s="162"/>
      <c r="C315" s="259"/>
      <c r="D315" s="267"/>
      <c r="E315" s="35"/>
      <c r="F315" s="151"/>
      <c r="G315" s="263">
        <f t="shared" si="39"/>
        <v>0</v>
      </c>
      <c r="H315" s="65"/>
      <c r="I315" s="275">
        <f t="shared" si="35"/>
        <v>0</v>
      </c>
      <c r="J315" s="161"/>
      <c r="K315" s="30"/>
      <c r="L315" s="30"/>
      <c r="M315" s="30"/>
      <c r="N315" s="30"/>
      <c r="O315" s="71">
        <f t="shared" si="36"/>
        <v>0</v>
      </c>
      <c r="P315" s="1070">
        <f t="shared" si="37"/>
        <v>0</v>
      </c>
      <c r="Q315" s="1071">
        <f t="shared" si="38"/>
        <v>0</v>
      </c>
    </row>
    <row r="316" spans="1:17" x14ac:dyDescent="0.2">
      <c r="A316" s="30"/>
      <c r="B316" s="162"/>
      <c r="C316" s="259"/>
      <c r="D316" s="267"/>
      <c r="E316" s="35"/>
      <c r="F316" s="151"/>
      <c r="G316" s="263">
        <f t="shared" si="39"/>
        <v>0</v>
      </c>
      <c r="H316" s="65"/>
      <c r="I316" s="275">
        <f t="shared" si="35"/>
        <v>0</v>
      </c>
      <c r="J316" s="161"/>
      <c r="K316" s="30"/>
      <c r="L316" s="30"/>
      <c r="M316" s="30"/>
      <c r="N316" s="30"/>
      <c r="O316" s="71">
        <f t="shared" si="36"/>
        <v>0</v>
      </c>
      <c r="P316" s="1070">
        <f t="shared" si="37"/>
        <v>0</v>
      </c>
      <c r="Q316" s="1071">
        <f t="shared" si="38"/>
        <v>0</v>
      </c>
    </row>
    <row r="317" spans="1:17" x14ac:dyDescent="0.2">
      <c r="A317" s="30"/>
      <c r="B317" s="162"/>
      <c r="C317" s="259"/>
      <c r="D317" s="267"/>
      <c r="E317" s="35"/>
      <c r="F317" s="151"/>
      <c r="G317" s="263">
        <f t="shared" si="39"/>
        <v>0</v>
      </c>
      <c r="H317" s="65"/>
      <c r="I317" s="275">
        <f t="shared" si="35"/>
        <v>0</v>
      </c>
      <c r="J317" s="161"/>
      <c r="K317" s="30"/>
      <c r="L317" s="30"/>
      <c r="M317" s="30"/>
      <c r="N317" s="30"/>
      <c r="O317" s="71">
        <f t="shared" si="36"/>
        <v>0</v>
      </c>
      <c r="P317" s="1070">
        <f t="shared" si="37"/>
        <v>0</v>
      </c>
      <c r="Q317" s="1071">
        <f t="shared" si="38"/>
        <v>0</v>
      </c>
    </row>
    <row r="318" spans="1:17" x14ac:dyDescent="0.2">
      <c r="A318" s="30"/>
      <c r="B318" s="162"/>
      <c r="C318" s="259"/>
      <c r="D318" s="267"/>
      <c r="E318" s="35"/>
      <c r="F318" s="151"/>
      <c r="G318" s="263">
        <f t="shared" si="39"/>
        <v>0</v>
      </c>
      <c r="H318" s="65"/>
      <c r="I318" s="275">
        <f t="shared" si="35"/>
        <v>0</v>
      </c>
      <c r="J318" s="161"/>
      <c r="K318" s="30"/>
      <c r="L318" s="30"/>
      <c r="M318" s="30"/>
      <c r="N318" s="30"/>
      <c r="O318" s="71">
        <f t="shared" si="36"/>
        <v>0</v>
      </c>
      <c r="P318" s="1070">
        <f t="shared" si="37"/>
        <v>0</v>
      </c>
      <c r="Q318" s="1071">
        <f t="shared" si="38"/>
        <v>0</v>
      </c>
    </row>
    <row r="319" spans="1:17" x14ac:dyDescent="0.2">
      <c r="A319" s="30"/>
      <c r="B319" s="162"/>
      <c r="C319" s="259"/>
      <c r="D319" s="267"/>
      <c r="E319" s="35"/>
      <c r="F319" s="151"/>
      <c r="G319" s="263">
        <f t="shared" si="39"/>
        <v>0</v>
      </c>
      <c r="H319" s="65"/>
      <c r="I319" s="275">
        <f t="shared" si="35"/>
        <v>0</v>
      </c>
      <c r="J319" s="161"/>
      <c r="K319" s="30"/>
      <c r="L319" s="30"/>
      <c r="M319" s="30"/>
      <c r="N319" s="30"/>
      <c r="O319" s="71">
        <f t="shared" si="36"/>
        <v>0</v>
      </c>
      <c r="P319" s="1070">
        <f t="shared" si="37"/>
        <v>0</v>
      </c>
      <c r="Q319" s="1071">
        <f t="shared" si="38"/>
        <v>0</v>
      </c>
    </row>
    <row r="320" spans="1:17" x14ac:dyDescent="0.2">
      <c r="A320" s="30"/>
      <c r="B320" s="162"/>
      <c r="C320" s="259"/>
      <c r="D320" s="267"/>
      <c r="E320" s="35"/>
      <c r="F320" s="151"/>
      <c r="G320" s="263">
        <f t="shared" si="39"/>
        <v>0</v>
      </c>
      <c r="H320" s="65"/>
      <c r="I320" s="275">
        <f t="shared" si="35"/>
        <v>0</v>
      </c>
      <c r="J320" s="161"/>
      <c r="K320" s="30"/>
      <c r="L320" s="30"/>
      <c r="M320" s="30"/>
      <c r="N320" s="30"/>
      <c r="O320" s="71">
        <f t="shared" si="36"/>
        <v>0</v>
      </c>
      <c r="P320" s="1070">
        <f t="shared" si="37"/>
        <v>0</v>
      </c>
      <c r="Q320" s="1071">
        <f t="shared" si="38"/>
        <v>0</v>
      </c>
    </row>
    <row r="321" spans="1:17" x14ac:dyDescent="0.2">
      <c r="A321" s="30"/>
      <c r="B321" s="162"/>
      <c r="C321" s="259"/>
      <c r="D321" s="267"/>
      <c r="E321" s="35"/>
      <c r="F321" s="151"/>
      <c r="G321" s="263">
        <f t="shared" si="39"/>
        <v>0</v>
      </c>
      <c r="H321" s="65"/>
      <c r="I321" s="275">
        <f t="shared" si="35"/>
        <v>0</v>
      </c>
      <c r="J321" s="161"/>
      <c r="K321" s="30"/>
      <c r="L321" s="30"/>
      <c r="M321" s="30"/>
      <c r="N321" s="30"/>
      <c r="O321" s="71">
        <f t="shared" si="36"/>
        <v>0</v>
      </c>
      <c r="P321" s="1070">
        <f t="shared" si="37"/>
        <v>0</v>
      </c>
      <c r="Q321" s="1071">
        <f t="shared" si="38"/>
        <v>0</v>
      </c>
    </row>
    <row r="322" spans="1:17" x14ac:dyDescent="0.2">
      <c r="A322" s="30"/>
      <c r="B322" s="162"/>
      <c r="C322" s="259"/>
      <c r="D322" s="267"/>
      <c r="E322" s="35"/>
      <c r="F322" s="151"/>
      <c r="G322" s="263">
        <f t="shared" si="39"/>
        <v>0</v>
      </c>
      <c r="H322" s="65"/>
      <c r="I322" s="275">
        <f t="shared" si="35"/>
        <v>0</v>
      </c>
      <c r="J322" s="161"/>
      <c r="K322" s="30"/>
      <c r="L322" s="30"/>
      <c r="M322" s="30"/>
      <c r="N322" s="30"/>
      <c r="O322" s="71">
        <f t="shared" si="36"/>
        <v>0</v>
      </c>
      <c r="P322" s="1070">
        <f t="shared" si="37"/>
        <v>0</v>
      </c>
      <c r="Q322" s="1071">
        <f t="shared" si="38"/>
        <v>0</v>
      </c>
    </row>
    <row r="323" spans="1:17" x14ac:dyDescent="0.2">
      <c r="A323" s="30"/>
      <c r="B323" s="162"/>
      <c r="C323" s="259"/>
      <c r="D323" s="267"/>
      <c r="E323" s="35"/>
      <c r="F323" s="151"/>
      <c r="G323" s="263">
        <f t="shared" si="39"/>
        <v>0</v>
      </c>
      <c r="H323" s="65"/>
      <c r="I323" s="275">
        <f t="shared" si="35"/>
        <v>0</v>
      </c>
      <c r="J323" s="161"/>
      <c r="K323" s="30"/>
      <c r="L323" s="30"/>
      <c r="M323" s="30"/>
      <c r="N323" s="30"/>
      <c r="O323" s="71">
        <f t="shared" si="36"/>
        <v>0</v>
      </c>
      <c r="P323" s="1070">
        <f t="shared" si="37"/>
        <v>0</v>
      </c>
      <c r="Q323" s="1071">
        <f t="shared" si="38"/>
        <v>0</v>
      </c>
    </row>
    <row r="324" spans="1:17" x14ac:dyDescent="0.2">
      <c r="A324" s="30"/>
      <c r="B324" s="162"/>
      <c r="C324" s="259"/>
      <c r="D324" s="267"/>
      <c r="E324" s="35"/>
      <c r="F324" s="151"/>
      <c r="G324" s="263">
        <f t="shared" si="39"/>
        <v>0</v>
      </c>
      <c r="H324" s="65"/>
      <c r="I324" s="275">
        <f t="shared" si="35"/>
        <v>0</v>
      </c>
      <c r="J324" s="161"/>
      <c r="K324" s="30"/>
      <c r="L324" s="30"/>
      <c r="M324" s="30"/>
      <c r="N324" s="30"/>
      <c r="O324" s="71">
        <f t="shared" si="36"/>
        <v>0</v>
      </c>
      <c r="P324" s="1070">
        <f t="shared" si="37"/>
        <v>0</v>
      </c>
      <c r="Q324" s="1071">
        <f t="shared" si="38"/>
        <v>0</v>
      </c>
    </row>
    <row r="325" spans="1:17" x14ac:dyDescent="0.2">
      <c r="A325" s="30"/>
      <c r="B325" s="162"/>
      <c r="C325" s="259"/>
      <c r="D325" s="267"/>
      <c r="E325" s="35"/>
      <c r="F325" s="151"/>
      <c r="G325" s="263">
        <f t="shared" si="39"/>
        <v>0</v>
      </c>
      <c r="H325" s="65"/>
      <c r="I325" s="275">
        <f t="shared" si="35"/>
        <v>0</v>
      </c>
      <c r="J325" s="161"/>
      <c r="K325" s="30"/>
      <c r="L325" s="30"/>
      <c r="M325" s="30"/>
      <c r="N325" s="30"/>
      <c r="O325" s="71">
        <f t="shared" si="36"/>
        <v>0</v>
      </c>
      <c r="P325" s="1070">
        <f t="shared" si="37"/>
        <v>0</v>
      </c>
      <c r="Q325" s="1071">
        <f t="shared" si="38"/>
        <v>0</v>
      </c>
    </row>
    <row r="326" spans="1:17" x14ac:dyDescent="0.2">
      <c r="A326" s="30"/>
      <c r="B326" s="162"/>
      <c r="C326" s="259"/>
      <c r="D326" s="267"/>
      <c r="E326" s="35"/>
      <c r="F326" s="151"/>
      <c r="G326" s="263">
        <f t="shared" si="39"/>
        <v>0</v>
      </c>
      <c r="H326" s="65"/>
      <c r="I326" s="275">
        <f t="shared" si="35"/>
        <v>0</v>
      </c>
      <c r="J326" s="161"/>
      <c r="K326" s="30"/>
      <c r="L326" s="30"/>
      <c r="M326" s="30"/>
      <c r="N326" s="30"/>
      <c r="O326" s="71">
        <f t="shared" si="36"/>
        <v>0</v>
      </c>
      <c r="P326" s="1070">
        <f t="shared" si="37"/>
        <v>0</v>
      </c>
      <c r="Q326" s="1071">
        <f t="shared" si="38"/>
        <v>0</v>
      </c>
    </row>
    <row r="327" spans="1:17" x14ac:dyDescent="0.2">
      <c r="A327" s="30"/>
      <c r="B327" s="162"/>
      <c r="C327" s="259"/>
      <c r="D327" s="267"/>
      <c r="E327" s="35"/>
      <c r="F327" s="151"/>
      <c r="G327" s="263">
        <f t="shared" si="39"/>
        <v>0</v>
      </c>
      <c r="H327" s="65"/>
      <c r="I327" s="275">
        <f t="shared" si="35"/>
        <v>0</v>
      </c>
      <c r="J327" s="161"/>
      <c r="K327" s="30"/>
      <c r="L327" s="30"/>
      <c r="M327" s="30"/>
      <c r="N327" s="30"/>
      <c r="O327" s="71">
        <f t="shared" si="36"/>
        <v>0</v>
      </c>
      <c r="P327" s="1070">
        <f t="shared" si="37"/>
        <v>0</v>
      </c>
      <c r="Q327" s="1071">
        <f t="shared" si="38"/>
        <v>0</v>
      </c>
    </row>
    <row r="328" spans="1:17" x14ac:dyDescent="0.2">
      <c r="A328" s="30"/>
      <c r="B328" s="162"/>
      <c r="C328" s="259"/>
      <c r="D328" s="267"/>
      <c r="E328" s="35"/>
      <c r="F328" s="151"/>
      <c r="G328" s="263">
        <f t="shared" si="39"/>
        <v>0</v>
      </c>
      <c r="H328" s="65"/>
      <c r="I328" s="275">
        <f t="shared" si="35"/>
        <v>0</v>
      </c>
      <c r="J328" s="161"/>
      <c r="K328" s="30"/>
      <c r="L328" s="30"/>
      <c r="M328" s="30"/>
      <c r="N328" s="30"/>
      <c r="O328" s="71">
        <f t="shared" si="36"/>
        <v>0</v>
      </c>
      <c r="P328" s="1070">
        <f t="shared" si="37"/>
        <v>0</v>
      </c>
      <c r="Q328" s="1071">
        <f t="shared" si="38"/>
        <v>0</v>
      </c>
    </row>
    <row r="329" spans="1:17" x14ac:dyDescent="0.2">
      <c r="A329" s="30"/>
      <c r="B329" s="162"/>
      <c r="C329" s="259"/>
      <c r="D329" s="267"/>
      <c r="E329" s="35"/>
      <c r="F329" s="151"/>
      <c r="G329" s="263">
        <f t="shared" si="39"/>
        <v>0</v>
      </c>
      <c r="H329" s="65"/>
      <c r="I329" s="275">
        <f t="shared" si="35"/>
        <v>0</v>
      </c>
      <c r="J329" s="161"/>
      <c r="K329" s="30"/>
      <c r="L329" s="30"/>
      <c r="M329" s="30"/>
      <c r="N329" s="30"/>
      <c r="O329" s="71">
        <f t="shared" si="36"/>
        <v>0</v>
      </c>
      <c r="P329" s="1070">
        <f t="shared" si="37"/>
        <v>0</v>
      </c>
      <c r="Q329" s="1071">
        <f t="shared" si="38"/>
        <v>0</v>
      </c>
    </row>
    <row r="330" spans="1:17" x14ac:dyDescent="0.2">
      <c r="A330" s="30"/>
      <c r="B330" s="162"/>
      <c r="C330" s="259"/>
      <c r="D330" s="267"/>
      <c r="E330" s="35"/>
      <c r="F330" s="151"/>
      <c r="G330" s="263">
        <f t="shared" si="39"/>
        <v>0</v>
      </c>
      <c r="H330" s="65"/>
      <c r="I330" s="275">
        <f t="shared" si="35"/>
        <v>0</v>
      </c>
      <c r="J330" s="161"/>
      <c r="K330" s="30"/>
      <c r="L330" s="30"/>
      <c r="M330" s="30"/>
      <c r="N330" s="30"/>
      <c r="O330" s="71">
        <f t="shared" si="36"/>
        <v>0</v>
      </c>
      <c r="P330" s="1070">
        <f t="shared" si="37"/>
        <v>0</v>
      </c>
      <c r="Q330" s="1071">
        <f t="shared" ref="Q330:Q349" si="40">IF($F330=$Q$43,$I330,0)</f>
        <v>0</v>
      </c>
    </row>
    <row r="331" spans="1:17" x14ac:dyDescent="0.2">
      <c r="A331" s="30"/>
      <c r="B331" s="162"/>
      <c r="C331" s="259"/>
      <c r="D331" s="267"/>
      <c r="E331" s="35"/>
      <c r="F331" s="151"/>
      <c r="G331" s="263">
        <f t="shared" si="39"/>
        <v>0</v>
      </c>
      <c r="H331" s="65"/>
      <c r="I331" s="275">
        <f t="shared" si="35"/>
        <v>0</v>
      </c>
      <c r="J331" s="161"/>
      <c r="K331" s="30"/>
      <c r="L331" s="30"/>
      <c r="M331" s="30"/>
      <c r="N331" s="30"/>
      <c r="O331" s="71">
        <f t="shared" si="36"/>
        <v>0</v>
      </c>
      <c r="P331" s="1070">
        <f t="shared" ref="P331:P349" si="41">IF($F331=$Q$42,$I331,0)</f>
        <v>0</v>
      </c>
      <c r="Q331" s="1071">
        <f t="shared" si="40"/>
        <v>0</v>
      </c>
    </row>
    <row r="332" spans="1:17" x14ac:dyDescent="0.2">
      <c r="A332" s="30"/>
      <c r="B332" s="162"/>
      <c r="C332" s="259"/>
      <c r="D332" s="267"/>
      <c r="E332" s="35"/>
      <c r="F332" s="151"/>
      <c r="G332" s="263">
        <f t="shared" si="39"/>
        <v>0</v>
      </c>
      <c r="H332" s="65"/>
      <c r="I332" s="275">
        <f t="shared" si="35"/>
        <v>0</v>
      </c>
      <c r="J332" s="161"/>
      <c r="K332" s="30"/>
      <c r="L332" s="30"/>
      <c r="M332" s="30"/>
      <c r="N332" s="30"/>
      <c r="O332" s="71">
        <f t="shared" si="36"/>
        <v>0</v>
      </c>
      <c r="P332" s="1070">
        <f t="shared" si="41"/>
        <v>0</v>
      </c>
      <c r="Q332" s="1071">
        <f t="shared" si="40"/>
        <v>0</v>
      </c>
    </row>
    <row r="333" spans="1:17" x14ac:dyDescent="0.2">
      <c r="A333" s="30"/>
      <c r="B333" s="162"/>
      <c r="C333" s="259"/>
      <c r="D333" s="267"/>
      <c r="E333" s="35"/>
      <c r="F333" s="151"/>
      <c r="G333" s="263">
        <f t="shared" si="39"/>
        <v>0</v>
      </c>
      <c r="H333" s="65"/>
      <c r="I333" s="275">
        <f t="shared" si="35"/>
        <v>0</v>
      </c>
      <c r="J333" s="161"/>
      <c r="K333" s="30"/>
      <c r="L333" s="30"/>
      <c r="M333" s="30"/>
      <c r="N333" s="30"/>
      <c r="O333" s="71">
        <f t="shared" si="36"/>
        <v>0</v>
      </c>
      <c r="P333" s="1070">
        <f t="shared" si="41"/>
        <v>0</v>
      </c>
      <c r="Q333" s="1071">
        <f t="shared" si="40"/>
        <v>0</v>
      </c>
    </row>
    <row r="334" spans="1:17" x14ac:dyDescent="0.2">
      <c r="A334" s="30"/>
      <c r="B334" s="162"/>
      <c r="C334" s="259"/>
      <c r="D334" s="267"/>
      <c r="E334" s="35"/>
      <c r="F334" s="151"/>
      <c r="G334" s="263">
        <f t="shared" si="39"/>
        <v>0</v>
      </c>
      <c r="H334" s="65"/>
      <c r="I334" s="275">
        <f t="shared" si="35"/>
        <v>0</v>
      </c>
      <c r="J334" s="161"/>
      <c r="K334" s="30"/>
      <c r="L334" s="30"/>
      <c r="M334" s="30"/>
      <c r="N334" s="30"/>
      <c r="O334" s="71">
        <f t="shared" si="36"/>
        <v>0</v>
      </c>
      <c r="P334" s="1070">
        <f t="shared" si="41"/>
        <v>0</v>
      </c>
      <c r="Q334" s="1071">
        <f t="shared" si="40"/>
        <v>0</v>
      </c>
    </row>
    <row r="335" spans="1:17" x14ac:dyDescent="0.2">
      <c r="A335" s="30"/>
      <c r="B335" s="162"/>
      <c r="C335" s="259"/>
      <c r="D335" s="267"/>
      <c r="E335" s="35"/>
      <c r="F335" s="151"/>
      <c r="G335" s="263">
        <f t="shared" si="39"/>
        <v>0</v>
      </c>
      <c r="H335" s="65"/>
      <c r="I335" s="275">
        <f t="shared" si="35"/>
        <v>0</v>
      </c>
      <c r="J335" s="161"/>
      <c r="K335" s="30"/>
      <c r="L335" s="30"/>
      <c r="M335" s="30"/>
      <c r="N335" s="30"/>
      <c r="O335" s="71">
        <f t="shared" si="36"/>
        <v>0</v>
      </c>
      <c r="P335" s="1070">
        <f t="shared" si="41"/>
        <v>0</v>
      </c>
      <c r="Q335" s="1071">
        <f t="shared" si="40"/>
        <v>0</v>
      </c>
    </row>
    <row r="336" spans="1:17" x14ac:dyDescent="0.2">
      <c r="A336" s="30"/>
      <c r="B336" s="162"/>
      <c r="C336" s="259"/>
      <c r="D336" s="267"/>
      <c r="E336" s="35"/>
      <c r="F336" s="151"/>
      <c r="G336" s="263">
        <f t="shared" si="39"/>
        <v>0</v>
      </c>
      <c r="H336" s="65"/>
      <c r="I336" s="275">
        <f t="shared" si="35"/>
        <v>0</v>
      </c>
      <c r="J336" s="161"/>
      <c r="K336" s="30"/>
      <c r="L336" s="30"/>
      <c r="M336" s="30"/>
      <c r="N336" s="30"/>
      <c r="O336" s="71">
        <f t="shared" si="36"/>
        <v>0</v>
      </c>
      <c r="P336" s="1070">
        <f t="shared" si="41"/>
        <v>0</v>
      </c>
      <c r="Q336" s="1071">
        <f t="shared" si="40"/>
        <v>0</v>
      </c>
    </row>
    <row r="337" spans="1:17" x14ac:dyDescent="0.2">
      <c r="A337" s="30"/>
      <c r="B337" s="162"/>
      <c r="C337" s="259"/>
      <c r="D337" s="267"/>
      <c r="E337" s="35"/>
      <c r="F337" s="151"/>
      <c r="G337" s="263">
        <f t="shared" si="39"/>
        <v>0</v>
      </c>
      <c r="H337" s="65"/>
      <c r="I337" s="275">
        <f t="shared" si="35"/>
        <v>0</v>
      </c>
      <c r="J337" s="161"/>
      <c r="K337" s="30"/>
      <c r="L337" s="30"/>
      <c r="M337" s="30"/>
      <c r="N337" s="30"/>
      <c r="O337" s="71">
        <f t="shared" si="36"/>
        <v>0</v>
      </c>
      <c r="P337" s="1070">
        <f t="shared" si="41"/>
        <v>0</v>
      </c>
      <c r="Q337" s="1071">
        <f t="shared" si="40"/>
        <v>0</v>
      </c>
    </row>
    <row r="338" spans="1:17" x14ac:dyDescent="0.2">
      <c r="A338" s="30"/>
      <c r="B338" s="162"/>
      <c r="C338" s="259"/>
      <c r="D338" s="267"/>
      <c r="E338" s="35"/>
      <c r="F338" s="151"/>
      <c r="G338" s="263">
        <f t="shared" si="39"/>
        <v>0</v>
      </c>
      <c r="H338" s="65"/>
      <c r="I338" s="275">
        <f t="shared" si="35"/>
        <v>0</v>
      </c>
      <c r="J338" s="161"/>
      <c r="K338" s="30"/>
      <c r="L338" s="30"/>
      <c r="M338" s="30"/>
      <c r="N338" s="30"/>
      <c r="O338" s="71">
        <f t="shared" si="36"/>
        <v>0</v>
      </c>
      <c r="P338" s="1070">
        <f t="shared" si="41"/>
        <v>0</v>
      </c>
      <c r="Q338" s="1071">
        <f t="shared" si="40"/>
        <v>0</v>
      </c>
    </row>
    <row r="339" spans="1:17" x14ac:dyDescent="0.2">
      <c r="A339" s="30"/>
      <c r="B339" s="162"/>
      <c r="C339" s="259"/>
      <c r="D339" s="267"/>
      <c r="E339" s="35"/>
      <c r="F339" s="151"/>
      <c r="G339" s="263">
        <f t="shared" si="39"/>
        <v>0</v>
      </c>
      <c r="H339" s="65"/>
      <c r="I339" s="275">
        <f t="shared" si="35"/>
        <v>0</v>
      </c>
      <c r="J339" s="161"/>
      <c r="K339" s="30"/>
      <c r="L339" s="30"/>
      <c r="M339" s="30"/>
      <c r="N339" s="30"/>
      <c r="O339" s="71">
        <f t="shared" si="36"/>
        <v>0</v>
      </c>
      <c r="P339" s="1070">
        <f t="shared" si="41"/>
        <v>0</v>
      </c>
      <c r="Q339" s="1071">
        <f t="shared" si="40"/>
        <v>0</v>
      </c>
    </row>
    <row r="340" spans="1:17" x14ac:dyDescent="0.2">
      <c r="A340" s="30"/>
      <c r="B340" s="162"/>
      <c r="C340" s="259"/>
      <c r="D340" s="267"/>
      <c r="E340" s="35"/>
      <c r="F340" s="151"/>
      <c r="G340" s="263">
        <f t="shared" si="39"/>
        <v>0</v>
      </c>
      <c r="H340" s="65"/>
      <c r="I340" s="275">
        <f t="shared" si="35"/>
        <v>0</v>
      </c>
      <c r="J340" s="161"/>
      <c r="K340" s="30"/>
      <c r="L340" s="30"/>
      <c r="M340" s="30"/>
      <c r="N340" s="30"/>
      <c r="O340" s="71">
        <f t="shared" si="36"/>
        <v>0</v>
      </c>
      <c r="P340" s="1070">
        <f t="shared" si="41"/>
        <v>0</v>
      </c>
      <c r="Q340" s="1071">
        <f t="shared" si="40"/>
        <v>0</v>
      </c>
    </row>
    <row r="341" spans="1:17" x14ac:dyDescent="0.2">
      <c r="A341" s="30"/>
      <c r="B341" s="162"/>
      <c r="C341" s="259"/>
      <c r="D341" s="267"/>
      <c r="E341" s="35"/>
      <c r="F341" s="151"/>
      <c r="G341" s="263">
        <f t="shared" si="39"/>
        <v>0</v>
      </c>
      <c r="H341" s="65"/>
      <c r="I341" s="275">
        <f t="shared" si="35"/>
        <v>0</v>
      </c>
      <c r="J341" s="161"/>
      <c r="K341" s="30"/>
      <c r="L341" s="30"/>
      <c r="M341" s="30"/>
      <c r="N341" s="30"/>
      <c r="O341" s="71">
        <f t="shared" si="36"/>
        <v>0</v>
      </c>
      <c r="P341" s="1070">
        <f t="shared" si="41"/>
        <v>0</v>
      </c>
      <c r="Q341" s="1071">
        <f t="shared" si="40"/>
        <v>0</v>
      </c>
    </row>
    <row r="342" spans="1:17" x14ac:dyDescent="0.2">
      <c r="A342" s="30"/>
      <c r="B342" s="162"/>
      <c r="C342" s="259"/>
      <c r="D342" s="267"/>
      <c r="E342" s="35"/>
      <c r="F342" s="151"/>
      <c r="G342" s="263">
        <f t="shared" si="39"/>
        <v>0</v>
      </c>
      <c r="H342" s="65"/>
      <c r="I342" s="275">
        <f t="shared" si="35"/>
        <v>0</v>
      </c>
      <c r="J342" s="161"/>
      <c r="K342" s="30"/>
      <c r="L342" s="30"/>
      <c r="M342" s="30"/>
      <c r="N342" s="30"/>
      <c r="O342" s="71">
        <f t="shared" si="36"/>
        <v>0</v>
      </c>
      <c r="P342" s="1070">
        <f t="shared" si="41"/>
        <v>0</v>
      </c>
      <c r="Q342" s="1071">
        <f t="shared" si="40"/>
        <v>0</v>
      </c>
    </row>
    <row r="343" spans="1:17" x14ac:dyDescent="0.2">
      <c r="A343" s="30"/>
      <c r="B343" s="162"/>
      <c r="C343" s="259"/>
      <c r="D343" s="267"/>
      <c r="E343" s="35"/>
      <c r="F343" s="151"/>
      <c r="G343" s="263">
        <f t="shared" si="39"/>
        <v>0</v>
      </c>
      <c r="H343" s="65"/>
      <c r="I343" s="275">
        <f t="shared" si="35"/>
        <v>0</v>
      </c>
      <c r="J343" s="161"/>
      <c r="K343" s="30"/>
      <c r="L343" s="30"/>
      <c r="M343" s="30"/>
      <c r="N343" s="30"/>
      <c r="O343" s="71">
        <f t="shared" si="36"/>
        <v>0</v>
      </c>
      <c r="P343" s="1070">
        <f t="shared" si="41"/>
        <v>0</v>
      </c>
      <c r="Q343" s="1071">
        <f t="shared" si="40"/>
        <v>0</v>
      </c>
    </row>
    <row r="344" spans="1:17" x14ac:dyDescent="0.2">
      <c r="A344" s="30"/>
      <c r="B344" s="162"/>
      <c r="C344" s="259"/>
      <c r="D344" s="267"/>
      <c r="E344" s="35"/>
      <c r="F344" s="151"/>
      <c r="G344" s="263">
        <f t="shared" si="39"/>
        <v>0</v>
      </c>
      <c r="H344" s="65"/>
      <c r="I344" s="275">
        <f t="shared" si="35"/>
        <v>0</v>
      </c>
      <c r="J344" s="161"/>
      <c r="K344" s="30"/>
      <c r="L344" s="30"/>
      <c r="M344" s="30"/>
      <c r="N344" s="30"/>
      <c r="O344" s="71">
        <f t="shared" si="36"/>
        <v>0</v>
      </c>
      <c r="P344" s="1070">
        <f t="shared" si="41"/>
        <v>0</v>
      </c>
      <c r="Q344" s="1071">
        <f t="shared" si="40"/>
        <v>0</v>
      </c>
    </row>
    <row r="345" spans="1:17" x14ac:dyDescent="0.2">
      <c r="A345" s="30"/>
      <c r="B345" s="162"/>
      <c r="C345" s="259"/>
      <c r="D345" s="267"/>
      <c r="E345" s="35"/>
      <c r="F345" s="151"/>
      <c r="G345" s="263">
        <f t="shared" si="39"/>
        <v>0</v>
      </c>
      <c r="H345" s="65"/>
      <c r="I345" s="275">
        <f t="shared" si="35"/>
        <v>0</v>
      </c>
      <c r="J345" s="161"/>
      <c r="K345" s="30"/>
      <c r="L345" s="30"/>
      <c r="M345" s="30"/>
      <c r="N345" s="30"/>
      <c r="O345" s="71">
        <f t="shared" si="36"/>
        <v>0</v>
      </c>
      <c r="P345" s="1070">
        <f t="shared" si="41"/>
        <v>0</v>
      </c>
      <c r="Q345" s="1071">
        <f t="shared" si="40"/>
        <v>0</v>
      </c>
    </row>
    <row r="346" spans="1:17" x14ac:dyDescent="0.2">
      <c r="A346" s="30"/>
      <c r="B346" s="162"/>
      <c r="C346" s="259"/>
      <c r="D346" s="267"/>
      <c r="E346" s="35"/>
      <c r="F346" s="151"/>
      <c r="G346" s="263">
        <f t="shared" si="39"/>
        <v>0</v>
      </c>
      <c r="H346" s="65"/>
      <c r="I346" s="275">
        <f t="shared" si="35"/>
        <v>0</v>
      </c>
      <c r="J346" s="161"/>
      <c r="K346" s="30"/>
      <c r="L346" s="30"/>
      <c r="M346" s="30"/>
      <c r="N346" s="30"/>
      <c r="O346" s="71">
        <f t="shared" si="36"/>
        <v>0</v>
      </c>
      <c r="P346" s="1070">
        <f t="shared" si="41"/>
        <v>0</v>
      </c>
      <c r="Q346" s="1071">
        <f t="shared" si="40"/>
        <v>0</v>
      </c>
    </row>
    <row r="347" spans="1:17" x14ac:dyDescent="0.2">
      <c r="A347" s="30"/>
      <c r="B347" s="162"/>
      <c r="C347" s="259"/>
      <c r="D347" s="267"/>
      <c r="E347" s="35"/>
      <c r="F347" s="151"/>
      <c r="G347" s="263">
        <f t="shared" si="39"/>
        <v>0</v>
      </c>
      <c r="H347" s="65"/>
      <c r="I347" s="275">
        <f t="shared" si="35"/>
        <v>0</v>
      </c>
      <c r="J347" s="161"/>
      <c r="K347" s="30"/>
      <c r="L347" s="30"/>
      <c r="M347" s="30"/>
      <c r="N347" s="30"/>
      <c r="O347" s="71">
        <f t="shared" si="36"/>
        <v>0</v>
      </c>
      <c r="P347" s="1070">
        <f t="shared" si="41"/>
        <v>0</v>
      </c>
      <c r="Q347" s="1071">
        <f t="shared" si="40"/>
        <v>0</v>
      </c>
    </row>
    <row r="348" spans="1:17" x14ac:dyDescent="0.2">
      <c r="A348" s="30"/>
      <c r="B348" s="162"/>
      <c r="C348" s="259"/>
      <c r="D348" s="267"/>
      <c r="E348" s="35"/>
      <c r="F348" s="151"/>
      <c r="G348" s="263">
        <f t="shared" si="39"/>
        <v>0</v>
      </c>
      <c r="H348" s="65"/>
      <c r="I348" s="275">
        <f t="shared" si="35"/>
        <v>0</v>
      </c>
      <c r="J348" s="161"/>
      <c r="K348" s="30"/>
      <c r="L348" s="30"/>
      <c r="M348" s="30"/>
      <c r="N348" s="30"/>
      <c r="O348" s="71">
        <f t="shared" si="36"/>
        <v>0</v>
      </c>
      <c r="P348" s="1070">
        <f t="shared" si="41"/>
        <v>0</v>
      </c>
      <c r="Q348" s="1071">
        <f t="shared" si="40"/>
        <v>0</v>
      </c>
    </row>
    <row r="349" spans="1:17" ht="13.5" thickBot="1" x14ac:dyDescent="0.25">
      <c r="A349" s="30"/>
      <c r="B349" s="163"/>
      <c r="C349" s="260"/>
      <c r="D349" s="268"/>
      <c r="E349" s="24"/>
      <c r="F349" s="25"/>
      <c r="G349" s="264">
        <f t="shared" si="39"/>
        <v>0</v>
      </c>
      <c r="H349" s="272"/>
      <c r="I349" s="276">
        <f t="shared" si="35"/>
        <v>0</v>
      </c>
      <c r="J349" s="161"/>
      <c r="K349" s="30"/>
      <c r="L349" s="30"/>
      <c r="M349" s="30"/>
      <c r="N349" s="30"/>
      <c r="O349" s="71">
        <f t="shared" si="36"/>
        <v>0</v>
      </c>
      <c r="P349" s="1070">
        <f t="shared" si="41"/>
        <v>0</v>
      </c>
      <c r="Q349" s="1071">
        <f t="shared" si="40"/>
        <v>0</v>
      </c>
    </row>
    <row r="350" spans="1:17" ht="6.75" customHeight="1" thickBot="1" x14ac:dyDescent="0.25">
      <c r="A350" s="30"/>
      <c r="B350" s="155"/>
      <c r="C350" s="155"/>
      <c r="D350" s="155"/>
      <c r="E350" s="155"/>
      <c r="F350" s="155"/>
      <c r="G350" s="155"/>
      <c r="H350" s="155"/>
      <c r="I350" s="155"/>
      <c r="J350" s="155"/>
      <c r="K350" s="30"/>
      <c r="L350" s="30"/>
      <c r="M350" s="30"/>
      <c r="N350" s="30"/>
      <c r="O350" s="812">
        <f>SUM(O298:O349)</f>
        <v>0</v>
      </c>
      <c r="P350" s="1075">
        <f>SUM(P298:P349)</f>
        <v>0</v>
      </c>
      <c r="Q350" s="813">
        <f>SUM(Q298:Q349)</f>
        <v>0</v>
      </c>
    </row>
    <row r="351" spans="1:17" ht="50.1" customHeight="1" x14ac:dyDescent="0.2">
      <c r="A351" s="30"/>
      <c r="B351" s="155"/>
      <c r="C351" s="155"/>
      <c r="D351" s="155"/>
      <c r="E351" s="155"/>
      <c r="F351" s="155"/>
      <c r="G351" s="155"/>
      <c r="H351" s="155"/>
      <c r="I351" s="155"/>
      <c r="J351" s="155"/>
      <c r="K351" s="30"/>
      <c r="L351" s="30"/>
      <c r="M351" s="30"/>
      <c r="N351" s="30"/>
      <c r="O351" s="30"/>
      <c r="P351" s="30"/>
    </row>
    <row r="352" spans="1:17" ht="18" x14ac:dyDescent="0.2">
      <c r="A352" s="1224" t="str">
        <f>UPPER("Patching Summary Table")</f>
        <v>PATCHING SUMMARY TABLE</v>
      </c>
      <c r="B352" s="1224"/>
      <c r="C352" s="1224"/>
      <c r="D352" s="1224"/>
      <c r="E352" s="1224"/>
      <c r="F352" s="1224"/>
      <c r="G352" s="1224"/>
      <c r="H352" s="1224"/>
      <c r="I352" s="1224"/>
      <c r="J352" s="1224"/>
      <c r="K352" s="30"/>
      <c r="L352" s="30"/>
      <c r="M352" s="30"/>
      <c r="N352" s="30"/>
      <c r="O352" s="30"/>
      <c r="P352" s="30"/>
    </row>
    <row r="353" spans="1:17" ht="7.5" customHeight="1" thickBot="1" x14ac:dyDescent="0.25">
      <c r="A353" s="30"/>
      <c r="B353" s="31"/>
      <c r="C353" s="31"/>
      <c r="D353" s="31"/>
      <c r="E353" s="31"/>
      <c r="F353" s="31"/>
      <c r="G353" s="31"/>
      <c r="H353" s="31"/>
      <c r="I353" s="31"/>
      <c r="J353" s="31"/>
      <c r="K353" s="30"/>
      <c r="L353" s="30"/>
      <c r="M353" s="30"/>
      <c r="N353" s="30"/>
      <c r="O353" s="30"/>
      <c r="P353" s="30"/>
    </row>
    <row r="354" spans="1:17" x14ac:dyDescent="0.2">
      <c r="A354" s="30"/>
      <c r="B354" s="1310" t="s">
        <v>2</v>
      </c>
      <c r="C354" s="1319" t="s">
        <v>3</v>
      </c>
      <c r="D354" s="1310" t="s">
        <v>39</v>
      </c>
      <c r="E354" s="1308" t="s">
        <v>4</v>
      </c>
      <c r="F354" s="1223" t="s">
        <v>535</v>
      </c>
      <c r="G354" s="261" t="s">
        <v>129</v>
      </c>
      <c r="H354" s="269" t="s">
        <v>102</v>
      </c>
      <c r="I354" s="152" t="s">
        <v>209</v>
      </c>
      <c r="J354" s="31"/>
      <c r="K354" s="30"/>
      <c r="L354" s="30"/>
      <c r="M354" s="30"/>
      <c r="N354" s="30"/>
      <c r="O354" s="1159" t="s">
        <v>537</v>
      </c>
      <c r="P354" s="1305"/>
      <c r="Q354" s="1306"/>
    </row>
    <row r="355" spans="1:17" ht="13.5" thickBot="1" x14ac:dyDescent="0.25">
      <c r="A355" s="30"/>
      <c r="B355" s="1285"/>
      <c r="C355" s="1320"/>
      <c r="D355" s="1285"/>
      <c r="E355" s="1227"/>
      <c r="F355" s="1242"/>
      <c r="G355" s="262" t="s">
        <v>100</v>
      </c>
      <c r="H355" s="270" t="s">
        <v>100</v>
      </c>
      <c r="I355" s="273" t="s">
        <v>210</v>
      </c>
      <c r="J355" s="31"/>
      <c r="K355" s="30"/>
      <c r="L355" s="30"/>
      <c r="M355" s="30"/>
      <c r="N355" s="30"/>
      <c r="O355" s="41" t="str">
        <f>$Q$41</f>
        <v>Partial</v>
      </c>
      <c r="P355" s="42" t="str">
        <f>$Q$42</f>
        <v>Full ( HMA)</v>
      </c>
      <c r="Q355" s="43" t="str">
        <f>$Q$43</f>
        <v>Full (Composite)</v>
      </c>
    </row>
    <row r="356" spans="1:17" x14ac:dyDescent="0.2">
      <c r="A356" s="30"/>
      <c r="B356" s="159"/>
      <c r="C356" s="258"/>
      <c r="D356" s="265"/>
      <c r="E356" s="160"/>
      <c r="F356" s="266"/>
      <c r="G356" s="263">
        <f>ABS(C356-B356)</f>
        <v>0</v>
      </c>
      <c r="H356" s="271"/>
      <c r="I356" s="274">
        <f t="shared" ref="I356:I407" si="42">ROUNDUP((G356*H356)/9,0)</f>
        <v>0</v>
      </c>
      <c r="J356" s="161"/>
      <c r="K356" s="30"/>
      <c r="L356" s="30"/>
      <c r="M356" s="30"/>
      <c r="N356" s="30"/>
      <c r="O356" s="54">
        <f t="shared" ref="O356:O407" si="43">IF($F356=$Q$41,$I356,0)</f>
        <v>0</v>
      </c>
      <c r="P356" s="1069">
        <f t="shared" ref="P356:P388" si="44">IF($F356=$Q$42,$I356,0)</f>
        <v>0</v>
      </c>
      <c r="Q356" s="811">
        <f t="shared" ref="Q356:Q387" si="45">IF($F356=$Q$43,$I356,0)</f>
        <v>0</v>
      </c>
    </row>
    <row r="357" spans="1:17" x14ac:dyDescent="0.2">
      <c r="A357" s="30"/>
      <c r="B357" s="162"/>
      <c r="C357" s="259"/>
      <c r="D357" s="267"/>
      <c r="E357" s="35"/>
      <c r="F357" s="151"/>
      <c r="G357" s="263">
        <f t="shared" ref="G357:G407" si="46">ABS(C357-B357)</f>
        <v>0</v>
      </c>
      <c r="H357" s="65"/>
      <c r="I357" s="275">
        <f t="shared" si="42"/>
        <v>0</v>
      </c>
      <c r="J357" s="161"/>
      <c r="K357" s="30"/>
      <c r="L357" s="30"/>
      <c r="M357" s="30"/>
      <c r="N357" s="30"/>
      <c r="O357" s="71">
        <f t="shared" si="43"/>
        <v>0</v>
      </c>
      <c r="P357" s="1070">
        <f t="shared" si="44"/>
        <v>0</v>
      </c>
      <c r="Q357" s="1071">
        <f t="shared" si="45"/>
        <v>0</v>
      </c>
    </row>
    <row r="358" spans="1:17" x14ac:dyDescent="0.2">
      <c r="A358" s="30"/>
      <c r="B358" s="162"/>
      <c r="C358" s="259"/>
      <c r="D358" s="267"/>
      <c r="E358" s="35"/>
      <c r="F358" s="151"/>
      <c r="G358" s="263">
        <f t="shared" si="46"/>
        <v>0</v>
      </c>
      <c r="H358" s="65"/>
      <c r="I358" s="275">
        <f t="shared" si="42"/>
        <v>0</v>
      </c>
      <c r="J358" s="161"/>
      <c r="K358" s="30"/>
      <c r="L358" s="30"/>
      <c r="M358" s="30"/>
      <c r="N358" s="30"/>
      <c r="O358" s="71">
        <f t="shared" si="43"/>
        <v>0</v>
      </c>
      <c r="P358" s="1070">
        <f t="shared" si="44"/>
        <v>0</v>
      </c>
      <c r="Q358" s="1071">
        <f t="shared" si="45"/>
        <v>0</v>
      </c>
    </row>
    <row r="359" spans="1:17" x14ac:dyDescent="0.2">
      <c r="A359" s="30"/>
      <c r="B359" s="162"/>
      <c r="C359" s="259"/>
      <c r="D359" s="267"/>
      <c r="E359" s="35"/>
      <c r="F359" s="151"/>
      <c r="G359" s="263">
        <f t="shared" si="46"/>
        <v>0</v>
      </c>
      <c r="H359" s="65"/>
      <c r="I359" s="275">
        <f t="shared" si="42"/>
        <v>0</v>
      </c>
      <c r="J359" s="161"/>
      <c r="K359" s="30"/>
      <c r="L359" s="30"/>
      <c r="M359" s="30"/>
      <c r="N359" s="30"/>
      <c r="O359" s="71">
        <f t="shared" si="43"/>
        <v>0</v>
      </c>
      <c r="P359" s="1070">
        <f t="shared" si="44"/>
        <v>0</v>
      </c>
      <c r="Q359" s="1071">
        <f t="shared" si="45"/>
        <v>0</v>
      </c>
    </row>
    <row r="360" spans="1:17" x14ac:dyDescent="0.2">
      <c r="A360" s="30"/>
      <c r="B360" s="162"/>
      <c r="C360" s="259"/>
      <c r="D360" s="267"/>
      <c r="E360" s="35"/>
      <c r="F360" s="151"/>
      <c r="G360" s="263">
        <f t="shared" si="46"/>
        <v>0</v>
      </c>
      <c r="H360" s="65"/>
      <c r="I360" s="275">
        <f t="shared" si="42"/>
        <v>0</v>
      </c>
      <c r="J360" s="161"/>
      <c r="K360" s="30"/>
      <c r="L360" s="30"/>
      <c r="M360" s="30"/>
      <c r="N360" s="30"/>
      <c r="O360" s="71">
        <f t="shared" si="43"/>
        <v>0</v>
      </c>
      <c r="P360" s="1070">
        <f t="shared" si="44"/>
        <v>0</v>
      </c>
      <c r="Q360" s="1071">
        <f t="shared" si="45"/>
        <v>0</v>
      </c>
    </row>
    <row r="361" spans="1:17" x14ac:dyDescent="0.2">
      <c r="A361" s="30"/>
      <c r="B361" s="162"/>
      <c r="C361" s="259"/>
      <c r="D361" s="267"/>
      <c r="E361" s="35"/>
      <c r="F361" s="151"/>
      <c r="G361" s="263">
        <f t="shared" si="46"/>
        <v>0</v>
      </c>
      <c r="H361" s="65"/>
      <c r="I361" s="275">
        <f t="shared" si="42"/>
        <v>0</v>
      </c>
      <c r="J361" s="161"/>
      <c r="K361" s="30"/>
      <c r="L361" s="30"/>
      <c r="M361" s="30"/>
      <c r="N361" s="30"/>
      <c r="O361" s="71">
        <f t="shared" si="43"/>
        <v>0</v>
      </c>
      <c r="P361" s="1070">
        <f t="shared" si="44"/>
        <v>0</v>
      </c>
      <c r="Q361" s="1071">
        <f t="shared" si="45"/>
        <v>0</v>
      </c>
    </row>
    <row r="362" spans="1:17" x14ac:dyDescent="0.2">
      <c r="A362" s="30"/>
      <c r="B362" s="162"/>
      <c r="C362" s="259"/>
      <c r="D362" s="267"/>
      <c r="E362" s="35"/>
      <c r="F362" s="151"/>
      <c r="G362" s="263">
        <f t="shared" si="46"/>
        <v>0</v>
      </c>
      <c r="H362" s="65"/>
      <c r="I362" s="275">
        <f t="shared" si="42"/>
        <v>0</v>
      </c>
      <c r="J362" s="161"/>
      <c r="K362" s="30"/>
      <c r="L362" s="30"/>
      <c r="M362" s="30"/>
      <c r="N362" s="30"/>
      <c r="O362" s="71">
        <f t="shared" si="43"/>
        <v>0</v>
      </c>
      <c r="P362" s="1070">
        <f t="shared" si="44"/>
        <v>0</v>
      </c>
      <c r="Q362" s="1071">
        <f t="shared" si="45"/>
        <v>0</v>
      </c>
    </row>
    <row r="363" spans="1:17" x14ac:dyDescent="0.2">
      <c r="A363" s="30"/>
      <c r="B363" s="162"/>
      <c r="C363" s="259"/>
      <c r="D363" s="267"/>
      <c r="E363" s="35"/>
      <c r="F363" s="151"/>
      <c r="G363" s="263">
        <f t="shared" si="46"/>
        <v>0</v>
      </c>
      <c r="H363" s="65"/>
      <c r="I363" s="275">
        <f t="shared" si="42"/>
        <v>0</v>
      </c>
      <c r="J363" s="161"/>
      <c r="K363" s="30"/>
      <c r="L363" s="30"/>
      <c r="M363" s="30"/>
      <c r="N363" s="30"/>
      <c r="O363" s="71">
        <f t="shared" si="43"/>
        <v>0</v>
      </c>
      <c r="P363" s="1070">
        <f t="shared" si="44"/>
        <v>0</v>
      </c>
      <c r="Q363" s="1071">
        <f t="shared" si="45"/>
        <v>0</v>
      </c>
    </row>
    <row r="364" spans="1:17" x14ac:dyDescent="0.2">
      <c r="A364" s="30"/>
      <c r="B364" s="162"/>
      <c r="C364" s="259"/>
      <c r="D364" s="267"/>
      <c r="E364" s="35"/>
      <c r="F364" s="151"/>
      <c r="G364" s="263">
        <f t="shared" si="46"/>
        <v>0</v>
      </c>
      <c r="H364" s="65"/>
      <c r="I364" s="275">
        <f t="shared" si="42"/>
        <v>0</v>
      </c>
      <c r="J364" s="161"/>
      <c r="K364" s="30"/>
      <c r="L364" s="30"/>
      <c r="M364" s="30"/>
      <c r="N364" s="30"/>
      <c r="O364" s="71">
        <f t="shared" si="43"/>
        <v>0</v>
      </c>
      <c r="P364" s="1070">
        <f t="shared" si="44"/>
        <v>0</v>
      </c>
      <c r="Q364" s="1071">
        <f t="shared" si="45"/>
        <v>0</v>
      </c>
    </row>
    <row r="365" spans="1:17" x14ac:dyDescent="0.2">
      <c r="A365" s="30"/>
      <c r="B365" s="162"/>
      <c r="C365" s="259"/>
      <c r="D365" s="267"/>
      <c r="E365" s="35"/>
      <c r="F365" s="151"/>
      <c r="G365" s="263">
        <f t="shared" si="46"/>
        <v>0</v>
      </c>
      <c r="H365" s="65"/>
      <c r="I365" s="275">
        <f t="shared" si="42"/>
        <v>0</v>
      </c>
      <c r="J365" s="161"/>
      <c r="K365" s="30"/>
      <c r="L365" s="30"/>
      <c r="M365" s="30"/>
      <c r="N365" s="30"/>
      <c r="O365" s="71">
        <f t="shared" si="43"/>
        <v>0</v>
      </c>
      <c r="P365" s="1070">
        <f t="shared" si="44"/>
        <v>0</v>
      </c>
      <c r="Q365" s="1071">
        <f t="shared" si="45"/>
        <v>0</v>
      </c>
    </row>
    <row r="366" spans="1:17" x14ac:dyDescent="0.2">
      <c r="A366" s="30"/>
      <c r="B366" s="162"/>
      <c r="C366" s="259"/>
      <c r="D366" s="267"/>
      <c r="E366" s="35"/>
      <c r="F366" s="151"/>
      <c r="G366" s="263">
        <f t="shared" si="46"/>
        <v>0</v>
      </c>
      <c r="H366" s="65"/>
      <c r="I366" s="275">
        <f t="shared" si="42"/>
        <v>0</v>
      </c>
      <c r="J366" s="161"/>
      <c r="K366" s="30"/>
      <c r="L366" s="30"/>
      <c r="M366" s="30"/>
      <c r="N366" s="30"/>
      <c r="O366" s="71">
        <f t="shared" si="43"/>
        <v>0</v>
      </c>
      <c r="P366" s="1070">
        <f t="shared" si="44"/>
        <v>0</v>
      </c>
      <c r="Q366" s="1071">
        <f t="shared" si="45"/>
        <v>0</v>
      </c>
    </row>
    <row r="367" spans="1:17" x14ac:dyDescent="0.2">
      <c r="A367" s="30"/>
      <c r="B367" s="162"/>
      <c r="C367" s="259"/>
      <c r="D367" s="267"/>
      <c r="E367" s="35"/>
      <c r="F367" s="151"/>
      <c r="G367" s="263">
        <f t="shared" si="46"/>
        <v>0</v>
      </c>
      <c r="H367" s="65"/>
      <c r="I367" s="275">
        <f t="shared" si="42"/>
        <v>0</v>
      </c>
      <c r="J367" s="161"/>
      <c r="K367" s="30"/>
      <c r="L367" s="30"/>
      <c r="M367" s="30"/>
      <c r="N367" s="30"/>
      <c r="O367" s="71">
        <f t="shared" si="43"/>
        <v>0</v>
      </c>
      <c r="P367" s="1070">
        <f t="shared" si="44"/>
        <v>0</v>
      </c>
      <c r="Q367" s="1071">
        <f t="shared" si="45"/>
        <v>0</v>
      </c>
    </row>
    <row r="368" spans="1:17" x14ac:dyDescent="0.2">
      <c r="A368" s="30"/>
      <c r="B368" s="162"/>
      <c r="C368" s="259"/>
      <c r="D368" s="267"/>
      <c r="E368" s="35"/>
      <c r="F368" s="151"/>
      <c r="G368" s="263">
        <f t="shared" si="46"/>
        <v>0</v>
      </c>
      <c r="H368" s="65"/>
      <c r="I368" s="275">
        <f t="shared" si="42"/>
        <v>0</v>
      </c>
      <c r="J368" s="161"/>
      <c r="K368" s="30"/>
      <c r="L368" s="30"/>
      <c r="M368" s="30"/>
      <c r="N368" s="30"/>
      <c r="O368" s="71">
        <f t="shared" si="43"/>
        <v>0</v>
      </c>
      <c r="P368" s="1070">
        <f t="shared" si="44"/>
        <v>0</v>
      </c>
      <c r="Q368" s="1071">
        <f t="shared" si="45"/>
        <v>0</v>
      </c>
    </row>
    <row r="369" spans="1:17" x14ac:dyDescent="0.2">
      <c r="A369" s="30"/>
      <c r="B369" s="162"/>
      <c r="C369" s="259"/>
      <c r="D369" s="267"/>
      <c r="E369" s="35"/>
      <c r="F369" s="151"/>
      <c r="G369" s="263">
        <f t="shared" si="46"/>
        <v>0</v>
      </c>
      <c r="H369" s="65"/>
      <c r="I369" s="275">
        <f t="shared" si="42"/>
        <v>0</v>
      </c>
      <c r="J369" s="161"/>
      <c r="K369" s="30"/>
      <c r="L369" s="30"/>
      <c r="M369" s="30"/>
      <c r="N369" s="30"/>
      <c r="O369" s="71">
        <f t="shared" si="43"/>
        <v>0</v>
      </c>
      <c r="P369" s="1070">
        <f t="shared" si="44"/>
        <v>0</v>
      </c>
      <c r="Q369" s="1071">
        <f t="shared" si="45"/>
        <v>0</v>
      </c>
    </row>
    <row r="370" spans="1:17" x14ac:dyDescent="0.2">
      <c r="A370" s="30"/>
      <c r="B370" s="162"/>
      <c r="C370" s="259"/>
      <c r="D370" s="267"/>
      <c r="E370" s="35"/>
      <c r="F370" s="151"/>
      <c r="G370" s="263">
        <f t="shared" si="46"/>
        <v>0</v>
      </c>
      <c r="H370" s="65"/>
      <c r="I370" s="275">
        <f t="shared" si="42"/>
        <v>0</v>
      </c>
      <c r="J370" s="161"/>
      <c r="K370" s="30"/>
      <c r="L370" s="30"/>
      <c r="M370" s="30"/>
      <c r="N370" s="30"/>
      <c r="O370" s="71">
        <f t="shared" si="43"/>
        <v>0</v>
      </c>
      <c r="P370" s="1070">
        <f t="shared" si="44"/>
        <v>0</v>
      </c>
      <c r="Q370" s="1071">
        <f t="shared" si="45"/>
        <v>0</v>
      </c>
    </row>
    <row r="371" spans="1:17" x14ac:dyDescent="0.2">
      <c r="A371" s="30"/>
      <c r="B371" s="162"/>
      <c r="C371" s="259"/>
      <c r="D371" s="267"/>
      <c r="E371" s="35"/>
      <c r="F371" s="151"/>
      <c r="G371" s="263">
        <f t="shared" si="46"/>
        <v>0</v>
      </c>
      <c r="H371" s="65"/>
      <c r="I371" s="275">
        <f t="shared" si="42"/>
        <v>0</v>
      </c>
      <c r="J371" s="161"/>
      <c r="K371" s="30"/>
      <c r="L371" s="30"/>
      <c r="M371" s="30"/>
      <c r="N371" s="30"/>
      <c r="O371" s="71">
        <f t="shared" si="43"/>
        <v>0</v>
      </c>
      <c r="P371" s="1070">
        <f t="shared" si="44"/>
        <v>0</v>
      </c>
      <c r="Q371" s="1071">
        <f t="shared" si="45"/>
        <v>0</v>
      </c>
    </row>
    <row r="372" spans="1:17" x14ac:dyDescent="0.2">
      <c r="A372" s="30"/>
      <c r="B372" s="162"/>
      <c r="C372" s="259"/>
      <c r="D372" s="267"/>
      <c r="E372" s="35"/>
      <c r="F372" s="151"/>
      <c r="G372" s="263">
        <f t="shared" si="46"/>
        <v>0</v>
      </c>
      <c r="H372" s="65"/>
      <c r="I372" s="275">
        <f t="shared" si="42"/>
        <v>0</v>
      </c>
      <c r="J372" s="161"/>
      <c r="K372" s="30"/>
      <c r="L372" s="30"/>
      <c r="M372" s="30"/>
      <c r="N372" s="30"/>
      <c r="O372" s="71">
        <f t="shared" si="43"/>
        <v>0</v>
      </c>
      <c r="P372" s="1070">
        <f t="shared" si="44"/>
        <v>0</v>
      </c>
      <c r="Q372" s="1071">
        <f t="shared" si="45"/>
        <v>0</v>
      </c>
    </row>
    <row r="373" spans="1:17" x14ac:dyDescent="0.2">
      <c r="A373" s="30"/>
      <c r="B373" s="162"/>
      <c r="C373" s="259"/>
      <c r="D373" s="267"/>
      <c r="E373" s="35"/>
      <c r="F373" s="151"/>
      <c r="G373" s="263">
        <f t="shared" si="46"/>
        <v>0</v>
      </c>
      <c r="H373" s="65"/>
      <c r="I373" s="275">
        <f t="shared" si="42"/>
        <v>0</v>
      </c>
      <c r="J373" s="161"/>
      <c r="K373" s="30"/>
      <c r="L373" s="30"/>
      <c r="M373" s="30"/>
      <c r="N373" s="30"/>
      <c r="O373" s="71">
        <f t="shared" si="43"/>
        <v>0</v>
      </c>
      <c r="P373" s="1070">
        <f t="shared" si="44"/>
        <v>0</v>
      </c>
      <c r="Q373" s="1071">
        <f t="shared" si="45"/>
        <v>0</v>
      </c>
    </row>
    <row r="374" spans="1:17" x14ac:dyDescent="0.2">
      <c r="A374" s="30"/>
      <c r="B374" s="162"/>
      <c r="C374" s="259"/>
      <c r="D374" s="267"/>
      <c r="E374" s="35"/>
      <c r="F374" s="151"/>
      <c r="G374" s="263">
        <f t="shared" si="46"/>
        <v>0</v>
      </c>
      <c r="H374" s="65"/>
      <c r="I374" s="275">
        <f t="shared" si="42"/>
        <v>0</v>
      </c>
      <c r="J374" s="161"/>
      <c r="K374" s="30"/>
      <c r="L374" s="30"/>
      <c r="M374" s="30"/>
      <c r="N374" s="30"/>
      <c r="O374" s="71">
        <f t="shared" si="43"/>
        <v>0</v>
      </c>
      <c r="P374" s="1070">
        <f t="shared" si="44"/>
        <v>0</v>
      </c>
      <c r="Q374" s="1071">
        <f t="shared" si="45"/>
        <v>0</v>
      </c>
    </row>
    <row r="375" spans="1:17" x14ac:dyDescent="0.2">
      <c r="A375" s="30"/>
      <c r="B375" s="162"/>
      <c r="C375" s="259"/>
      <c r="D375" s="267"/>
      <c r="E375" s="35"/>
      <c r="F375" s="151"/>
      <c r="G375" s="263">
        <f t="shared" si="46"/>
        <v>0</v>
      </c>
      <c r="H375" s="65"/>
      <c r="I375" s="275">
        <f t="shared" si="42"/>
        <v>0</v>
      </c>
      <c r="J375" s="161"/>
      <c r="K375" s="30"/>
      <c r="L375" s="30"/>
      <c r="M375" s="30"/>
      <c r="N375" s="30"/>
      <c r="O375" s="71">
        <f t="shared" si="43"/>
        <v>0</v>
      </c>
      <c r="P375" s="1070">
        <f t="shared" si="44"/>
        <v>0</v>
      </c>
      <c r="Q375" s="1071">
        <f t="shared" si="45"/>
        <v>0</v>
      </c>
    </row>
    <row r="376" spans="1:17" x14ac:dyDescent="0.2">
      <c r="A376" s="30"/>
      <c r="B376" s="162"/>
      <c r="C376" s="259"/>
      <c r="D376" s="267"/>
      <c r="E376" s="35"/>
      <c r="F376" s="151"/>
      <c r="G376" s="263">
        <f t="shared" si="46"/>
        <v>0</v>
      </c>
      <c r="H376" s="65"/>
      <c r="I376" s="275">
        <f t="shared" si="42"/>
        <v>0</v>
      </c>
      <c r="J376" s="161"/>
      <c r="K376" s="30"/>
      <c r="L376" s="30"/>
      <c r="M376" s="30"/>
      <c r="N376" s="30"/>
      <c r="O376" s="71">
        <f t="shared" si="43"/>
        <v>0</v>
      </c>
      <c r="P376" s="1070">
        <f t="shared" si="44"/>
        <v>0</v>
      </c>
      <c r="Q376" s="1071">
        <f t="shared" si="45"/>
        <v>0</v>
      </c>
    </row>
    <row r="377" spans="1:17" x14ac:dyDescent="0.2">
      <c r="A377" s="30"/>
      <c r="B377" s="162"/>
      <c r="C377" s="259"/>
      <c r="D377" s="267"/>
      <c r="E377" s="35"/>
      <c r="F377" s="151"/>
      <c r="G377" s="263">
        <f t="shared" si="46"/>
        <v>0</v>
      </c>
      <c r="H377" s="65"/>
      <c r="I377" s="275">
        <f t="shared" si="42"/>
        <v>0</v>
      </c>
      <c r="J377" s="161"/>
      <c r="K377" s="30"/>
      <c r="L377" s="30"/>
      <c r="M377" s="30"/>
      <c r="N377" s="30"/>
      <c r="O377" s="71">
        <f t="shared" si="43"/>
        <v>0</v>
      </c>
      <c r="P377" s="1070">
        <f t="shared" si="44"/>
        <v>0</v>
      </c>
      <c r="Q377" s="1071">
        <f t="shared" si="45"/>
        <v>0</v>
      </c>
    </row>
    <row r="378" spans="1:17" x14ac:dyDescent="0.2">
      <c r="A378" s="30"/>
      <c r="B378" s="162"/>
      <c r="C378" s="259"/>
      <c r="D378" s="267"/>
      <c r="E378" s="35"/>
      <c r="F378" s="151"/>
      <c r="G378" s="263">
        <f t="shared" si="46"/>
        <v>0</v>
      </c>
      <c r="H378" s="65"/>
      <c r="I378" s="275">
        <f t="shared" si="42"/>
        <v>0</v>
      </c>
      <c r="J378" s="161"/>
      <c r="K378" s="30"/>
      <c r="L378" s="30"/>
      <c r="M378" s="30"/>
      <c r="N378" s="30"/>
      <c r="O378" s="71">
        <f t="shared" si="43"/>
        <v>0</v>
      </c>
      <c r="P378" s="1070">
        <f t="shared" si="44"/>
        <v>0</v>
      </c>
      <c r="Q378" s="1071">
        <f t="shared" si="45"/>
        <v>0</v>
      </c>
    </row>
    <row r="379" spans="1:17" x14ac:dyDescent="0.2">
      <c r="A379" s="30"/>
      <c r="B379" s="162"/>
      <c r="C379" s="259"/>
      <c r="D379" s="267"/>
      <c r="E379" s="35"/>
      <c r="F379" s="151"/>
      <c r="G379" s="263">
        <f t="shared" si="46"/>
        <v>0</v>
      </c>
      <c r="H379" s="65"/>
      <c r="I379" s="275">
        <f t="shared" si="42"/>
        <v>0</v>
      </c>
      <c r="J379" s="161"/>
      <c r="K379" s="30"/>
      <c r="L379" s="30"/>
      <c r="M379" s="30"/>
      <c r="N379" s="30"/>
      <c r="O379" s="71">
        <f t="shared" si="43"/>
        <v>0</v>
      </c>
      <c r="P379" s="1070">
        <f t="shared" si="44"/>
        <v>0</v>
      </c>
      <c r="Q379" s="1071">
        <f t="shared" si="45"/>
        <v>0</v>
      </c>
    </row>
    <row r="380" spans="1:17" x14ac:dyDescent="0.2">
      <c r="A380" s="30"/>
      <c r="B380" s="162"/>
      <c r="C380" s="259"/>
      <c r="D380" s="267"/>
      <c r="E380" s="35"/>
      <c r="F380" s="151"/>
      <c r="G380" s="263">
        <f t="shared" si="46"/>
        <v>0</v>
      </c>
      <c r="H380" s="65"/>
      <c r="I380" s="275">
        <f t="shared" si="42"/>
        <v>0</v>
      </c>
      <c r="J380" s="161"/>
      <c r="K380" s="30"/>
      <c r="L380" s="30"/>
      <c r="M380" s="30"/>
      <c r="N380" s="30"/>
      <c r="O380" s="71">
        <f t="shared" si="43"/>
        <v>0</v>
      </c>
      <c r="P380" s="1070">
        <f t="shared" si="44"/>
        <v>0</v>
      </c>
      <c r="Q380" s="1071">
        <f t="shared" si="45"/>
        <v>0</v>
      </c>
    </row>
    <row r="381" spans="1:17" x14ac:dyDescent="0.2">
      <c r="A381" s="30"/>
      <c r="B381" s="162"/>
      <c r="C381" s="259"/>
      <c r="D381" s="267"/>
      <c r="E381" s="35"/>
      <c r="F381" s="151"/>
      <c r="G381" s="263">
        <f t="shared" si="46"/>
        <v>0</v>
      </c>
      <c r="H381" s="65"/>
      <c r="I381" s="275">
        <f t="shared" si="42"/>
        <v>0</v>
      </c>
      <c r="J381" s="161"/>
      <c r="K381" s="30"/>
      <c r="L381" s="30"/>
      <c r="M381" s="30"/>
      <c r="N381" s="30"/>
      <c r="O381" s="71">
        <f t="shared" si="43"/>
        <v>0</v>
      </c>
      <c r="P381" s="1070">
        <f t="shared" si="44"/>
        <v>0</v>
      </c>
      <c r="Q381" s="1071">
        <f t="shared" si="45"/>
        <v>0</v>
      </c>
    </row>
    <row r="382" spans="1:17" x14ac:dyDescent="0.2">
      <c r="A382" s="30"/>
      <c r="B382" s="162"/>
      <c r="C382" s="259"/>
      <c r="D382" s="267"/>
      <c r="E382" s="35"/>
      <c r="F382" s="151"/>
      <c r="G382" s="263">
        <f t="shared" si="46"/>
        <v>0</v>
      </c>
      <c r="H382" s="65"/>
      <c r="I382" s="275">
        <f t="shared" si="42"/>
        <v>0</v>
      </c>
      <c r="J382" s="161"/>
      <c r="K382" s="30"/>
      <c r="L382" s="30"/>
      <c r="M382" s="30"/>
      <c r="N382" s="30"/>
      <c r="O382" s="71">
        <f t="shared" si="43"/>
        <v>0</v>
      </c>
      <c r="P382" s="1070">
        <f t="shared" si="44"/>
        <v>0</v>
      </c>
      <c r="Q382" s="1071">
        <f t="shared" si="45"/>
        <v>0</v>
      </c>
    </row>
    <row r="383" spans="1:17" x14ac:dyDescent="0.2">
      <c r="A383" s="30"/>
      <c r="B383" s="162"/>
      <c r="C383" s="259"/>
      <c r="D383" s="267"/>
      <c r="E383" s="35"/>
      <c r="F383" s="151"/>
      <c r="G383" s="263">
        <f t="shared" si="46"/>
        <v>0</v>
      </c>
      <c r="H383" s="65"/>
      <c r="I383" s="275">
        <f t="shared" si="42"/>
        <v>0</v>
      </c>
      <c r="J383" s="161"/>
      <c r="K383" s="30"/>
      <c r="L383" s="30"/>
      <c r="M383" s="30"/>
      <c r="N383" s="30"/>
      <c r="O383" s="71">
        <f t="shared" si="43"/>
        <v>0</v>
      </c>
      <c r="P383" s="1070">
        <f t="shared" si="44"/>
        <v>0</v>
      </c>
      <c r="Q383" s="1071">
        <f t="shared" si="45"/>
        <v>0</v>
      </c>
    </row>
    <row r="384" spans="1:17" x14ac:dyDescent="0.2">
      <c r="A384" s="30"/>
      <c r="B384" s="162"/>
      <c r="C384" s="259"/>
      <c r="D384" s="267"/>
      <c r="E384" s="35"/>
      <c r="F384" s="151"/>
      <c r="G384" s="263">
        <f t="shared" si="46"/>
        <v>0</v>
      </c>
      <c r="H384" s="65"/>
      <c r="I384" s="275">
        <f t="shared" si="42"/>
        <v>0</v>
      </c>
      <c r="J384" s="161"/>
      <c r="K384" s="30"/>
      <c r="L384" s="30"/>
      <c r="M384" s="30"/>
      <c r="N384" s="30"/>
      <c r="O384" s="71">
        <f t="shared" si="43"/>
        <v>0</v>
      </c>
      <c r="P384" s="1070">
        <f t="shared" si="44"/>
        <v>0</v>
      </c>
      <c r="Q384" s="1071">
        <f t="shared" si="45"/>
        <v>0</v>
      </c>
    </row>
    <row r="385" spans="1:17" x14ac:dyDescent="0.2">
      <c r="A385" s="30"/>
      <c r="B385" s="162"/>
      <c r="C385" s="259"/>
      <c r="D385" s="267"/>
      <c r="E385" s="35"/>
      <c r="F385" s="151"/>
      <c r="G385" s="263">
        <f t="shared" si="46"/>
        <v>0</v>
      </c>
      <c r="H385" s="65"/>
      <c r="I385" s="275">
        <f t="shared" si="42"/>
        <v>0</v>
      </c>
      <c r="J385" s="161"/>
      <c r="K385" s="30"/>
      <c r="L385" s="30"/>
      <c r="M385" s="30"/>
      <c r="N385" s="30"/>
      <c r="O385" s="71">
        <f t="shared" si="43"/>
        <v>0</v>
      </c>
      <c r="P385" s="1070">
        <f t="shared" si="44"/>
        <v>0</v>
      </c>
      <c r="Q385" s="1071">
        <f t="shared" si="45"/>
        <v>0</v>
      </c>
    </row>
    <row r="386" spans="1:17" x14ac:dyDescent="0.2">
      <c r="A386" s="30"/>
      <c r="B386" s="162"/>
      <c r="C386" s="259"/>
      <c r="D386" s="267"/>
      <c r="E386" s="35"/>
      <c r="F386" s="151"/>
      <c r="G386" s="263">
        <f t="shared" si="46"/>
        <v>0</v>
      </c>
      <c r="H386" s="65"/>
      <c r="I386" s="275">
        <f t="shared" si="42"/>
        <v>0</v>
      </c>
      <c r="J386" s="161"/>
      <c r="K386" s="30"/>
      <c r="L386" s="30"/>
      <c r="M386" s="30"/>
      <c r="N386" s="30"/>
      <c r="O386" s="71">
        <f t="shared" si="43"/>
        <v>0</v>
      </c>
      <c r="P386" s="1070">
        <f t="shared" si="44"/>
        <v>0</v>
      </c>
      <c r="Q386" s="1071">
        <f t="shared" si="45"/>
        <v>0</v>
      </c>
    </row>
    <row r="387" spans="1:17" x14ac:dyDescent="0.2">
      <c r="A387" s="30"/>
      <c r="B387" s="162"/>
      <c r="C387" s="259"/>
      <c r="D387" s="267"/>
      <c r="E387" s="35"/>
      <c r="F387" s="151"/>
      <c r="G387" s="263">
        <f t="shared" si="46"/>
        <v>0</v>
      </c>
      <c r="H387" s="65"/>
      <c r="I387" s="275">
        <f t="shared" si="42"/>
        <v>0</v>
      </c>
      <c r="J387" s="161"/>
      <c r="K387" s="30"/>
      <c r="L387" s="30"/>
      <c r="M387" s="30"/>
      <c r="N387" s="30"/>
      <c r="O387" s="71">
        <f t="shared" si="43"/>
        <v>0</v>
      </c>
      <c r="P387" s="1070">
        <f t="shared" si="44"/>
        <v>0</v>
      </c>
      <c r="Q387" s="1071">
        <f t="shared" si="45"/>
        <v>0</v>
      </c>
    </row>
    <row r="388" spans="1:17" x14ac:dyDescent="0.2">
      <c r="A388" s="30"/>
      <c r="B388" s="162"/>
      <c r="C388" s="259"/>
      <c r="D388" s="267"/>
      <c r="E388" s="35"/>
      <c r="F388" s="151"/>
      <c r="G388" s="263">
        <f t="shared" si="46"/>
        <v>0</v>
      </c>
      <c r="H388" s="65"/>
      <c r="I388" s="275">
        <f t="shared" si="42"/>
        <v>0</v>
      </c>
      <c r="J388" s="161"/>
      <c r="K388" s="30"/>
      <c r="L388" s="30"/>
      <c r="M388" s="30"/>
      <c r="N388" s="30"/>
      <c r="O388" s="71">
        <f t="shared" si="43"/>
        <v>0</v>
      </c>
      <c r="P388" s="1070">
        <f t="shared" si="44"/>
        <v>0</v>
      </c>
      <c r="Q388" s="1071">
        <f t="shared" ref="Q388:Q407" si="47">IF($F388=$Q$43,$I388,0)</f>
        <v>0</v>
      </c>
    </row>
    <row r="389" spans="1:17" x14ac:dyDescent="0.2">
      <c r="A389" s="30"/>
      <c r="B389" s="162"/>
      <c r="C389" s="259"/>
      <c r="D389" s="267"/>
      <c r="E389" s="35"/>
      <c r="F389" s="151"/>
      <c r="G389" s="263">
        <f t="shared" si="46"/>
        <v>0</v>
      </c>
      <c r="H389" s="65"/>
      <c r="I389" s="275">
        <f t="shared" si="42"/>
        <v>0</v>
      </c>
      <c r="J389" s="161"/>
      <c r="K389" s="30"/>
      <c r="L389" s="30"/>
      <c r="M389" s="30"/>
      <c r="N389" s="30"/>
      <c r="O389" s="71">
        <f t="shared" si="43"/>
        <v>0</v>
      </c>
      <c r="P389" s="1070">
        <f t="shared" ref="P389:P407" si="48">IF($F389=$Q$42,$I389,0)</f>
        <v>0</v>
      </c>
      <c r="Q389" s="1071">
        <f t="shared" si="47"/>
        <v>0</v>
      </c>
    </row>
    <row r="390" spans="1:17" x14ac:dyDescent="0.2">
      <c r="A390" s="30"/>
      <c r="B390" s="162"/>
      <c r="C390" s="259"/>
      <c r="D390" s="267"/>
      <c r="E390" s="35"/>
      <c r="F390" s="151"/>
      <c r="G390" s="263">
        <f t="shared" si="46"/>
        <v>0</v>
      </c>
      <c r="H390" s="65"/>
      <c r="I390" s="275">
        <f t="shared" si="42"/>
        <v>0</v>
      </c>
      <c r="J390" s="161"/>
      <c r="K390" s="30"/>
      <c r="L390" s="30"/>
      <c r="M390" s="30"/>
      <c r="N390" s="30"/>
      <c r="O390" s="71">
        <f t="shared" si="43"/>
        <v>0</v>
      </c>
      <c r="P390" s="1070">
        <f t="shared" si="48"/>
        <v>0</v>
      </c>
      <c r="Q390" s="1071">
        <f t="shared" si="47"/>
        <v>0</v>
      </c>
    </row>
    <row r="391" spans="1:17" x14ac:dyDescent="0.2">
      <c r="A391" s="30"/>
      <c r="B391" s="162"/>
      <c r="C391" s="259"/>
      <c r="D391" s="267"/>
      <c r="E391" s="35"/>
      <c r="F391" s="151"/>
      <c r="G391" s="263">
        <f t="shared" si="46"/>
        <v>0</v>
      </c>
      <c r="H391" s="65"/>
      <c r="I391" s="275">
        <f t="shared" si="42"/>
        <v>0</v>
      </c>
      <c r="J391" s="161"/>
      <c r="K391" s="30"/>
      <c r="L391" s="30"/>
      <c r="M391" s="30"/>
      <c r="N391" s="30"/>
      <c r="O391" s="71">
        <f t="shared" si="43"/>
        <v>0</v>
      </c>
      <c r="P391" s="1070">
        <f t="shared" si="48"/>
        <v>0</v>
      </c>
      <c r="Q391" s="1071">
        <f t="shared" si="47"/>
        <v>0</v>
      </c>
    </row>
    <row r="392" spans="1:17" x14ac:dyDescent="0.2">
      <c r="A392" s="30"/>
      <c r="B392" s="162"/>
      <c r="C392" s="259"/>
      <c r="D392" s="267"/>
      <c r="E392" s="35"/>
      <c r="F392" s="151"/>
      <c r="G392" s="263">
        <f t="shared" si="46"/>
        <v>0</v>
      </c>
      <c r="H392" s="65"/>
      <c r="I392" s="275">
        <f t="shared" si="42"/>
        <v>0</v>
      </c>
      <c r="J392" s="161"/>
      <c r="K392" s="30"/>
      <c r="L392" s="30"/>
      <c r="M392" s="30"/>
      <c r="N392" s="30"/>
      <c r="O392" s="71">
        <f t="shared" si="43"/>
        <v>0</v>
      </c>
      <c r="P392" s="1070">
        <f t="shared" si="48"/>
        <v>0</v>
      </c>
      <c r="Q392" s="1071">
        <f t="shared" si="47"/>
        <v>0</v>
      </c>
    </row>
    <row r="393" spans="1:17" x14ac:dyDescent="0.2">
      <c r="A393" s="30"/>
      <c r="B393" s="162"/>
      <c r="C393" s="259"/>
      <c r="D393" s="267"/>
      <c r="E393" s="35"/>
      <c r="F393" s="151"/>
      <c r="G393" s="263">
        <f t="shared" si="46"/>
        <v>0</v>
      </c>
      <c r="H393" s="65"/>
      <c r="I393" s="275">
        <f t="shared" si="42"/>
        <v>0</v>
      </c>
      <c r="J393" s="161"/>
      <c r="K393" s="30"/>
      <c r="L393" s="30"/>
      <c r="M393" s="30"/>
      <c r="N393" s="30"/>
      <c r="O393" s="71">
        <f t="shared" si="43"/>
        <v>0</v>
      </c>
      <c r="P393" s="1070">
        <f t="shared" si="48"/>
        <v>0</v>
      </c>
      <c r="Q393" s="1071">
        <f t="shared" si="47"/>
        <v>0</v>
      </c>
    </row>
    <row r="394" spans="1:17" x14ac:dyDescent="0.2">
      <c r="A394" s="30"/>
      <c r="B394" s="162"/>
      <c r="C394" s="259"/>
      <c r="D394" s="267"/>
      <c r="E394" s="35"/>
      <c r="F394" s="151"/>
      <c r="G394" s="263">
        <f t="shared" si="46"/>
        <v>0</v>
      </c>
      <c r="H394" s="65"/>
      <c r="I394" s="275">
        <f t="shared" si="42"/>
        <v>0</v>
      </c>
      <c r="J394" s="161"/>
      <c r="K394" s="30"/>
      <c r="L394" s="30"/>
      <c r="M394" s="30"/>
      <c r="N394" s="30"/>
      <c r="O394" s="71">
        <f t="shared" si="43"/>
        <v>0</v>
      </c>
      <c r="P394" s="1070">
        <f t="shared" si="48"/>
        <v>0</v>
      </c>
      <c r="Q394" s="1071">
        <f t="shared" si="47"/>
        <v>0</v>
      </c>
    </row>
    <row r="395" spans="1:17" x14ac:dyDescent="0.2">
      <c r="A395" s="30"/>
      <c r="B395" s="162"/>
      <c r="C395" s="259"/>
      <c r="D395" s="267"/>
      <c r="E395" s="35"/>
      <c r="F395" s="151"/>
      <c r="G395" s="263">
        <f t="shared" si="46"/>
        <v>0</v>
      </c>
      <c r="H395" s="65"/>
      <c r="I395" s="275">
        <f t="shared" si="42"/>
        <v>0</v>
      </c>
      <c r="J395" s="161"/>
      <c r="K395" s="30"/>
      <c r="L395" s="30"/>
      <c r="M395" s="30"/>
      <c r="N395" s="30"/>
      <c r="O395" s="71">
        <f t="shared" si="43"/>
        <v>0</v>
      </c>
      <c r="P395" s="1070">
        <f t="shared" si="48"/>
        <v>0</v>
      </c>
      <c r="Q395" s="1071">
        <f t="shared" si="47"/>
        <v>0</v>
      </c>
    </row>
    <row r="396" spans="1:17" x14ac:dyDescent="0.2">
      <c r="A396" s="30"/>
      <c r="B396" s="162"/>
      <c r="C396" s="259"/>
      <c r="D396" s="267"/>
      <c r="E396" s="35"/>
      <c r="F396" s="151"/>
      <c r="G396" s="263">
        <f t="shared" si="46"/>
        <v>0</v>
      </c>
      <c r="H396" s="65"/>
      <c r="I396" s="275">
        <f t="shared" si="42"/>
        <v>0</v>
      </c>
      <c r="J396" s="161"/>
      <c r="K396" s="30"/>
      <c r="L396" s="30"/>
      <c r="M396" s="30"/>
      <c r="N396" s="30"/>
      <c r="O396" s="71">
        <f t="shared" si="43"/>
        <v>0</v>
      </c>
      <c r="P396" s="1070">
        <f t="shared" si="48"/>
        <v>0</v>
      </c>
      <c r="Q396" s="1071">
        <f t="shared" si="47"/>
        <v>0</v>
      </c>
    </row>
    <row r="397" spans="1:17" x14ac:dyDescent="0.2">
      <c r="A397" s="30"/>
      <c r="B397" s="162"/>
      <c r="C397" s="259"/>
      <c r="D397" s="267"/>
      <c r="E397" s="35"/>
      <c r="F397" s="151"/>
      <c r="G397" s="263">
        <f t="shared" si="46"/>
        <v>0</v>
      </c>
      <c r="H397" s="65"/>
      <c r="I397" s="275">
        <f t="shared" si="42"/>
        <v>0</v>
      </c>
      <c r="J397" s="161"/>
      <c r="K397" s="30"/>
      <c r="L397" s="30"/>
      <c r="M397" s="30"/>
      <c r="N397" s="30"/>
      <c r="O397" s="71">
        <f t="shared" si="43"/>
        <v>0</v>
      </c>
      <c r="P397" s="1070">
        <f t="shared" si="48"/>
        <v>0</v>
      </c>
      <c r="Q397" s="1071">
        <f t="shared" si="47"/>
        <v>0</v>
      </c>
    </row>
    <row r="398" spans="1:17" x14ac:dyDescent="0.2">
      <c r="A398" s="30"/>
      <c r="B398" s="162"/>
      <c r="C398" s="259"/>
      <c r="D398" s="267"/>
      <c r="E398" s="35"/>
      <c r="F398" s="151"/>
      <c r="G398" s="263">
        <f t="shared" si="46"/>
        <v>0</v>
      </c>
      <c r="H398" s="65"/>
      <c r="I398" s="275">
        <f t="shared" si="42"/>
        <v>0</v>
      </c>
      <c r="J398" s="161"/>
      <c r="K398" s="30"/>
      <c r="L398" s="30"/>
      <c r="M398" s="30"/>
      <c r="N398" s="30"/>
      <c r="O398" s="71">
        <f t="shared" si="43"/>
        <v>0</v>
      </c>
      <c r="P398" s="1070">
        <f t="shared" si="48"/>
        <v>0</v>
      </c>
      <c r="Q398" s="1071">
        <f t="shared" si="47"/>
        <v>0</v>
      </c>
    </row>
    <row r="399" spans="1:17" x14ac:dyDescent="0.2">
      <c r="A399" s="30"/>
      <c r="B399" s="162"/>
      <c r="C399" s="259"/>
      <c r="D399" s="267"/>
      <c r="E399" s="35"/>
      <c r="F399" s="151"/>
      <c r="G399" s="263">
        <f t="shared" si="46"/>
        <v>0</v>
      </c>
      <c r="H399" s="65"/>
      <c r="I399" s="275">
        <f t="shared" si="42"/>
        <v>0</v>
      </c>
      <c r="J399" s="161"/>
      <c r="K399" s="30"/>
      <c r="L399" s="30"/>
      <c r="M399" s="30"/>
      <c r="N399" s="30"/>
      <c r="O399" s="71">
        <f t="shared" si="43"/>
        <v>0</v>
      </c>
      <c r="P399" s="1070">
        <f t="shared" si="48"/>
        <v>0</v>
      </c>
      <c r="Q399" s="1071">
        <f t="shared" si="47"/>
        <v>0</v>
      </c>
    </row>
    <row r="400" spans="1:17" x14ac:dyDescent="0.2">
      <c r="A400" s="30"/>
      <c r="B400" s="162"/>
      <c r="C400" s="259"/>
      <c r="D400" s="267"/>
      <c r="E400" s="35"/>
      <c r="F400" s="151"/>
      <c r="G400" s="263">
        <f t="shared" si="46"/>
        <v>0</v>
      </c>
      <c r="H400" s="65"/>
      <c r="I400" s="275">
        <f t="shared" si="42"/>
        <v>0</v>
      </c>
      <c r="J400" s="161"/>
      <c r="K400" s="30"/>
      <c r="L400" s="30"/>
      <c r="M400" s="30"/>
      <c r="N400" s="30"/>
      <c r="O400" s="71">
        <f t="shared" si="43"/>
        <v>0</v>
      </c>
      <c r="P400" s="1070">
        <f t="shared" si="48"/>
        <v>0</v>
      </c>
      <c r="Q400" s="1071">
        <f t="shared" si="47"/>
        <v>0</v>
      </c>
    </row>
    <row r="401" spans="1:17" x14ac:dyDescent="0.2">
      <c r="A401" s="30"/>
      <c r="B401" s="162"/>
      <c r="C401" s="259"/>
      <c r="D401" s="267"/>
      <c r="E401" s="35"/>
      <c r="F401" s="151"/>
      <c r="G401" s="263">
        <f t="shared" si="46"/>
        <v>0</v>
      </c>
      <c r="H401" s="65"/>
      <c r="I401" s="275">
        <f t="shared" si="42"/>
        <v>0</v>
      </c>
      <c r="J401" s="161"/>
      <c r="K401" s="30"/>
      <c r="L401" s="30"/>
      <c r="M401" s="30"/>
      <c r="N401" s="30"/>
      <c r="O401" s="71">
        <f t="shared" si="43"/>
        <v>0</v>
      </c>
      <c r="P401" s="1070">
        <f t="shared" si="48"/>
        <v>0</v>
      </c>
      <c r="Q401" s="1071">
        <f t="shared" si="47"/>
        <v>0</v>
      </c>
    </row>
    <row r="402" spans="1:17" x14ac:dyDescent="0.2">
      <c r="A402" s="30"/>
      <c r="B402" s="162"/>
      <c r="C402" s="259"/>
      <c r="D402" s="267"/>
      <c r="E402" s="35"/>
      <c r="F402" s="151"/>
      <c r="G402" s="263">
        <f t="shared" si="46"/>
        <v>0</v>
      </c>
      <c r="H402" s="65"/>
      <c r="I402" s="275">
        <f t="shared" si="42"/>
        <v>0</v>
      </c>
      <c r="J402" s="161"/>
      <c r="K402" s="30"/>
      <c r="L402" s="30"/>
      <c r="M402" s="30"/>
      <c r="N402" s="30"/>
      <c r="O402" s="71">
        <f t="shared" si="43"/>
        <v>0</v>
      </c>
      <c r="P402" s="1070">
        <f t="shared" si="48"/>
        <v>0</v>
      </c>
      <c r="Q402" s="1071">
        <f t="shared" si="47"/>
        <v>0</v>
      </c>
    </row>
    <row r="403" spans="1:17" x14ac:dyDescent="0.2">
      <c r="A403" s="30"/>
      <c r="B403" s="162"/>
      <c r="C403" s="259"/>
      <c r="D403" s="267"/>
      <c r="E403" s="35"/>
      <c r="F403" s="151"/>
      <c r="G403" s="263">
        <f t="shared" si="46"/>
        <v>0</v>
      </c>
      <c r="H403" s="65"/>
      <c r="I403" s="275">
        <f t="shared" si="42"/>
        <v>0</v>
      </c>
      <c r="J403" s="161"/>
      <c r="K403" s="30"/>
      <c r="L403" s="30"/>
      <c r="M403" s="30"/>
      <c r="N403" s="30"/>
      <c r="O403" s="71">
        <f t="shared" si="43"/>
        <v>0</v>
      </c>
      <c r="P403" s="1070">
        <f t="shared" si="48"/>
        <v>0</v>
      </c>
      <c r="Q403" s="1071">
        <f t="shared" si="47"/>
        <v>0</v>
      </c>
    </row>
    <row r="404" spans="1:17" x14ac:dyDescent="0.2">
      <c r="A404" s="30"/>
      <c r="B404" s="162"/>
      <c r="C404" s="259"/>
      <c r="D404" s="267"/>
      <c r="E404" s="35"/>
      <c r="F404" s="151"/>
      <c r="G404" s="263">
        <f t="shared" si="46"/>
        <v>0</v>
      </c>
      <c r="H404" s="65"/>
      <c r="I404" s="275">
        <f t="shared" si="42"/>
        <v>0</v>
      </c>
      <c r="J404" s="161"/>
      <c r="K404" s="30"/>
      <c r="L404" s="30"/>
      <c r="M404" s="30"/>
      <c r="N404" s="30"/>
      <c r="O404" s="71">
        <f t="shared" si="43"/>
        <v>0</v>
      </c>
      <c r="P404" s="1070">
        <f t="shared" si="48"/>
        <v>0</v>
      </c>
      <c r="Q404" s="1071">
        <f t="shared" si="47"/>
        <v>0</v>
      </c>
    </row>
    <row r="405" spans="1:17" x14ac:dyDescent="0.2">
      <c r="A405" s="30"/>
      <c r="B405" s="162"/>
      <c r="C405" s="259"/>
      <c r="D405" s="267"/>
      <c r="E405" s="35"/>
      <c r="F405" s="151"/>
      <c r="G405" s="263">
        <f t="shared" si="46"/>
        <v>0</v>
      </c>
      <c r="H405" s="65"/>
      <c r="I405" s="275">
        <f t="shared" si="42"/>
        <v>0</v>
      </c>
      <c r="J405" s="161"/>
      <c r="K405" s="30"/>
      <c r="L405" s="30"/>
      <c r="M405" s="30"/>
      <c r="N405" s="30"/>
      <c r="O405" s="71">
        <f t="shared" si="43"/>
        <v>0</v>
      </c>
      <c r="P405" s="1070">
        <f t="shared" si="48"/>
        <v>0</v>
      </c>
      <c r="Q405" s="1071">
        <f t="shared" si="47"/>
        <v>0</v>
      </c>
    </row>
    <row r="406" spans="1:17" x14ac:dyDescent="0.2">
      <c r="A406" s="30"/>
      <c r="B406" s="162"/>
      <c r="C406" s="259"/>
      <c r="D406" s="267"/>
      <c r="E406" s="35"/>
      <c r="F406" s="151"/>
      <c r="G406" s="263">
        <f t="shared" si="46"/>
        <v>0</v>
      </c>
      <c r="H406" s="65"/>
      <c r="I406" s="275">
        <f t="shared" si="42"/>
        <v>0</v>
      </c>
      <c r="J406" s="161"/>
      <c r="K406" s="30"/>
      <c r="L406" s="30"/>
      <c r="M406" s="30"/>
      <c r="N406" s="30"/>
      <c r="O406" s="71">
        <f t="shared" si="43"/>
        <v>0</v>
      </c>
      <c r="P406" s="1070">
        <f t="shared" si="48"/>
        <v>0</v>
      </c>
      <c r="Q406" s="1071">
        <f t="shared" si="47"/>
        <v>0</v>
      </c>
    </row>
    <row r="407" spans="1:17" ht="13.5" thickBot="1" x14ac:dyDescent="0.25">
      <c r="A407" s="30"/>
      <c r="B407" s="163"/>
      <c r="C407" s="260"/>
      <c r="D407" s="268"/>
      <c r="E407" s="24"/>
      <c r="F407" s="25"/>
      <c r="G407" s="264">
        <f t="shared" si="46"/>
        <v>0</v>
      </c>
      <c r="H407" s="272"/>
      <c r="I407" s="276">
        <f t="shared" si="42"/>
        <v>0</v>
      </c>
      <c r="J407" s="161"/>
      <c r="K407" s="30"/>
      <c r="L407" s="30"/>
      <c r="M407" s="30"/>
      <c r="N407" s="30"/>
      <c r="O407" s="71">
        <f t="shared" si="43"/>
        <v>0</v>
      </c>
      <c r="P407" s="1070">
        <f t="shared" si="48"/>
        <v>0</v>
      </c>
      <c r="Q407" s="1071">
        <f t="shared" si="47"/>
        <v>0</v>
      </c>
    </row>
    <row r="408" spans="1:17" ht="6.75" customHeight="1" thickBot="1" x14ac:dyDescent="0.25">
      <c r="A408" s="30"/>
      <c r="B408" s="155"/>
      <c r="C408" s="155"/>
      <c r="D408" s="155"/>
      <c r="E408" s="155"/>
      <c r="F408" s="155"/>
      <c r="G408" s="155"/>
      <c r="H408" s="155"/>
      <c r="I408" s="155"/>
      <c r="J408" s="155"/>
      <c r="K408" s="30"/>
      <c r="L408" s="30"/>
      <c r="M408" s="30"/>
      <c r="N408" s="30"/>
      <c r="O408" s="812">
        <f>SUM(O356:O407)</f>
        <v>0</v>
      </c>
      <c r="P408" s="1075">
        <f>SUM(P356:P407)</f>
        <v>0</v>
      </c>
      <c r="Q408" s="813">
        <f>SUM(Q356:Q407)</f>
        <v>0</v>
      </c>
    </row>
    <row r="409" spans="1:17" ht="50.1" customHeight="1" x14ac:dyDescent="0.2">
      <c r="L409" s="30"/>
      <c r="M409" s="30"/>
      <c r="N409" s="30"/>
    </row>
    <row r="410" spans="1:17" ht="18" x14ac:dyDescent="0.2">
      <c r="A410" s="1224" t="str">
        <f>UPPER("Patching Summary Table")</f>
        <v>PATCHING SUMMARY TABLE</v>
      </c>
      <c r="B410" s="1224"/>
      <c r="C410" s="1224"/>
      <c r="D410" s="1224"/>
      <c r="E410" s="1224"/>
      <c r="F410" s="1224"/>
      <c r="G410" s="1224"/>
      <c r="H410" s="1224"/>
      <c r="I410" s="1224"/>
      <c r="J410" s="1224"/>
      <c r="K410" s="30"/>
      <c r="L410" s="30"/>
      <c r="M410" s="30"/>
      <c r="N410" s="30"/>
      <c r="O410" s="30"/>
      <c r="P410" s="30"/>
    </row>
    <row r="411" spans="1:17" ht="7.5" customHeight="1" thickBot="1" x14ac:dyDescent="0.25">
      <c r="A411" s="30"/>
      <c r="B411" s="31"/>
      <c r="C411" s="31"/>
      <c r="D411" s="31"/>
      <c r="E411" s="31"/>
      <c r="F411" s="31"/>
      <c r="G411" s="31"/>
      <c r="H411" s="31"/>
      <c r="I411" s="31"/>
      <c r="J411" s="31"/>
      <c r="K411" s="30"/>
      <c r="O411" s="30"/>
      <c r="P411" s="30"/>
    </row>
    <row r="412" spans="1:17" x14ac:dyDescent="0.2">
      <c r="A412" s="30"/>
      <c r="B412" s="1310" t="s">
        <v>2</v>
      </c>
      <c r="C412" s="1319" t="s">
        <v>3</v>
      </c>
      <c r="D412" s="1310" t="s">
        <v>39</v>
      </c>
      <c r="E412" s="1308" t="s">
        <v>4</v>
      </c>
      <c r="F412" s="1223" t="s">
        <v>535</v>
      </c>
      <c r="G412" s="261" t="s">
        <v>129</v>
      </c>
      <c r="H412" s="269" t="s">
        <v>102</v>
      </c>
      <c r="I412" s="152" t="s">
        <v>209</v>
      </c>
      <c r="J412" s="31"/>
      <c r="K412" s="30"/>
      <c r="L412" s="30"/>
      <c r="M412" s="30"/>
      <c r="N412" s="30"/>
      <c r="O412" s="1159" t="s">
        <v>537</v>
      </c>
      <c r="P412" s="1305"/>
      <c r="Q412" s="1306"/>
    </row>
    <row r="413" spans="1:17" ht="13.5" thickBot="1" x14ac:dyDescent="0.25">
      <c r="A413" s="30"/>
      <c r="B413" s="1285"/>
      <c r="C413" s="1320"/>
      <c r="D413" s="1285"/>
      <c r="E413" s="1227"/>
      <c r="F413" s="1242"/>
      <c r="G413" s="262" t="s">
        <v>100</v>
      </c>
      <c r="H413" s="270" t="s">
        <v>100</v>
      </c>
      <c r="I413" s="273" t="s">
        <v>210</v>
      </c>
      <c r="J413" s="31"/>
      <c r="K413" s="30"/>
      <c r="L413" s="30"/>
      <c r="M413" s="30"/>
      <c r="N413" s="30"/>
      <c r="O413" s="41" t="str">
        <f>$Q$41</f>
        <v>Partial</v>
      </c>
      <c r="P413" s="42" t="str">
        <f>$Q$42</f>
        <v>Full ( HMA)</v>
      </c>
      <c r="Q413" s="43" t="str">
        <f>$Q$43</f>
        <v>Full (Composite)</v>
      </c>
    </row>
    <row r="414" spans="1:17" x14ac:dyDescent="0.2">
      <c r="A414" s="30"/>
      <c r="B414" s="159"/>
      <c r="C414" s="258"/>
      <c r="D414" s="265"/>
      <c r="E414" s="160"/>
      <c r="F414" s="266"/>
      <c r="G414" s="263">
        <f>ABS(C414-B414)</f>
        <v>0</v>
      </c>
      <c r="H414" s="271"/>
      <c r="I414" s="274">
        <f t="shared" ref="I414:I465" si="49">ROUNDUP((G414*H414)/9,0)</f>
        <v>0</v>
      </c>
      <c r="J414" s="161"/>
      <c r="K414" s="30"/>
      <c r="L414" s="30"/>
      <c r="M414" s="30"/>
      <c r="N414" s="30"/>
      <c r="O414" s="54">
        <f t="shared" ref="O414:O465" si="50">IF($F414=$Q$41,$I414,0)</f>
        <v>0</v>
      </c>
      <c r="P414" s="1069">
        <f t="shared" ref="P414:P446" si="51">IF($F414=$Q$42,$I414,0)</f>
        <v>0</v>
      </c>
      <c r="Q414" s="811">
        <f t="shared" ref="Q414:Q445" si="52">IF($F414=$Q$43,$I414,0)</f>
        <v>0</v>
      </c>
    </row>
    <row r="415" spans="1:17" x14ac:dyDescent="0.2">
      <c r="A415" s="30"/>
      <c r="B415" s="162"/>
      <c r="C415" s="259"/>
      <c r="D415" s="267"/>
      <c r="E415" s="35"/>
      <c r="F415" s="151"/>
      <c r="G415" s="263">
        <f t="shared" ref="G415:G465" si="53">ABS(C415-B415)</f>
        <v>0</v>
      </c>
      <c r="H415" s="65"/>
      <c r="I415" s="275">
        <f t="shared" si="49"/>
        <v>0</v>
      </c>
      <c r="J415" s="161"/>
      <c r="K415" s="30"/>
      <c r="L415" s="30"/>
      <c r="M415" s="30"/>
      <c r="N415" s="30"/>
      <c r="O415" s="71">
        <f t="shared" si="50"/>
        <v>0</v>
      </c>
      <c r="P415" s="1070">
        <f t="shared" si="51"/>
        <v>0</v>
      </c>
      <c r="Q415" s="1071">
        <f t="shared" si="52"/>
        <v>0</v>
      </c>
    </row>
    <row r="416" spans="1:17" x14ac:dyDescent="0.2">
      <c r="A416" s="30"/>
      <c r="B416" s="162"/>
      <c r="C416" s="259"/>
      <c r="D416" s="267"/>
      <c r="E416" s="35"/>
      <c r="F416" s="151"/>
      <c r="G416" s="263">
        <f t="shared" si="53"/>
        <v>0</v>
      </c>
      <c r="H416" s="65"/>
      <c r="I416" s="275">
        <f t="shared" si="49"/>
        <v>0</v>
      </c>
      <c r="J416" s="161"/>
      <c r="K416" s="30"/>
      <c r="L416" s="30"/>
      <c r="M416" s="30"/>
      <c r="N416" s="30"/>
      <c r="O416" s="71">
        <f t="shared" si="50"/>
        <v>0</v>
      </c>
      <c r="P416" s="1070">
        <f t="shared" si="51"/>
        <v>0</v>
      </c>
      <c r="Q416" s="1071">
        <f t="shared" si="52"/>
        <v>0</v>
      </c>
    </row>
    <row r="417" spans="1:17" x14ac:dyDescent="0.2">
      <c r="A417" s="30"/>
      <c r="B417" s="162"/>
      <c r="C417" s="259"/>
      <c r="D417" s="267"/>
      <c r="E417" s="35"/>
      <c r="F417" s="151"/>
      <c r="G417" s="263">
        <f t="shared" si="53"/>
        <v>0</v>
      </c>
      <c r="H417" s="65"/>
      <c r="I417" s="275">
        <f t="shared" si="49"/>
        <v>0</v>
      </c>
      <c r="J417" s="161"/>
      <c r="K417" s="30"/>
      <c r="L417" s="30"/>
      <c r="M417" s="30"/>
      <c r="N417" s="30"/>
      <c r="O417" s="71">
        <f t="shared" si="50"/>
        <v>0</v>
      </c>
      <c r="P417" s="1070">
        <f t="shared" si="51"/>
        <v>0</v>
      </c>
      <c r="Q417" s="1071">
        <f t="shared" si="52"/>
        <v>0</v>
      </c>
    </row>
    <row r="418" spans="1:17" x14ac:dyDescent="0.2">
      <c r="A418" s="30"/>
      <c r="B418" s="162"/>
      <c r="C418" s="259"/>
      <c r="D418" s="267"/>
      <c r="E418" s="35"/>
      <c r="F418" s="151"/>
      <c r="G418" s="263">
        <f t="shared" si="53"/>
        <v>0</v>
      </c>
      <c r="H418" s="65"/>
      <c r="I418" s="275">
        <f t="shared" si="49"/>
        <v>0</v>
      </c>
      <c r="J418" s="161"/>
      <c r="K418" s="30"/>
      <c r="L418" s="30"/>
      <c r="M418" s="30"/>
      <c r="N418" s="30"/>
      <c r="O418" s="71">
        <f t="shared" si="50"/>
        <v>0</v>
      </c>
      <c r="P418" s="1070">
        <f t="shared" si="51"/>
        <v>0</v>
      </c>
      <c r="Q418" s="1071">
        <f t="shared" si="52"/>
        <v>0</v>
      </c>
    </row>
    <row r="419" spans="1:17" x14ac:dyDescent="0.2">
      <c r="A419" s="30"/>
      <c r="B419" s="162"/>
      <c r="C419" s="259"/>
      <c r="D419" s="267"/>
      <c r="E419" s="35"/>
      <c r="F419" s="151"/>
      <c r="G419" s="263">
        <f t="shared" si="53"/>
        <v>0</v>
      </c>
      <c r="H419" s="65"/>
      <c r="I419" s="275">
        <f t="shared" si="49"/>
        <v>0</v>
      </c>
      <c r="J419" s="161"/>
      <c r="K419" s="30"/>
      <c r="L419" s="30"/>
      <c r="M419" s="30"/>
      <c r="N419" s="30"/>
      <c r="O419" s="71">
        <f t="shared" si="50"/>
        <v>0</v>
      </c>
      <c r="P419" s="1070">
        <f t="shared" si="51"/>
        <v>0</v>
      </c>
      <c r="Q419" s="1071">
        <f t="shared" si="52"/>
        <v>0</v>
      </c>
    </row>
    <row r="420" spans="1:17" x14ac:dyDescent="0.2">
      <c r="A420" s="30"/>
      <c r="B420" s="162"/>
      <c r="C420" s="259"/>
      <c r="D420" s="267"/>
      <c r="E420" s="35"/>
      <c r="F420" s="151"/>
      <c r="G420" s="263">
        <f t="shared" si="53"/>
        <v>0</v>
      </c>
      <c r="H420" s="65"/>
      <c r="I420" s="275">
        <f t="shared" si="49"/>
        <v>0</v>
      </c>
      <c r="J420" s="161"/>
      <c r="K420" s="30"/>
      <c r="L420" s="30"/>
      <c r="M420" s="30"/>
      <c r="N420" s="30"/>
      <c r="O420" s="71">
        <f t="shared" si="50"/>
        <v>0</v>
      </c>
      <c r="P420" s="1070">
        <f t="shared" si="51"/>
        <v>0</v>
      </c>
      <c r="Q420" s="1071">
        <f t="shared" si="52"/>
        <v>0</v>
      </c>
    </row>
    <row r="421" spans="1:17" x14ac:dyDescent="0.2">
      <c r="A421" s="30"/>
      <c r="B421" s="162"/>
      <c r="C421" s="259"/>
      <c r="D421" s="267"/>
      <c r="E421" s="35"/>
      <c r="F421" s="151"/>
      <c r="G421" s="263">
        <f t="shared" si="53"/>
        <v>0</v>
      </c>
      <c r="H421" s="65"/>
      <c r="I421" s="275">
        <f t="shared" si="49"/>
        <v>0</v>
      </c>
      <c r="J421" s="161"/>
      <c r="K421" s="30"/>
      <c r="L421" s="30"/>
      <c r="M421" s="30"/>
      <c r="N421" s="30"/>
      <c r="O421" s="71">
        <f t="shared" si="50"/>
        <v>0</v>
      </c>
      <c r="P421" s="1070">
        <f t="shared" si="51"/>
        <v>0</v>
      </c>
      <c r="Q421" s="1071">
        <f t="shared" si="52"/>
        <v>0</v>
      </c>
    </row>
    <row r="422" spans="1:17" x14ac:dyDescent="0.2">
      <c r="A422" s="30"/>
      <c r="B422" s="162"/>
      <c r="C422" s="259"/>
      <c r="D422" s="267"/>
      <c r="E422" s="35"/>
      <c r="F422" s="151"/>
      <c r="G422" s="263">
        <f t="shared" si="53"/>
        <v>0</v>
      </c>
      <c r="H422" s="65"/>
      <c r="I422" s="275">
        <f t="shared" si="49"/>
        <v>0</v>
      </c>
      <c r="J422" s="161"/>
      <c r="K422" s="30"/>
      <c r="L422" s="30"/>
      <c r="M422" s="30"/>
      <c r="N422" s="30"/>
      <c r="O422" s="71">
        <f t="shared" si="50"/>
        <v>0</v>
      </c>
      <c r="P422" s="1070">
        <f t="shared" si="51"/>
        <v>0</v>
      </c>
      <c r="Q422" s="1071">
        <f t="shared" si="52"/>
        <v>0</v>
      </c>
    </row>
    <row r="423" spans="1:17" x14ac:dyDescent="0.2">
      <c r="A423" s="30"/>
      <c r="B423" s="162"/>
      <c r="C423" s="259"/>
      <c r="D423" s="267"/>
      <c r="E423" s="35"/>
      <c r="F423" s="151"/>
      <c r="G423" s="263">
        <f t="shared" si="53"/>
        <v>0</v>
      </c>
      <c r="H423" s="65"/>
      <c r="I423" s="275">
        <f t="shared" si="49"/>
        <v>0</v>
      </c>
      <c r="J423" s="161"/>
      <c r="K423" s="30"/>
      <c r="L423" s="30"/>
      <c r="M423" s="30"/>
      <c r="N423" s="30"/>
      <c r="O423" s="71">
        <f t="shared" si="50"/>
        <v>0</v>
      </c>
      <c r="P423" s="1070">
        <f t="shared" si="51"/>
        <v>0</v>
      </c>
      <c r="Q423" s="1071">
        <f t="shared" si="52"/>
        <v>0</v>
      </c>
    </row>
    <row r="424" spans="1:17" x14ac:dyDescent="0.2">
      <c r="A424" s="30"/>
      <c r="B424" s="162"/>
      <c r="C424" s="259"/>
      <c r="D424" s="267"/>
      <c r="E424" s="35"/>
      <c r="F424" s="151"/>
      <c r="G424" s="263">
        <f t="shared" si="53"/>
        <v>0</v>
      </c>
      <c r="H424" s="65"/>
      <c r="I424" s="275">
        <f t="shared" si="49"/>
        <v>0</v>
      </c>
      <c r="J424" s="161"/>
      <c r="K424" s="30"/>
      <c r="L424" s="30"/>
      <c r="M424" s="30"/>
      <c r="N424" s="30"/>
      <c r="O424" s="71">
        <f t="shared" si="50"/>
        <v>0</v>
      </c>
      <c r="P424" s="1070">
        <f t="shared" si="51"/>
        <v>0</v>
      </c>
      <c r="Q424" s="1071">
        <f t="shared" si="52"/>
        <v>0</v>
      </c>
    </row>
    <row r="425" spans="1:17" x14ac:dyDescent="0.2">
      <c r="A425" s="30"/>
      <c r="B425" s="162"/>
      <c r="C425" s="259"/>
      <c r="D425" s="267"/>
      <c r="E425" s="35"/>
      <c r="F425" s="151"/>
      <c r="G425" s="263">
        <f t="shared" si="53"/>
        <v>0</v>
      </c>
      <c r="H425" s="65"/>
      <c r="I425" s="275">
        <f t="shared" si="49"/>
        <v>0</v>
      </c>
      <c r="J425" s="161"/>
      <c r="K425" s="30"/>
      <c r="L425" s="30"/>
      <c r="M425" s="30"/>
      <c r="N425" s="30"/>
      <c r="O425" s="71">
        <f t="shared" si="50"/>
        <v>0</v>
      </c>
      <c r="P425" s="1070">
        <f t="shared" si="51"/>
        <v>0</v>
      </c>
      <c r="Q425" s="1071">
        <f t="shared" si="52"/>
        <v>0</v>
      </c>
    </row>
    <row r="426" spans="1:17" x14ac:dyDescent="0.2">
      <c r="A426" s="30"/>
      <c r="B426" s="162"/>
      <c r="C426" s="259"/>
      <c r="D426" s="267"/>
      <c r="E426" s="35"/>
      <c r="F426" s="151"/>
      <c r="G426" s="263">
        <f t="shared" si="53"/>
        <v>0</v>
      </c>
      <c r="H426" s="65"/>
      <c r="I426" s="275">
        <f t="shared" si="49"/>
        <v>0</v>
      </c>
      <c r="J426" s="161"/>
      <c r="K426" s="30"/>
      <c r="L426" s="30"/>
      <c r="M426" s="30"/>
      <c r="N426" s="30"/>
      <c r="O426" s="71">
        <f t="shared" si="50"/>
        <v>0</v>
      </c>
      <c r="P426" s="1070">
        <f t="shared" si="51"/>
        <v>0</v>
      </c>
      <c r="Q426" s="1071">
        <f t="shared" si="52"/>
        <v>0</v>
      </c>
    </row>
    <row r="427" spans="1:17" x14ac:dyDescent="0.2">
      <c r="A427" s="30"/>
      <c r="B427" s="162"/>
      <c r="C427" s="259"/>
      <c r="D427" s="267"/>
      <c r="E427" s="35"/>
      <c r="F427" s="151"/>
      <c r="G427" s="263">
        <f t="shared" si="53"/>
        <v>0</v>
      </c>
      <c r="H427" s="65"/>
      <c r="I427" s="275">
        <f t="shared" si="49"/>
        <v>0</v>
      </c>
      <c r="J427" s="161"/>
      <c r="K427" s="30"/>
      <c r="L427" s="30"/>
      <c r="M427" s="30"/>
      <c r="N427" s="30"/>
      <c r="O427" s="71">
        <f t="shared" si="50"/>
        <v>0</v>
      </c>
      <c r="P427" s="1070">
        <f t="shared" si="51"/>
        <v>0</v>
      </c>
      <c r="Q427" s="1071">
        <f t="shared" si="52"/>
        <v>0</v>
      </c>
    </row>
    <row r="428" spans="1:17" x14ac:dyDescent="0.2">
      <c r="A428" s="30"/>
      <c r="B428" s="162"/>
      <c r="C428" s="259"/>
      <c r="D428" s="267"/>
      <c r="E428" s="35"/>
      <c r="F428" s="151"/>
      <c r="G428" s="263">
        <f t="shared" si="53"/>
        <v>0</v>
      </c>
      <c r="H428" s="65"/>
      <c r="I428" s="275">
        <f t="shared" si="49"/>
        <v>0</v>
      </c>
      <c r="J428" s="161"/>
      <c r="K428" s="30"/>
      <c r="L428" s="30"/>
      <c r="M428" s="30"/>
      <c r="N428" s="30"/>
      <c r="O428" s="71">
        <f t="shared" si="50"/>
        <v>0</v>
      </c>
      <c r="P428" s="1070">
        <f t="shared" si="51"/>
        <v>0</v>
      </c>
      <c r="Q428" s="1071">
        <f t="shared" si="52"/>
        <v>0</v>
      </c>
    </row>
    <row r="429" spans="1:17" x14ac:dyDescent="0.2">
      <c r="A429" s="30"/>
      <c r="B429" s="162"/>
      <c r="C429" s="259"/>
      <c r="D429" s="267"/>
      <c r="E429" s="35"/>
      <c r="F429" s="151"/>
      <c r="G429" s="263">
        <f t="shared" si="53"/>
        <v>0</v>
      </c>
      <c r="H429" s="65"/>
      <c r="I429" s="275">
        <f t="shared" si="49"/>
        <v>0</v>
      </c>
      <c r="J429" s="161"/>
      <c r="K429" s="30"/>
      <c r="L429" s="30"/>
      <c r="M429" s="30"/>
      <c r="N429" s="30"/>
      <c r="O429" s="71">
        <f t="shared" si="50"/>
        <v>0</v>
      </c>
      <c r="P429" s="1070">
        <f t="shared" si="51"/>
        <v>0</v>
      </c>
      <c r="Q429" s="1071">
        <f t="shared" si="52"/>
        <v>0</v>
      </c>
    </row>
    <row r="430" spans="1:17" x14ac:dyDescent="0.2">
      <c r="A430" s="30"/>
      <c r="B430" s="162"/>
      <c r="C430" s="259"/>
      <c r="D430" s="267"/>
      <c r="E430" s="35"/>
      <c r="F430" s="151"/>
      <c r="G430" s="263">
        <f t="shared" si="53"/>
        <v>0</v>
      </c>
      <c r="H430" s="65"/>
      <c r="I430" s="275">
        <f t="shared" si="49"/>
        <v>0</v>
      </c>
      <c r="J430" s="161"/>
      <c r="K430" s="30"/>
      <c r="L430" s="30"/>
      <c r="M430" s="30"/>
      <c r="N430" s="30"/>
      <c r="O430" s="71">
        <f t="shared" si="50"/>
        <v>0</v>
      </c>
      <c r="P430" s="1070">
        <f t="shared" si="51"/>
        <v>0</v>
      </c>
      <c r="Q430" s="1071">
        <f t="shared" si="52"/>
        <v>0</v>
      </c>
    </row>
    <row r="431" spans="1:17" x14ac:dyDescent="0.2">
      <c r="A431" s="30"/>
      <c r="B431" s="162"/>
      <c r="C431" s="259"/>
      <c r="D431" s="267"/>
      <c r="E431" s="35"/>
      <c r="F431" s="151"/>
      <c r="G431" s="263">
        <f t="shared" si="53"/>
        <v>0</v>
      </c>
      <c r="H431" s="65"/>
      <c r="I431" s="275">
        <f t="shared" si="49"/>
        <v>0</v>
      </c>
      <c r="J431" s="161"/>
      <c r="K431" s="30"/>
      <c r="L431" s="30"/>
      <c r="M431" s="30"/>
      <c r="N431" s="30"/>
      <c r="O431" s="71">
        <f t="shared" si="50"/>
        <v>0</v>
      </c>
      <c r="P431" s="1070">
        <f t="shared" si="51"/>
        <v>0</v>
      </c>
      <c r="Q431" s="1071">
        <f t="shared" si="52"/>
        <v>0</v>
      </c>
    </row>
    <row r="432" spans="1:17" x14ac:dyDescent="0.2">
      <c r="A432" s="30"/>
      <c r="B432" s="162"/>
      <c r="C432" s="259"/>
      <c r="D432" s="267"/>
      <c r="E432" s="35"/>
      <c r="F432" s="151"/>
      <c r="G432" s="263">
        <f t="shared" si="53"/>
        <v>0</v>
      </c>
      <c r="H432" s="65"/>
      <c r="I432" s="275">
        <f t="shared" si="49"/>
        <v>0</v>
      </c>
      <c r="J432" s="161"/>
      <c r="K432" s="30"/>
      <c r="L432" s="30"/>
      <c r="M432" s="30"/>
      <c r="N432" s="30"/>
      <c r="O432" s="71">
        <f t="shared" si="50"/>
        <v>0</v>
      </c>
      <c r="P432" s="1070">
        <f t="shared" si="51"/>
        <v>0</v>
      </c>
      <c r="Q432" s="1071">
        <f t="shared" si="52"/>
        <v>0</v>
      </c>
    </row>
    <row r="433" spans="1:17" x14ac:dyDescent="0.2">
      <c r="A433" s="30"/>
      <c r="B433" s="162"/>
      <c r="C433" s="259"/>
      <c r="D433" s="267"/>
      <c r="E433" s="35"/>
      <c r="F433" s="151"/>
      <c r="G433" s="263">
        <f t="shared" si="53"/>
        <v>0</v>
      </c>
      <c r="H433" s="65"/>
      <c r="I433" s="275">
        <f t="shared" si="49"/>
        <v>0</v>
      </c>
      <c r="J433" s="161"/>
      <c r="K433" s="30"/>
      <c r="L433" s="30"/>
      <c r="M433" s="30"/>
      <c r="N433" s="30"/>
      <c r="O433" s="71">
        <f t="shared" si="50"/>
        <v>0</v>
      </c>
      <c r="P433" s="1070">
        <f t="shared" si="51"/>
        <v>0</v>
      </c>
      <c r="Q433" s="1071">
        <f t="shared" si="52"/>
        <v>0</v>
      </c>
    </row>
    <row r="434" spans="1:17" x14ac:dyDescent="0.2">
      <c r="A434" s="30"/>
      <c r="B434" s="162"/>
      <c r="C434" s="259"/>
      <c r="D434" s="267"/>
      <c r="E434" s="35"/>
      <c r="F434" s="151"/>
      <c r="G434" s="263">
        <f t="shared" si="53"/>
        <v>0</v>
      </c>
      <c r="H434" s="65"/>
      <c r="I434" s="275">
        <f t="shared" si="49"/>
        <v>0</v>
      </c>
      <c r="J434" s="161"/>
      <c r="K434" s="30"/>
      <c r="L434" s="30"/>
      <c r="M434" s="30"/>
      <c r="N434" s="30"/>
      <c r="O434" s="71">
        <f t="shared" si="50"/>
        <v>0</v>
      </c>
      <c r="P434" s="1070">
        <f t="shared" si="51"/>
        <v>0</v>
      </c>
      <c r="Q434" s="1071">
        <f t="shared" si="52"/>
        <v>0</v>
      </c>
    </row>
    <row r="435" spans="1:17" x14ac:dyDescent="0.2">
      <c r="A435" s="30"/>
      <c r="B435" s="162"/>
      <c r="C435" s="259"/>
      <c r="D435" s="267"/>
      <c r="E435" s="35"/>
      <c r="F435" s="151"/>
      <c r="G435" s="263">
        <f t="shared" si="53"/>
        <v>0</v>
      </c>
      <c r="H435" s="65"/>
      <c r="I435" s="275">
        <f t="shared" si="49"/>
        <v>0</v>
      </c>
      <c r="J435" s="161"/>
      <c r="K435" s="30"/>
      <c r="L435" s="30"/>
      <c r="M435" s="30"/>
      <c r="N435" s="30"/>
      <c r="O435" s="71">
        <f t="shared" si="50"/>
        <v>0</v>
      </c>
      <c r="P435" s="1070">
        <f t="shared" si="51"/>
        <v>0</v>
      </c>
      <c r="Q435" s="1071">
        <f t="shared" si="52"/>
        <v>0</v>
      </c>
    </row>
    <row r="436" spans="1:17" x14ac:dyDescent="0.2">
      <c r="A436" s="30"/>
      <c r="B436" s="162"/>
      <c r="C436" s="259"/>
      <c r="D436" s="267"/>
      <c r="E436" s="35"/>
      <c r="F436" s="151"/>
      <c r="G436" s="263">
        <f t="shared" si="53"/>
        <v>0</v>
      </c>
      <c r="H436" s="65"/>
      <c r="I436" s="275">
        <f t="shared" si="49"/>
        <v>0</v>
      </c>
      <c r="J436" s="161"/>
      <c r="K436" s="30"/>
      <c r="L436" s="30"/>
      <c r="M436" s="30"/>
      <c r="N436" s="30"/>
      <c r="O436" s="71">
        <f t="shared" si="50"/>
        <v>0</v>
      </c>
      <c r="P436" s="1070">
        <f t="shared" si="51"/>
        <v>0</v>
      </c>
      <c r="Q436" s="1071">
        <f t="shared" si="52"/>
        <v>0</v>
      </c>
    </row>
    <row r="437" spans="1:17" x14ac:dyDescent="0.2">
      <c r="A437" s="30"/>
      <c r="B437" s="162"/>
      <c r="C437" s="259"/>
      <c r="D437" s="267"/>
      <c r="E437" s="35"/>
      <c r="F437" s="151"/>
      <c r="G437" s="263">
        <f t="shared" si="53"/>
        <v>0</v>
      </c>
      <c r="H437" s="65"/>
      <c r="I437" s="275">
        <f t="shared" si="49"/>
        <v>0</v>
      </c>
      <c r="J437" s="161"/>
      <c r="K437" s="30"/>
      <c r="L437" s="30"/>
      <c r="M437" s="30"/>
      <c r="N437" s="30"/>
      <c r="O437" s="71">
        <f t="shared" si="50"/>
        <v>0</v>
      </c>
      <c r="P437" s="1070">
        <f t="shared" si="51"/>
        <v>0</v>
      </c>
      <c r="Q437" s="1071">
        <f t="shared" si="52"/>
        <v>0</v>
      </c>
    </row>
    <row r="438" spans="1:17" x14ac:dyDescent="0.2">
      <c r="A438" s="30"/>
      <c r="B438" s="162"/>
      <c r="C438" s="259"/>
      <c r="D438" s="267"/>
      <c r="E438" s="35"/>
      <c r="F438" s="151"/>
      <c r="G438" s="263">
        <f t="shared" si="53"/>
        <v>0</v>
      </c>
      <c r="H438" s="65"/>
      <c r="I438" s="275">
        <f t="shared" si="49"/>
        <v>0</v>
      </c>
      <c r="J438" s="161"/>
      <c r="K438" s="30"/>
      <c r="L438" s="30"/>
      <c r="M438" s="30"/>
      <c r="N438" s="30"/>
      <c r="O438" s="71">
        <f t="shared" si="50"/>
        <v>0</v>
      </c>
      <c r="P438" s="1070">
        <f t="shared" si="51"/>
        <v>0</v>
      </c>
      <c r="Q438" s="1071">
        <f t="shared" si="52"/>
        <v>0</v>
      </c>
    </row>
    <row r="439" spans="1:17" x14ac:dyDescent="0.2">
      <c r="A439" s="30"/>
      <c r="B439" s="162"/>
      <c r="C439" s="259"/>
      <c r="D439" s="267"/>
      <c r="E439" s="35"/>
      <c r="F439" s="151"/>
      <c r="G439" s="263">
        <f t="shared" si="53"/>
        <v>0</v>
      </c>
      <c r="H439" s="65"/>
      <c r="I439" s="275">
        <f t="shared" si="49"/>
        <v>0</v>
      </c>
      <c r="J439" s="161"/>
      <c r="K439" s="30"/>
      <c r="L439" s="30"/>
      <c r="M439" s="30"/>
      <c r="N439" s="30"/>
      <c r="O439" s="71">
        <f t="shared" si="50"/>
        <v>0</v>
      </c>
      <c r="P439" s="1070">
        <f t="shared" si="51"/>
        <v>0</v>
      </c>
      <c r="Q439" s="1071">
        <f t="shared" si="52"/>
        <v>0</v>
      </c>
    </row>
    <row r="440" spans="1:17" x14ac:dyDescent="0.2">
      <c r="A440" s="30"/>
      <c r="B440" s="162"/>
      <c r="C440" s="259"/>
      <c r="D440" s="267"/>
      <c r="E440" s="35"/>
      <c r="F440" s="151"/>
      <c r="G440" s="263">
        <f t="shared" si="53"/>
        <v>0</v>
      </c>
      <c r="H440" s="65"/>
      <c r="I440" s="275">
        <f t="shared" si="49"/>
        <v>0</v>
      </c>
      <c r="J440" s="161"/>
      <c r="K440" s="30"/>
      <c r="L440" s="30"/>
      <c r="M440" s="30"/>
      <c r="N440" s="30"/>
      <c r="O440" s="71">
        <f t="shared" si="50"/>
        <v>0</v>
      </c>
      <c r="P440" s="1070">
        <f t="shared" si="51"/>
        <v>0</v>
      </c>
      <c r="Q440" s="1071">
        <f t="shared" si="52"/>
        <v>0</v>
      </c>
    </row>
    <row r="441" spans="1:17" x14ac:dyDescent="0.2">
      <c r="A441" s="30"/>
      <c r="B441" s="162"/>
      <c r="C441" s="259"/>
      <c r="D441" s="267"/>
      <c r="E441" s="35"/>
      <c r="F441" s="151"/>
      <c r="G441" s="263">
        <f t="shared" si="53"/>
        <v>0</v>
      </c>
      <c r="H441" s="65"/>
      <c r="I441" s="275">
        <f t="shared" si="49"/>
        <v>0</v>
      </c>
      <c r="J441" s="161"/>
      <c r="K441" s="30"/>
      <c r="L441" s="30"/>
      <c r="M441" s="30"/>
      <c r="N441" s="30"/>
      <c r="O441" s="71">
        <f t="shared" si="50"/>
        <v>0</v>
      </c>
      <c r="P441" s="1070">
        <f t="shared" si="51"/>
        <v>0</v>
      </c>
      <c r="Q441" s="1071">
        <f t="shared" si="52"/>
        <v>0</v>
      </c>
    </row>
    <row r="442" spans="1:17" x14ac:dyDescent="0.2">
      <c r="A442" s="30"/>
      <c r="B442" s="162"/>
      <c r="C442" s="259"/>
      <c r="D442" s="267"/>
      <c r="E442" s="35"/>
      <c r="F442" s="151"/>
      <c r="G442" s="263">
        <f t="shared" si="53"/>
        <v>0</v>
      </c>
      <c r="H442" s="65"/>
      <c r="I442" s="275">
        <f t="shared" si="49"/>
        <v>0</v>
      </c>
      <c r="J442" s="161"/>
      <c r="K442" s="30"/>
      <c r="L442" s="30"/>
      <c r="M442" s="30"/>
      <c r="N442" s="30"/>
      <c r="O442" s="71">
        <f t="shared" si="50"/>
        <v>0</v>
      </c>
      <c r="P442" s="1070">
        <f t="shared" si="51"/>
        <v>0</v>
      </c>
      <c r="Q442" s="1071">
        <f t="shared" si="52"/>
        <v>0</v>
      </c>
    </row>
    <row r="443" spans="1:17" x14ac:dyDescent="0.2">
      <c r="A443" s="30"/>
      <c r="B443" s="162"/>
      <c r="C443" s="259"/>
      <c r="D443" s="267"/>
      <c r="E443" s="35"/>
      <c r="F443" s="151"/>
      <c r="G443" s="263">
        <f t="shared" si="53"/>
        <v>0</v>
      </c>
      <c r="H443" s="65"/>
      <c r="I443" s="275">
        <f t="shared" si="49"/>
        <v>0</v>
      </c>
      <c r="J443" s="161"/>
      <c r="K443" s="30"/>
      <c r="L443" s="30"/>
      <c r="M443" s="30"/>
      <c r="N443" s="30"/>
      <c r="O443" s="71">
        <f t="shared" si="50"/>
        <v>0</v>
      </c>
      <c r="P443" s="1070">
        <f t="shared" si="51"/>
        <v>0</v>
      </c>
      <c r="Q443" s="1071">
        <f t="shared" si="52"/>
        <v>0</v>
      </c>
    </row>
    <row r="444" spans="1:17" x14ac:dyDescent="0.2">
      <c r="A444" s="30"/>
      <c r="B444" s="162"/>
      <c r="C444" s="259"/>
      <c r="D444" s="267"/>
      <c r="E444" s="35"/>
      <c r="F444" s="151"/>
      <c r="G444" s="263">
        <f t="shared" si="53"/>
        <v>0</v>
      </c>
      <c r="H444" s="65"/>
      <c r="I444" s="275">
        <f t="shared" si="49"/>
        <v>0</v>
      </c>
      <c r="J444" s="161"/>
      <c r="K444" s="30"/>
      <c r="L444" s="30"/>
      <c r="M444" s="30"/>
      <c r="N444" s="30"/>
      <c r="O444" s="71">
        <f t="shared" si="50"/>
        <v>0</v>
      </c>
      <c r="P444" s="1070">
        <f t="shared" si="51"/>
        <v>0</v>
      </c>
      <c r="Q444" s="1071">
        <f t="shared" si="52"/>
        <v>0</v>
      </c>
    </row>
    <row r="445" spans="1:17" x14ac:dyDescent="0.2">
      <c r="A445" s="30"/>
      <c r="B445" s="162"/>
      <c r="C445" s="259"/>
      <c r="D445" s="267"/>
      <c r="E445" s="35"/>
      <c r="F445" s="151"/>
      <c r="G445" s="263">
        <f t="shared" si="53"/>
        <v>0</v>
      </c>
      <c r="H445" s="65"/>
      <c r="I445" s="275">
        <f t="shared" si="49"/>
        <v>0</v>
      </c>
      <c r="J445" s="161"/>
      <c r="K445" s="30"/>
      <c r="L445" s="30"/>
      <c r="M445" s="30"/>
      <c r="N445" s="30"/>
      <c r="O445" s="71">
        <f t="shared" si="50"/>
        <v>0</v>
      </c>
      <c r="P445" s="1070">
        <f t="shared" si="51"/>
        <v>0</v>
      </c>
      <c r="Q445" s="1071">
        <f t="shared" si="52"/>
        <v>0</v>
      </c>
    </row>
    <row r="446" spans="1:17" x14ac:dyDescent="0.2">
      <c r="A446" s="30"/>
      <c r="B446" s="162"/>
      <c r="C446" s="259"/>
      <c r="D446" s="267"/>
      <c r="E446" s="35"/>
      <c r="F446" s="151"/>
      <c r="G446" s="263">
        <f t="shared" si="53"/>
        <v>0</v>
      </c>
      <c r="H446" s="65"/>
      <c r="I446" s="275">
        <f t="shared" si="49"/>
        <v>0</v>
      </c>
      <c r="J446" s="161"/>
      <c r="K446" s="30"/>
      <c r="L446" s="30"/>
      <c r="M446" s="30"/>
      <c r="N446" s="30"/>
      <c r="O446" s="71">
        <f t="shared" si="50"/>
        <v>0</v>
      </c>
      <c r="P446" s="1070">
        <f t="shared" si="51"/>
        <v>0</v>
      </c>
      <c r="Q446" s="1071">
        <f t="shared" ref="Q446:Q465" si="54">IF($F446=$Q$43,$I446,0)</f>
        <v>0</v>
      </c>
    </row>
    <row r="447" spans="1:17" x14ac:dyDescent="0.2">
      <c r="A447" s="30"/>
      <c r="B447" s="162"/>
      <c r="C447" s="259"/>
      <c r="D447" s="267"/>
      <c r="E447" s="35"/>
      <c r="F447" s="151"/>
      <c r="G447" s="263">
        <f t="shared" si="53"/>
        <v>0</v>
      </c>
      <c r="H447" s="65"/>
      <c r="I447" s="275">
        <f t="shared" si="49"/>
        <v>0</v>
      </c>
      <c r="J447" s="161"/>
      <c r="K447" s="30"/>
      <c r="L447" s="30"/>
      <c r="M447" s="30"/>
      <c r="N447" s="30"/>
      <c r="O447" s="71">
        <f t="shared" si="50"/>
        <v>0</v>
      </c>
      <c r="P447" s="1070">
        <f t="shared" ref="P447:P465" si="55">IF($F447=$Q$42,$I447,0)</f>
        <v>0</v>
      </c>
      <c r="Q447" s="1071">
        <f t="shared" si="54"/>
        <v>0</v>
      </c>
    </row>
    <row r="448" spans="1:17" x14ac:dyDescent="0.2">
      <c r="A448" s="30"/>
      <c r="B448" s="162"/>
      <c r="C448" s="259"/>
      <c r="D448" s="267"/>
      <c r="E448" s="35"/>
      <c r="F448" s="151"/>
      <c r="G448" s="263">
        <f t="shared" si="53"/>
        <v>0</v>
      </c>
      <c r="H448" s="65"/>
      <c r="I448" s="275">
        <f t="shared" si="49"/>
        <v>0</v>
      </c>
      <c r="J448" s="161"/>
      <c r="K448" s="30"/>
      <c r="L448" s="30"/>
      <c r="M448" s="30"/>
      <c r="N448" s="30"/>
      <c r="O448" s="71">
        <f t="shared" si="50"/>
        <v>0</v>
      </c>
      <c r="P448" s="1070">
        <f t="shared" si="55"/>
        <v>0</v>
      </c>
      <c r="Q448" s="1071">
        <f t="shared" si="54"/>
        <v>0</v>
      </c>
    </row>
    <row r="449" spans="1:17" x14ac:dyDescent="0.2">
      <c r="A449" s="30"/>
      <c r="B449" s="162"/>
      <c r="C449" s="259"/>
      <c r="D449" s="267"/>
      <c r="E449" s="35"/>
      <c r="F449" s="151"/>
      <c r="G449" s="263">
        <f t="shared" si="53"/>
        <v>0</v>
      </c>
      <c r="H449" s="65"/>
      <c r="I449" s="275">
        <f t="shared" si="49"/>
        <v>0</v>
      </c>
      <c r="J449" s="161"/>
      <c r="K449" s="30"/>
      <c r="L449" s="30"/>
      <c r="M449" s="30"/>
      <c r="N449" s="30"/>
      <c r="O449" s="71">
        <f t="shared" si="50"/>
        <v>0</v>
      </c>
      <c r="P449" s="1070">
        <f t="shared" si="55"/>
        <v>0</v>
      </c>
      <c r="Q449" s="1071">
        <f t="shared" si="54"/>
        <v>0</v>
      </c>
    </row>
    <row r="450" spans="1:17" x14ac:dyDescent="0.2">
      <c r="A450" s="30"/>
      <c r="B450" s="162"/>
      <c r="C450" s="259"/>
      <c r="D450" s="267"/>
      <c r="E450" s="35"/>
      <c r="F450" s="151"/>
      <c r="G450" s="263">
        <f t="shared" si="53"/>
        <v>0</v>
      </c>
      <c r="H450" s="65"/>
      <c r="I450" s="275">
        <f t="shared" si="49"/>
        <v>0</v>
      </c>
      <c r="J450" s="161"/>
      <c r="K450" s="30"/>
      <c r="L450" s="30"/>
      <c r="M450" s="30"/>
      <c r="N450" s="30"/>
      <c r="O450" s="71">
        <f t="shared" si="50"/>
        <v>0</v>
      </c>
      <c r="P450" s="1070">
        <f t="shared" si="55"/>
        <v>0</v>
      </c>
      <c r="Q450" s="1071">
        <f t="shared" si="54"/>
        <v>0</v>
      </c>
    </row>
    <row r="451" spans="1:17" x14ac:dyDescent="0.2">
      <c r="A451" s="30"/>
      <c r="B451" s="162"/>
      <c r="C451" s="259"/>
      <c r="D451" s="267"/>
      <c r="E451" s="35"/>
      <c r="F451" s="151"/>
      <c r="G451" s="263">
        <f t="shared" si="53"/>
        <v>0</v>
      </c>
      <c r="H451" s="65"/>
      <c r="I451" s="275">
        <f t="shared" si="49"/>
        <v>0</v>
      </c>
      <c r="J451" s="161"/>
      <c r="K451" s="30"/>
      <c r="L451" s="30"/>
      <c r="M451" s="30"/>
      <c r="N451" s="30"/>
      <c r="O451" s="71">
        <f t="shared" si="50"/>
        <v>0</v>
      </c>
      <c r="P451" s="1070">
        <f t="shared" si="55"/>
        <v>0</v>
      </c>
      <c r="Q451" s="1071">
        <f t="shared" si="54"/>
        <v>0</v>
      </c>
    </row>
    <row r="452" spans="1:17" x14ac:dyDescent="0.2">
      <c r="A452" s="30"/>
      <c r="B452" s="162"/>
      <c r="C452" s="259"/>
      <c r="D452" s="267"/>
      <c r="E452" s="35"/>
      <c r="F452" s="151"/>
      <c r="G452" s="263">
        <f t="shared" si="53"/>
        <v>0</v>
      </c>
      <c r="H452" s="65"/>
      <c r="I452" s="275">
        <f t="shared" si="49"/>
        <v>0</v>
      </c>
      <c r="J452" s="161"/>
      <c r="K452" s="30"/>
      <c r="L452" s="30"/>
      <c r="M452" s="30"/>
      <c r="N452" s="30"/>
      <c r="O452" s="71">
        <f t="shared" si="50"/>
        <v>0</v>
      </c>
      <c r="P452" s="1070">
        <f t="shared" si="55"/>
        <v>0</v>
      </c>
      <c r="Q452" s="1071">
        <f t="shared" si="54"/>
        <v>0</v>
      </c>
    </row>
    <row r="453" spans="1:17" x14ac:dyDescent="0.2">
      <c r="A453" s="30"/>
      <c r="B453" s="162"/>
      <c r="C453" s="259"/>
      <c r="D453" s="267"/>
      <c r="E453" s="35"/>
      <c r="F453" s="151"/>
      <c r="G453" s="263">
        <f t="shared" si="53"/>
        <v>0</v>
      </c>
      <c r="H453" s="65"/>
      <c r="I453" s="275">
        <f t="shared" si="49"/>
        <v>0</v>
      </c>
      <c r="J453" s="161"/>
      <c r="K453" s="30"/>
      <c r="L453" s="30"/>
      <c r="M453" s="30"/>
      <c r="N453" s="30"/>
      <c r="O453" s="71">
        <f t="shared" si="50"/>
        <v>0</v>
      </c>
      <c r="P453" s="1070">
        <f t="shared" si="55"/>
        <v>0</v>
      </c>
      <c r="Q453" s="1071">
        <f t="shared" si="54"/>
        <v>0</v>
      </c>
    </row>
    <row r="454" spans="1:17" x14ac:dyDescent="0.2">
      <c r="A454" s="30"/>
      <c r="B454" s="162"/>
      <c r="C454" s="259"/>
      <c r="D454" s="267"/>
      <c r="E454" s="35"/>
      <c r="F454" s="151"/>
      <c r="G454" s="263">
        <f t="shared" si="53"/>
        <v>0</v>
      </c>
      <c r="H454" s="65"/>
      <c r="I454" s="275">
        <f t="shared" si="49"/>
        <v>0</v>
      </c>
      <c r="J454" s="161"/>
      <c r="K454" s="30"/>
      <c r="L454" s="30"/>
      <c r="M454" s="30"/>
      <c r="N454" s="30"/>
      <c r="O454" s="71">
        <f t="shared" si="50"/>
        <v>0</v>
      </c>
      <c r="P454" s="1070">
        <f t="shared" si="55"/>
        <v>0</v>
      </c>
      <c r="Q454" s="1071">
        <f t="shared" si="54"/>
        <v>0</v>
      </c>
    </row>
    <row r="455" spans="1:17" x14ac:dyDescent="0.2">
      <c r="A455" s="30"/>
      <c r="B455" s="162"/>
      <c r="C455" s="259"/>
      <c r="D455" s="267"/>
      <c r="E455" s="35"/>
      <c r="F455" s="151"/>
      <c r="G455" s="263">
        <f t="shared" si="53"/>
        <v>0</v>
      </c>
      <c r="H455" s="65"/>
      <c r="I455" s="275">
        <f t="shared" si="49"/>
        <v>0</v>
      </c>
      <c r="J455" s="161"/>
      <c r="K455" s="30"/>
      <c r="L455" s="30"/>
      <c r="M455" s="30"/>
      <c r="N455" s="30"/>
      <c r="O455" s="71">
        <f t="shared" si="50"/>
        <v>0</v>
      </c>
      <c r="P455" s="1070">
        <f t="shared" si="55"/>
        <v>0</v>
      </c>
      <c r="Q455" s="1071">
        <f t="shared" si="54"/>
        <v>0</v>
      </c>
    </row>
    <row r="456" spans="1:17" x14ac:dyDescent="0.2">
      <c r="A456" s="30"/>
      <c r="B456" s="162"/>
      <c r="C456" s="259"/>
      <c r="D456" s="267"/>
      <c r="E456" s="35"/>
      <c r="F456" s="151"/>
      <c r="G456" s="263">
        <f t="shared" si="53"/>
        <v>0</v>
      </c>
      <c r="H456" s="65"/>
      <c r="I456" s="275">
        <f t="shared" si="49"/>
        <v>0</v>
      </c>
      <c r="J456" s="161"/>
      <c r="K456" s="30"/>
      <c r="L456" s="30"/>
      <c r="M456" s="30"/>
      <c r="N456" s="30"/>
      <c r="O456" s="71">
        <f t="shared" si="50"/>
        <v>0</v>
      </c>
      <c r="P456" s="1070">
        <f t="shared" si="55"/>
        <v>0</v>
      </c>
      <c r="Q456" s="1071">
        <f t="shared" si="54"/>
        <v>0</v>
      </c>
    </row>
    <row r="457" spans="1:17" x14ac:dyDescent="0.2">
      <c r="A457" s="30"/>
      <c r="B457" s="162"/>
      <c r="C457" s="259"/>
      <c r="D457" s="267"/>
      <c r="E457" s="35"/>
      <c r="F457" s="151"/>
      <c r="G457" s="263">
        <f t="shared" si="53"/>
        <v>0</v>
      </c>
      <c r="H457" s="65"/>
      <c r="I457" s="275">
        <f t="shared" si="49"/>
        <v>0</v>
      </c>
      <c r="J457" s="161"/>
      <c r="K457" s="30"/>
      <c r="L457" s="30"/>
      <c r="M457" s="30"/>
      <c r="N457" s="30"/>
      <c r="O457" s="71">
        <f t="shared" si="50"/>
        <v>0</v>
      </c>
      <c r="P457" s="1070">
        <f t="shared" si="55"/>
        <v>0</v>
      </c>
      <c r="Q457" s="1071">
        <f t="shared" si="54"/>
        <v>0</v>
      </c>
    </row>
    <row r="458" spans="1:17" x14ac:dyDescent="0.2">
      <c r="A458" s="30"/>
      <c r="B458" s="162"/>
      <c r="C458" s="259"/>
      <c r="D458" s="267"/>
      <c r="E458" s="35"/>
      <c r="F458" s="151"/>
      <c r="G458" s="263">
        <f t="shared" si="53"/>
        <v>0</v>
      </c>
      <c r="H458" s="65"/>
      <c r="I458" s="275">
        <f t="shared" si="49"/>
        <v>0</v>
      </c>
      <c r="J458" s="161"/>
      <c r="K458" s="30"/>
      <c r="L458" s="30"/>
      <c r="M458" s="30"/>
      <c r="N458" s="30"/>
      <c r="O458" s="71">
        <f t="shared" si="50"/>
        <v>0</v>
      </c>
      <c r="P458" s="1070">
        <f t="shared" si="55"/>
        <v>0</v>
      </c>
      <c r="Q458" s="1071">
        <f t="shared" si="54"/>
        <v>0</v>
      </c>
    </row>
    <row r="459" spans="1:17" x14ac:dyDescent="0.2">
      <c r="A459" s="30"/>
      <c r="B459" s="162"/>
      <c r="C459" s="259"/>
      <c r="D459" s="267"/>
      <c r="E459" s="35"/>
      <c r="F459" s="151"/>
      <c r="G459" s="263">
        <f t="shared" si="53"/>
        <v>0</v>
      </c>
      <c r="H459" s="65"/>
      <c r="I459" s="275">
        <f t="shared" si="49"/>
        <v>0</v>
      </c>
      <c r="J459" s="161"/>
      <c r="K459" s="30"/>
      <c r="L459" s="30"/>
      <c r="M459" s="30"/>
      <c r="N459" s="30"/>
      <c r="O459" s="71">
        <f t="shared" si="50"/>
        <v>0</v>
      </c>
      <c r="P459" s="1070">
        <f t="shared" si="55"/>
        <v>0</v>
      </c>
      <c r="Q459" s="1071">
        <f t="shared" si="54"/>
        <v>0</v>
      </c>
    </row>
    <row r="460" spans="1:17" x14ac:dyDescent="0.2">
      <c r="A460" s="30"/>
      <c r="B460" s="162"/>
      <c r="C460" s="259"/>
      <c r="D460" s="267"/>
      <c r="E460" s="35"/>
      <c r="F460" s="151"/>
      <c r="G460" s="263">
        <f t="shared" si="53"/>
        <v>0</v>
      </c>
      <c r="H460" s="65"/>
      <c r="I460" s="275">
        <f t="shared" si="49"/>
        <v>0</v>
      </c>
      <c r="J460" s="161"/>
      <c r="K460" s="30"/>
      <c r="L460" s="30"/>
      <c r="M460" s="30"/>
      <c r="N460" s="30"/>
      <c r="O460" s="71">
        <f t="shared" si="50"/>
        <v>0</v>
      </c>
      <c r="P460" s="1070">
        <f t="shared" si="55"/>
        <v>0</v>
      </c>
      <c r="Q460" s="1071">
        <f t="shared" si="54"/>
        <v>0</v>
      </c>
    </row>
    <row r="461" spans="1:17" x14ac:dyDescent="0.2">
      <c r="A461" s="30"/>
      <c r="B461" s="162"/>
      <c r="C461" s="259"/>
      <c r="D461" s="267"/>
      <c r="E461" s="35"/>
      <c r="F461" s="151"/>
      <c r="G461" s="263">
        <f t="shared" si="53"/>
        <v>0</v>
      </c>
      <c r="H461" s="65"/>
      <c r="I461" s="275">
        <f t="shared" si="49"/>
        <v>0</v>
      </c>
      <c r="J461" s="161"/>
      <c r="K461" s="30"/>
      <c r="L461" s="30"/>
      <c r="M461" s="30"/>
      <c r="N461" s="30"/>
      <c r="O461" s="71">
        <f t="shared" si="50"/>
        <v>0</v>
      </c>
      <c r="P461" s="1070">
        <f t="shared" si="55"/>
        <v>0</v>
      </c>
      <c r="Q461" s="1071">
        <f t="shared" si="54"/>
        <v>0</v>
      </c>
    </row>
    <row r="462" spans="1:17" x14ac:dyDescent="0.2">
      <c r="A462" s="30"/>
      <c r="B462" s="162"/>
      <c r="C462" s="259"/>
      <c r="D462" s="267"/>
      <c r="E462" s="35"/>
      <c r="F462" s="151"/>
      <c r="G462" s="263">
        <f t="shared" si="53"/>
        <v>0</v>
      </c>
      <c r="H462" s="65"/>
      <c r="I462" s="275">
        <f t="shared" si="49"/>
        <v>0</v>
      </c>
      <c r="J462" s="161"/>
      <c r="K462" s="30"/>
      <c r="L462" s="30"/>
      <c r="M462" s="30"/>
      <c r="N462" s="30"/>
      <c r="O462" s="71">
        <f t="shared" si="50"/>
        <v>0</v>
      </c>
      <c r="P462" s="1070">
        <f t="shared" si="55"/>
        <v>0</v>
      </c>
      <c r="Q462" s="1071">
        <f t="shared" si="54"/>
        <v>0</v>
      </c>
    </row>
    <row r="463" spans="1:17" x14ac:dyDescent="0.2">
      <c r="A463" s="30"/>
      <c r="B463" s="162"/>
      <c r="C463" s="259"/>
      <c r="D463" s="267"/>
      <c r="E463" s="35"/>
      <c r="F463" s="151"/>
      <c r="G463" s="263">
        <f t="shared" si="53"/>
        <v>0</v>
      </c>
      <c r="H463" s="65"/>
      <c r="I463" s="275">
        <f t="shared" si="49"/>
        <v>0</v>
      </c>
      <c r="J463" s="161"/>
      <c r="K463" s="30"/>
      <c r="L463" s="30"/>
      <c r="M463" s="30"/>
      <c r="N463" s="30"/>
      <c r="O463" s="71">
        <f t="shared" si="50"/>
        <v>0</v>
      </c>
      <c r="P463" s="1070">
        <f t="shared" si="55"/>
        <v>0</v>
      </c>
      <c r="Q463" s="1071">
        <f t="shared" si="54"/>
        <v>0</v>
      </c>
    </row>
    <row r="464" spans="1:17" x14ac:dyDescent="0.2">
      <c r="A464" s="30"/>
      <c r="B464" s="162"/>
      <c r="C464" s="259"/>
      <c r="D464" s="267"/>
      <c r="E464" s="35"/>
      <c r="F464" s="151"/>
      <c r="G464" s="263">
        <f t="shared" si="53"/>
        <v>0</v>
      </c>
      <c r="H464" s="65"/>
      <c r="I464" s="275">
        <f t="shared" si="49"/>
        <v>0</v>
      </c>
      <c r="J464" s="161"/>
      <c r="K464" s="30"/>
      <c r="L464" s="30"/>
      <c r="M464" s="30"/>
      <c r="N464" s="30"/>
      <c r="O464" s="71">
        <f t="shared" si="50"/>
        <v>0</v>
      </c>
      <c r="P464" s="1070">
        <f t="shared" si="55"/>
        <v>0</v>
      </c>
      <c r="Q464" s="1071">
        <f t="shared" si="54"/>
        <v>0</v>
      </c>
    </row>
    <row r="465" spans="1:17" ht="13.5" thickBot="1" x14ac:dyDescent="0.25">
      <c r="A465" s="30"/>
      <c r="B465" s="163"/>
      <c r="C465" s="260"/>
      <c r="D465" s="268"/>
      <c r="E465" s="24"/>
      <c r="F465" s="25"/>
      <c r="G465" s="264">
        <f t="shared" si="53"/>
        <v>0</v>
      </c>
      <c r="H465" s="272"/>
      <c r="I465" s="276">
        <f t="shared" si="49"/>
        <v>0</v>
      </c>
      <c r="J465" s="161"/>
      <c r="K465" s="30"/>
      <c r="L465" s="30"/>
      <c r="M465" s="30"/>
      <c r="N465" s="30"/>
      <c r="O465" s="71">
        <f t="shared" si="50"/>
        <v>0</v>
      </c>
      <c r="P465" s="1070">
        <f t="shared" si="55"/>
        <v>0</v>
      </c>
      <c r="Q465" s="1071">
        <f t="shared" si="54"/>
        <v>0</v>
      </c>
    </row>
    <row r="466" spans="1:17" ht="6.75" customHeight="1" thickBot="1" x14ac:dyDescent="0.25">
      <c r="A466" s="30"/>
      <c r="B466" s="155"/>
      <c r="C466" s="155"/>
      <c r="D466" s="155"/>
      <c r="E466" s="155"/>
      <c r="F466" s="155"/>
      <c r="G466" s="155"/>
      <c r="H466" s="155"/>
      <c r="I466" s="155"/>
      <c r="J466" s="155"/>
      <c r="K466" s="30"/>
      <c r="L466" s="30"/>
      <c r="M466" s="30"/>
      <c r="N466" s="30"/>
      <c r="O466" s="812">
        <f>SUM(O414:O465)</f>
        <v>0</v>
      </c>
      <c r="P466" s="1075">
        <f>SUM(P414:P465)</f>
        <v>0</v>
      </c>
      <c r="Q466" s="813">
        <f>SUM(Q414:Q465)</f>
        <v>0</v>
      </c>
    </row>
    <row r="467" spans="1:17" ht="50.1" customHeight="1" x14ac:dyDescent="0.2">
      <c r="A467" s="30"/>
      <c r="B467" s="155"/>
      <c r="C467" s="155"/>
      <c r="D467" s="155"/>
      <c r="E467" s="155"/>
      <c r="F467" s="155"/>
      <c r="G467" s="155"/>
      <c r="H467" s="155"/>
      <c r="I467" s="155"/>
      <c r="J467" s="155"/>
      <c r="K467" s="30"/>
      <c r="L467" s="30"/>
      <c r="M467" s="30"/>
      <c r="N467" s="30"/>
      <c r="O467" s="30"/>
      <c r="P467" s="30"/>
    </row>
    <row r="468" spans="1:17" ht="18" x14ac:dyDescent="0.2">
      <c r="A468" s="1224" t="str">
        <f>UPPER("Patching Summary Table")</f>
        <v>PATCHING SUMMARY TABLE</v>
      </c>
      <c r="B468" s="1224"/>
      <c r="C468" s="1224"/>
      <c r="D468" s="1224"/>
      <c r="E468" s="1224"/>
      <c r="F468" s="1224"/>
      <c r="G468" s="1224"/>
      <c r="H468" s="1224"/>
      <c r="I468" s="1224"/>
      <c r="J468" s="1224"/>
      <c r="K468" s="30"/>
      <c r="L468" s="30"/>
      <c r="M468" s="30"/>
      <c r="N468" s="30"/>
      <c r="O468" s="30"/>
      <c r="P468" s="30"/>
    </row>
    <row r="469" spans="1:17" ht="7.5" customHeight="1" thickBot="1" x14ac:dyDescent="0.25">
      <c r="A469" s="30"/>
      <c r="B469" s="31"/>
      <c r="C469" s="31"/>
      <c r="D469" s="31"/>
      <c r="E469" s="31"/>
      <c r="F469" s="31"/>
      <c r="G469" s="31"/>
      <c r="H469" s="31"/>
      <c r="I469" s="31"/>
      <c r="J469" s="31"/>
      <c r="K469" s="30"/>
      <c r="L469" s="30"/>
      <c r="M469" s="30"/>
      <c r="N469" s="30"/>
      <c r="O469" s="30"/>
      <c r="P469" s="30"/>
    </row>
    <row r="470" spans="1:17" x14ac:dyDescent="0.2">
      <c r="A470" s="30"/>
      <c r="B470" s="1310" t="s">
        <v>2</v>
      </c>
      <c r="C470" s="1319" t="s">
        <v>3</v>
      </c>
      <c r="D470" s="1310" t="s">
        <v>39</v>
      </c>
      <c r="E470" s="1308" t="s">
        <v>4</v>
      </c>
      <c r="F470" s="1223" t="s">
        <v>535</v>
      </c>
      <c r="G470" s="261" t="s">
        <v>129</v>
      </c>
      <c r="H470" s="269" t="s">
        <v>102</v>
      </c>
      <c r="I470" s="152" t="s">
        <v>209</v>
      </c>
      <c r="J470" s="31"/>
      <c r="K470" s="30"/>
      <c r="L470" s="30"/>
      <c r="M470" s="30"/>
      <c r="N470" s="30"/>
      <c r="O470" s="1159" t="s">
        <v>537</v>
      </c>
      <c r="P470" s="1305"/>
      <c r="Q470" s="1306"/>
    </row>
    <row r="471" spans="1:17" ht="13.5" thickBot="1" x14ac:dyDescent="0.25">
      <c r="A471" s="30"/>
      <c r="B471" s="1285"/>
      <c r="C471" s="1320"/>
      <c r="D471" s="1285"/>
      <c r="E471" s="1227"/>
      <c r="F471" s="1242"/>
      <c r="G471" s="262" t="s">
        <v>100</v>
      </c>
      <c r="H471" s="270" t="s">
        <v>100</v>
      </c>
      <c r="I471" s="273" t="s">
        <v>210</v>
      </c>
      <c r="J471" s="31"/>
      <c r="K471" s="30"/>
      <c r="L471" s="30"/>
      <c r="M471" s="30"/>
      <c r="N471" s="30"/>
      <c r="O471" s="41" t="str">
        <f>$Q$41</f>
        <v>Partial</v>
      </c>
      <c r="P471" s="42" t="str">
        <f>$Q$42</f>
        <v>Full ( HMA)</v>
      </c>
      <c r="Q471" s="43" t="str">
        <f>$Q$43</f>
        <v>Full (Composite)</v>
      </c>
    </row>
    <row r="472" spans="1:17" x14ac:dyDescent="0.2">
      <c r="A472" s="30"/>
      <c r="B472" s="159"/>
      <c r="C472" s="258"/>
      <c r="D472" s="265"/>
      <c r="E472" s="160"/>
      <c r="F472" s="266"/>
      <c r="G472" s="263">
        <f>ABS(C472-B472)</f>
        <v>0</v>
      </c>
      <c r="H472" s="271"/>
      <c r="I472" s="274">
        <f t="shared" ref="I472:I523" si="56">ROUNDUP((G472*H472)/9,0)</f>
        <v>0</v>
      </c>
      <c r="J472" s="161"/>
      <c r="K472" s="30"/>
      <c r="L472" s="30"/>
      <c r="M472" s="30"/>
      <c r="N472" s="30"/>
      <c r="O472" s="54">
        <f t="shared" ref="O472:O523" si="57">IF($F472=$Q$41,$I472,0)</f>
        <v>0</v>
      </c>
      <c r="P472" s="1069">
        <f t="shared" ref="P472:P504" si="58">IF($F472=$Q$42,$I472,0)</f>
        <v>0</v>
      </c>
      <c r="Q472" s="811">
        <f t="shared" ref="Q472:Q503" si="59">IF($F472=$Q$43,$I472,0)</f>
        <v>0</v>
      </c>
    </row>
    <row r="473" spans="1:17" x14ac:dyDescent="0.2">
      <c r="A473" s="30"/>
      <c r="B473" s="162"/>
      <c r="C473" s="259"/>
      <c r="D473" s="267"/>
      <c r="E473" s="35"/>
      <c r="F473" s="151"/>
      <c r="G473" s="263">
        <f t="shared" ref="G473:G523" si="60">ABS(C473-B473)</f>
        <v>0</v>
      </c>
      <c r="H473" s="65"/>
      <c r="I473" s="275">
        <f t="shared" si="56"/>
        <v>0</v>
      </c>
      <c r="J473" s="161"/>
      <c r="K473" s="30"/>
      <c r="L473" s="30"/>
      <c r="M473" s="30"/>
      <c r="N473" s="30"/>
      <c r="O473" s="71">
        <f t="shared" si="57"/>
        <v>0</v>
      </c>
      <c r="P473" s="1070">
        <f t="shared" si="58"/>
        <v>0</v>
      </c>
      <c r="Q473" s="1071">
        <f t="shared" si="59"/>
        <v>0</v>
      </c>
    </row>
    <row r="474" spans="1:17" x14ac:dyDescent="0.2">
      <c r="A474" s="30"/>
      <c r="B474" s="162"/>
      <c r="C474" s="259"/>
      <c r="D474" s="267"/>
      <c r="E474" s="35"/>
      <c r="F474" s="151"/>
      <c r="G474" s="263">
        <f t="shared" si="60"/>
        <v>0</v>
      </c>
      <c r="H474" s="65"/>
      <c r="I474" s="275">
        <f t="shared" si="56"/>
        <v>0</v>
      </c>
      <c r="J474" s="161"/>
      <c r="K474" s="30"/>
      <c r="L474" s="30"/>
      <c r="M474" s="30"/>
      <c r="N474" s="30"/>
      <c r="O474" s="71">
        <f t="shared" si="57"/>
        <v>0</v>
      </c>
      <c r="P474" s="1070">
        <f t="shared" si="58"/>
        <v>0</v>
      </c>
      <c r="Q474" s="1071">
        <f t="shared" si="59"/>
        <v>0</v>
      </c>
    </row>
    <row r="475" spans="1:17" x14ac:dyDescent="0.2">
      <c r="A475" s="30"/>
      <c r="B475" s="162"/>
      <c r="C475" s="259"/>
      <c r="D475" s="267"/>
      <c r="E475" s="35"/>
      <c r="F475" s="151"/>
      <c r="G475" s="263">
        <f t="shared" si="60"/>
        <v>0</v>
      </c>
      <c r="H475" s="65"/>
      <c r="I475" s="275">
        <f t="shared" si="56"/>
        <v>0</v>
      </c>
      <c r="J475" s="161"/>
      <c r="K475" s="30"/>
      <c r="L475" s="30"/>
      <c r="M475" s="30"/>
      <c r="N475" s="30"/>
      <c r="O475" s="71">
        <f t="shared" si="57"/>
        <v>0</v>
      </c>
      <c r="P475" s="1070">
        <f t="shared" si="58"/>
        <v>0</v>
      </c>
      <c r="Q475" s="1071">
        <f t="shared" si="59"/>
        <v>0</v>
      </c>
    </row>
    <row r="476" spans="1:17" x14ac:dyDescent="0.2">
      <c r="A476" s="30"/>
      <c r="B476" s="162"/>
      <c r="C476" s="259"/>
      <c r="D476" s="267"/>
      <c r="E476" s="35"/>
      <c r="F476" s="151"/>
      <c r="G476" s="263">
        <f t="shared" si="60"/>
        <v>0</v>
      </c>
      <c r="H476" s="65"/>
      <c r="I476" s="275">
        <f t="shared" si="56"/>
        <v>0</v>
      </c>
      <c r="J476" s="161"/>
      <c r="K476" s="30"/>
      <c r="L476" s="30"/>
      <c r="M476" s="30"/>
      <c r="N476" s="30"/>
      <c r="O476" s="71">
        <f t="shared" si="57"/>
        <v>0</v>
      </c>
      <c r="P476" s="1070">
        <f t="shared" si="58"/>
        <v>0</v>
      </c>
      <c r="Q476" s="1071">
        <f t="shared" si="59"/>
        <v>0</v>
      </c>
    </row>
    <row r="477" spans="1:17" x14ac:dyDescent="0.2">
      <c r="A477" s="30"/>
      <c r="B477" s="162"/>
      <c r="C477" s="259"/>
      <c r="D477" s="267"/>
      <c r="E477" s="35"/>
      <c r="F477" s="151"/>
      <c r="G477" s="263">
        <f t="shared" si="60"/>
        <v>0</v>
      </c>
      <c r="H477" s="65"/>
      <c r="I477" s="275">
        <f t="shared" si="56"/>
        <v>0</v>
      </c>
      <c r="J477" s="161"/>
      <c r="K477" s="30"/>
      <c r="L477" s="30"/>
      <c r="M477" s="30"/>
      <c r="N477" s="30"/>
      <c r="O477" s="71">
        <f t="shared" si="57"/>
        <v>0</v>
      </c>
      <c r="P477" s="1070">
        <f t="shared" si="58"/>
        <v>0</v>
      </c>
      <c r="Q477" s="1071">
        <f t="shared" si="59"/>
        <v>0</v>
      </c>
    </row>
    <row r="478" spans="1:17" x14ac:dyDescent="0.2">
      <c r="A478" s="30"/>
      <c r="B478" s="162"/>
      <c r="C478" s="259"/>
      <c r="D478" s="267"/>
      <c r="E478" s="35"/>
      <c r="F478" s="151"/>
      <c r="G478" s="263">
        <f t="shared" si="60"/>
        <v>0</v>
      </c>
      <c r="H478" s="65"/>
      <c r="I478" s="275">
        <f t="shared" si="56"/>
        <v>0</v>
      </c>
      <c r="J478" s="161"/>
      <c r="K478" s="30"/>
      <c r="L478" s="30"/>
      <c r="M478" s="30"/>
      <c r="N478" s="30"/>
      <c r="O478" s="71">
        <f t="shared" si="57"/>
        <v>0</v>
      </c>
      <c r="P478" s="1070">
        <f t="shared" si="58"/>
        <v>0</v>
      </c>
      <c r="Q478" s="1071">
        <f t="shared" si="59"/>
        <v>0</v>
      </c>
    </row>
    <row r="479" spans="1:17" x14ac:dyDescent="0.2">
      <c r="A479" s="30"/>
      <c r="B479" s="162"/>
      <c r="C479" s="259"/>
      <c r="D479" s="267"/>
      <c r="E479" s="35"/>
      <c r="F479" s="151"/>
      <c r="G479" s="263">
        <f t="shared" si="60"/>
        <v>0</v>
      </c>
      <c r="H479" s="65"/>
      <c r="I479" s="275">
        <f t="shared" si="56"/>
        <v>0</v>
      </c>
      <c r="J479" s="161"/>
      <c r="K479" s="30"/>
      <c r="L479" s="30"/>
      <c r="M479" s="30"/>
      <c r="N479" s="30"/>
      <c r="O479" s="71">
        <f t="shared" si="57"/>
        <v>0</v>
      </c>
      <c r="P479" s="1070">
        <f t="shared" si="58"/>
        <v>0</v>
      </c>
      <c r="Q479" s="1071">
        <f t="shared" si="59"/>
        <v>0</v>
      </c>
    </row>
    <row r="480" spans="1:17" x14ac:dyDescent="0.2">
      <c r="A480" s="30"/>
      <c r="B480" s="162"/>
      <c r="C480" s="259"/>
      <c r="D480" s="267"/>
      <c r="E480" s="35"/>
      <c r="F480" s="151"/>
      <c r="G480" s="263">
        <f t="shared" si="60"/>
        <v>0</v>
      </c>
      <c r="H480" s="65"/>
      <c r="I480" s="275">
        <f t="shared" si="56"/>
        <v>0</v>
      </c>
      <c r="J480" s="161"/>
      <c r="K480" s="30"/>
      <c r="L480" s="30"/>
      <c r="M480" s="30"/>
      <c r="N480" s="30"/>
      <c r="O480" s="71">
        <f t="shared" si="57"/>
        <v>0</v>
      </c>
      <c r="P480" s="1070">
        <f t="shared" si="58"/>
        <v>0</v>
      </c>
      <c r="Q480" s="1071">
        <f t="shared" si="59"/>
        <v>0</v>
      </c>
    </row>
    <row r="481" spans="1:17" x14ac:dyDescent="0.2">
      <c r="A481" s="30"/>
      <c r="B481" s="162"/>
      <c r="C481" s="259"/>
      <c r="D481" s="267"/>
      <c r="E481" s="35"/>
      <c r="F481" s="151"/>
      <c r="G481" s="263">
        <f t="shared" si="60"/>
        <v>0</v>
      </c>
      <c r="H481" s="65"/>
      <c r="I481" s="275">
        <f t="shared" si="56"/>
        <v>0</v>
      </c>
      <c r="J481" s="161"/>
      <c r="K481" s="30"/>
      <c r="L481" s="30"/>
      <c r="M481" s="30"/>
      <c r="N481" s="30"/>
      <c r="O481" s="71">
        <f t="shared" si="57"/>
        <v>0</v>
      </c>
      <c r="P481" s="1070">
        <f t="shared" si="58"/>
        <v>0</v>
      </c>
      <c r="Q481" s="1071">
        <f t="shared" si="59"/>
        <v>0</v>
      </c>
    </row>
    <row r="482" spans="1:17" x14ac:dyDescent="0.2">
      <c r="A482" s="30"/>
      <c r="B482" s="162"/>
      <c r="C482" s="259"/>
      <c r="D482" s="267"/>
      <c r="E482" s="35"/>
      <c r="F482" s="151"/>
      <c r="G482" s="263">
        <f t="shared" si="60"/>
        <v>0</v>
      </c>
      <c r="H482" s="65"/>
      <c r="I482" s="275">
        <f t="shared" si="56"/>
        <v>0</v>
      </c>
      <c r="J482" s="161"/>
      <c r="K482" s="30"/>
      <c r="L482" s="30"/>
      <c r="M482" s="30"/>
      <c r="N482" s="30"/>
      <c r="O482" s="71">
        <f t="shared" si="57"/>
        <v>0</v>
      </c>
      <c r="P482" s="1070">
        <f t="shared" si="58"/>
        <v>0</v>
      </c>
      <c r="Q482" s="1071">
        <f t="shared" si="59"/>
        <v>0</v>
      </c>
    </row>
    <row r="483" spans="1:17" x14ac:dyDescent="0.2">
      <c r="A483" s="30"/>
      <c r="B483" s="162"/>
      <c r="C483" s="259"/>
      <c r="D483" s="267"/>
      <c r="E483" s="35"/>
      <c r="F483" s="151"/>
      <c r="G483" s="263">
        <f t="shared" si="60"/>
        <v>0</v>
      </c>
      <c r="H483" s="65"/>
      <c r="I483" s="275">
        <f t="shared" si="56"/>
        <v>0</v>
      </c>
      <c r="J483" s="161"/>
      <c r="K483" s="30"/>
      <c r="L483" s="30"/>
      <c r="M483" s="30"/>
      <c r="N483" s="30"/>
      <c r="O483" s="71">
        <f t="shared" si="57"/>
        <v>0</v>
      </c>
      <c r="P483" s="1070">
        <f t="shared" si="58"/>
        <v>0</v>
      </c>
      <c r="Q483" s="1071">
        <f t="shared" si="59"/>
        <v>0</v>
      </c>
    </row>
    <row r="484" spans="1:17" x14ac:dyDescent="0.2">
      <c r="A484" s="30"/>
      <c r="B484" s="162"/>
      <c r="C484" s="259"/>
      <c r="D484" s="267"/>
      <c r="E484" s="35"/>
      <c r="F484" s="151"/>
      <c r="G484" s="263">
        <f t="shared" si="60"/>
        <v>0</v>
      </c>
      <c r="H484" s="65"/>
      <c r="I484" s="275">
        <f t="shared" si="56"/>
        <v>0</v>
      </c>
      <c r="J484" s="161"/>
      <c r="K484" s="30"/>
      <c r="L484" s="30"/>
      <c r="M484" s="30"/>
      <c r="N484" s="30"/>
      <c r="O484" s="71">
        <f t="shared" si="57"/>
        <v>0</v>
      </c>
      <c r="P484" s="1070">
        <f t="shared" si="58"/>
        <v>0</v>
      </c>
      <c r="Q484" s="1071">
        <f t="shared" si="59"/>
        <v>0</v>
      </c>
    </row>
    <row r="485" spans="1:17" x14ac:dyDescent="0.2">
      <c r="A485" s="30"/>
      <c r="B485" s="162"/>
      <c r="C485" s="259"/>
      <c r="D485" s="267"/>
      <c r="E485" s="35"/>
      <c r="F485" s="151"/>
      <c r="G485" s="263">
        <f t="shared" si="60"/>
        <v>0</v>
      </c>
      <c r="H485" s="65"/>
      <c r="I485" s="275">
        <f t="shared" si="56"/>
        <v>0</v>
      </c>
      <c r="J485" s="161"/>
      <c r="K485" s="30"/>
      <c r="L485" s="30"/>
      <c r="M485" s="30"/>
      <c r="N485" s="30"/>
      <c r="O485" s="71">
        <f t="shared" si="57"/>
        <v>0</v>
      </c>
      <c r="P485" s="1070">
        <f t="shared" si="58"/>
        <v>0</v>
      </c>
      <c r="Q485" s="1071">
        <f t="shared" si="59"/>
        <v>0</v>
      </c>
    </row>
    <row r="486" spans="1:17" x14ac:dyDescent="0.2">
      <c r="A486" s="30"/>
      <c r="B486" s="162"/>
      <c r="C486" s="259"/>
      <c r="D486" s="267"/>
      <c r="E486" s="35"/>
      <c r="F486" s="151"/>
      <c r="G486" s="263">
        <f t="shared" si="60"/>
        <v>0</v>
      </c>
      <c r="H486" s="65"/>
      <c r="I486" s="275">
        <f t="shared" si="56"/>
        <v>0</v>
      </c>
      <c r="J486" s="161"/>
      <c r="K486" s="30"/>
      <c r="L486" s="30"/>
      <c r="M486" s="30"/>
      <c r="N486" s="30"/>
      <c r="O486" s="71">
        <f t="shared" si="57"/>
        <v>0</v>
      </c>
      <c r="P486" s="1070">
        <f t="shared" si="58"/>
        <v>0</v>
      </c>
      <c r="Q486" s="1071">
        <f t="shared" si="59"/>
        <v>0</v>
      </c>
    </row>
    <row r="487" spans="1:17" x14ac:dyDescent="0.2">
      <c r="A487" s="30"/>
      <c r="B487" s="162"/>
      <c r="C487" s="259"/>
      <c r="D487" s="267"/>
      <c r="E487" s="35"/>
      <c r="F487" s="151"/>
      <c r="G487" s="263">
        <f t="shared" si="60"/>
        <v>0</v>
      </c>
      <c r="H487" s="65"/>
      <c r="I487" s="275">
        <f t="shared" si="56"/>
        <v>0</v>
      </c>
      <c r="J487" s="161"/>
      <c r="K487" s="30"/>
      <c r="L487" s="30"/>
      <c r="M487" s="30"/>
      <c r="N487" s="30"/>
      <c r="O487" s="71">
        <f t="shared" si="57"/>
        <v>0</v>
      </c>
      <c r="P487" s="1070">
        <f t="shared" si="58"/>
        <v>0</v>
      </c>
      <c r="Q487" s="1071">
        <f t="shared" si="59"/>
        <v>0</v>
      </c>
    </row>
    <row r="488" spans="1:17" x14ac:dyDescent="0.2">
      <c r="A488" s="30"/>
      <c r="B488" s="162"/>
      <c r="C488" s="259"/>
      <c r="D488" s="267"/>
      <c r="E488" s="35"/>
      <c r="F488" s="151"/>
      <c r="G488" s="263">
        <f t="shared" si="60"/>
        <v>0</v>
      </c>
      <c r="H488" s="65"/>
      <c r="I488" s="275">
        <f t="shared" si="56"/>
        <v>0</v>
      </c>
      <c r="J488" s="161"/>
      <c r="K488" s="30"/>
      <c r="L488" s="30"/>
      <c r="M488" s="30"/>
      <c r="N488" s="30"/>
      <c r="O488" s="71">
        <f t="shared" si="57"/>
        <v>0</v>
      </c>
      <c r="P488" s="1070">
        <f t="shared" si="58"/>
        <v>0</v>
      </c>
      <c r="Q488" s="1071">
        <f t="shared" si="59"/>
        <v>0</v>
      </c>
    </row>
    <row r="489" spans="1:17" x14ac:dyDescent="0.2">
      <c r="A489" s="30"/>
      <c r="B489" s="162"/>
      <c r="C489" s="259"/>
      <c r="D489" s="267"/>
      <c r="E489" s="35"/>
      <c r="F489" s="151"/>
      <c r="G489" s="263">
        <f t="shared" si="60"/>
        <v>0</v>
      </c>
      <c r="H489" s="65"/>
      <c r="I489" s="275">
        <f t="shared" si="56"/>
        <v>0</v>
      </c>
      <c r="J489" s="161"/>
      <c r="K489" s="30"/>
      <c r="L489" s="30"/>
      <c r="M489" s="30"/>
      <c r="N489" s="30"/>
      <c r="O489" s="71">
        <f t="shared" si="57"/>
        <v>0</v>
      </c>
      <c r="P489" s="1070">
        <f t="shared" si="58"/>
        <v>0</v>
      </c>
      <c r="Q489" s="1071">
        <f t="shared" si="59"/>
        <v>0</v>
      </c>
    </row>
    <row r="490" spans="1:17" x14ac:dyDescent="0.2">
      <c r="A490" s="30"/>
      <c r="B490" s="162"/>
      <c r="C490" s="259"/>
      <c r="D490" s="267"/>
      <c r="E490" s="35"/>
      <c r="F490" s="151"/>
      <c r="G490" s="263">
        <f t="shared" si="60"/>
        <v>0</v>
      </c>
      <c r="H490" s="65"/>
      <c r="I490" s="275">
        <f t="shared" si="56"/>
        <v>0</v>
      </c>
      <c r="J490" s="161"/>
      <c r="K490" s="30"/>
      <c r="L490" s="30"/>
      <c r="M490" s="30"/>
      <c r="N490" s="30"/>
      <c r="O490" s="71">
        <f t="shared" si="57"/>
        <v>0</v>
      </c>
      <c r="P490" s="1070">
        <f t="shared" si="58"/>
        <v>0</v>
      </c>
      <c r="Q490" s="1071">
        <f t="shared" si="59"/>
        <v>0</v>
      </c>
    </row>
    <row r="491" spans="1:17" x14ac:dyDescent="0.2">
      <c r="A491" s="30"/>
      <c r="B491" s="162"/>
      <c r="C491" s="259"/>
      <c r="D491" s="267"/>
      <c r="E491" s="35"/>
      <c r="F491" s="151"/>
      <c r="G491" s="263">
        <f t="shared" si="60"/>
        <v>0</v>
      </c>
      <c r="H491" s="65"/>
      <c r="I491" s="275">
        <f t="shared" si="56"/>
        <v>0</v>
      </c>
      <c r="J491" s="161"/>
      <c r="K491" s="30"/>
      <c r="L491" s="30"/>
      <c r="M491" s="30"/>
      <c r="N491" s="30"/>
      <c r="O491" s="71">
        <f t="shared" si="57"/>
        <v>0</v>
      </c>
      <c r="P491" s="1070">
        <f t="shared" si="58"/>
        <v>0</v>
      </c>
      <c r="Q491" s="1071">
        <f t="shared" si="59"/>
        <v>0</v>
      </c>
    </row>
    <row r="492" spans="1:17" x14ac:dyDescent="0.2">
      <c r="A492" s="30"/>
      <c r="B492" s="162"/>
      <c r="C492" s="259"/>
      <c r="D492" s="267"/>
      <c r="E492" s="35"/>
      <c r="F492" s="151"/>
      <c r="G492" s="263">
        <f t="shared" si="60"/>
        <v>0</v>
      </c>
      <c r="H492" s="65"/>
      <c r="I492" s="275">
        <f t="shared" si="56"/>
        <v>0</v>
      </c>
      <c r="J492" s="161"/>
      <c r="K492" s="30"/>
      <c r="L492" s="30"/>
      <c r="M492" s="30"/>
      <c r="N492" s="30"/>
      <c r="O492" s="71">
        <f t="shared" si="57"/>
        <v>0</v>
      </c>
      <c r="P492" s="1070">
        <f t="shared" si="58"/>
        <v>0</v>
      </c>
      <c r="Q492" s="1071">
        <f t="shared" si="59"/>
        <v>0</v>
      </c>
    </row>
    <row r="493" spans="1:17" x14ac:dyDescent="0.2">
      <c r="A493" s="30"/>
      <c r="B493" s="162"/>
      <c r="C493" s="259"/>
      <c r="D493" s="267"/>
      <c r="E493" s="35"/>
      <c r="F493" s="151"/>
      <c r="G493" s="263">
        <f t="shared" si="60"/>
        <v>0</v>
      </c>
      <c r="H493" s="65"/>
      <c r="I493" s="275">
        <f t="shared" si="56"/>
        <v>0</v>
      </c>
      <c r="J493" s="161"/>
      <c r="K493" s="30"/>
      <c r="L493" s="30"/>
      <c r="M493" s="30"/>
      <c r="N493" s="30"/>
      <c r="O493" s="71">
        <f t="shared" si="57"/>
        <v>0</v>
      </c>
      <c r="P493" s="1070">
        <f t="shared" si="58"/>
        <v>0</v>
      </c>
      <c r="Q493" s="1071">
        <f t="shared" si="59"/>
        <v>0</v>
      </c>
    </row>
    <row r="494" spans="1:17" x14ac:dyDescent="0.2">
      <c r="A494" s="30"/>
      <c r="B494" s="162"/>
      <c r="C494" s="259"/>
      <c r="D494" s="267"/>
      <c r="E494" s="35"/>
      <c r="F494" s="151"/>
      <c r="G494" s="263">
        <f t="shared" si="60"/>
        <v>0</v>
      </c>
      <c r="H494" s="65"/>
      <c r="I494" s="275">
        <f t="shared" si="56"/>
        <v>0</v>
      </c>
      <c r="J494" s="161"/>
      <c r="K494" s="30"/>
      <c r="L494" s="30"/>
      <c r="M494" s="30"/>
      <c r="N494" s="30"/>
      <c r="O494" s="71">
        <f t="shared" si="57"/>
        <v>0</v>
      </c>
      <c r="P494" s="1070">
        <f t="shared" si="58"/>
        <v>0</v>
      </c>
      <c r="Q494" s="1071">
        <f t="shared" si="59"/>
        <v>0</v>
      </c>
    </row>
    <row r="495" spans="1:17" x14ac:dyDescent="0.2">
      <c r="A495" s="30"/>
      <c r="B495" s="162"/>
      <c r="C495" s="259"/>
      <c r="D495" s="267"/>
      <c r="E495" s="35"/>
      <c r="F495" s="151"/>
      <c r="G495" s="263">
        <f t="shared" si="60"/>
        <v>0</v>
      </c>
      <c r="H495" s="65"/>
      <c r="I495" s="275">
        <f t="shared" si="56"/>
        <v>0</v>
      </c>
      <c r="J495" s="161"/>
      <c r="K495" s="30"/>
      <c r="L495" s="30"/>
      <c r="M495" s="30"/>
      <c r="N495" s="30"/>
      <c r="O495" s="71">
        <f t="shared" si="57"/>
        <v>0</v>
      </c>
      <c r="P495" s="1070">
        <f t="shared" si="58"/>
        <v>0</v>
      </c>
      <c r="Q495" s="1071">
        <f t="shared" si="59"/>
        <v>0</v>
      </c>
    </row>
    <row r="496" spans="1:17" x14ac:dyDescent="0.2">
      <c r="A496" s="30"/>
      <c r="B496" s="162"/>
      <c r="C496" s="259"/>
      <c r="D496" s="267"/>
      <c r="E496" s="35"/>
      <c r="F496" s="151"/>
      <c r="G496" s="263">
        <f t="shared" si="60"/>
        <v>0</v>
      </c>
      <c r="H496" s="65"/>
      <c r="I496" s="275">
        <f t="shared" si="56"/>
        <v>0</v>
      </c>
      <c r="J496" s="161"/>
      <c r="K496" s="30"/>
      <c r="L496" s="30"/>
      <c r="M496" s="30"/>
      <c r="N496" s="30"/>
      <c r="O496" s="71">
        <f t="shared" si="57"/>
        <v>0</v>
      </c>
      <c r="P496" s="1070">
        <f t="shared" si="58"/>
        <v>0</v>
      </c>
      <c r="Q496" s="1071">
        <f t="shared" si="59"/>
        <v>0</v>
      </c>
    </row>
    <row r="497" spans="1:17" x14ac:dyDescent="0.2">
      <c r="A497" s="30"/>
      <c r="B497" s="162"/>
      <c r="C497" s="259"/>
      <c r="D497" s="267"/>
      <c r="E497" s="35"/>
      <c r="F497" s="151"/>
      <c r="G497" s="263">
        <f t="shared" si="60"/>
        <v>0</v>
      </c>
      <c r="H497" s="65"/>
      <c r="I497" s="275">
        <f t="shared" si="56"/>
        <v>0</v>
      </c>
      <c r="J497" s="161"/>
      <c r="K497" s="30"/>
      <c r="L497" s="30"/>
      <c r="M497" s="30"/>
      <c r="N497" s="30"/>
      <c r="O497" s="71">
        <f t="shared" si="57"/>
        <v>0</v>
      </c>
      <c r="P497" s="1070">
        <f t="shared" si="58"/>
        <v>0</v>
      </c>
      <c r="Q497" s="1071">
        <f t="shared" si="59"/>
        <v>0</v>
      </c>
    </row>
    <row r="498" spans="1:17" x14ac:dyDescent="0.2">
      <c r="A498" s="30"/>
      <c r="B498" s="162"/>
      <c r="C498" s="259"/>
      <c r="D498" s="267"/>
      <c r="E498" s="35"/>
      <c r="F498" s="151"/>
      <c r="G498" s="263">
        <f t="shared" si="60"/>
        <v>0</v>
      </c>
      <c r="H498" s="65"/>
      <c r="I498" s="275">
        <f t="shared" si="56"/>
        <v>0</v>
      </c>
      <c r="J498" s="161"/>
      <c r="K498" s="30"/>
      <c r="L498" s="30"/>
      <c r="M498" s="30"/>
      <c r="N498" s="30"/>
      <c r="O498" s="71">
        <f t="shared" si="57"/>
        <v>0</v>
      </c>
      <c r="P498" s="1070">
        <f t="shared" si="58"/>
        <v>0</v>
      </c>
      <c r="Q498" s="1071">
        <f t="shared" si="59"/>
        <v>0</v>
      </c>
    </row>
    <row r="499" spans="1:17" x14ac:dyDescent="0.2">
      <c r="A499" s="30"/>
      <c r="B499" s="162"/>
      <c r="C499" s="259"/>
      <c r="D499" s="267"/>
      <c r="E499" s="35"/>
      <c r="F499" s="151"/>
      <c r="G499" s="263">
        <f t="shared" si="60"/>
        <v>0</v>
      </c>
      <c r="H499" s="65"/>
      <c r="I499" s="275">
        <f t="shared" si="56"/>
        <v>0</v>
      </c>
      <c r="J499" s="161"/>
      <c r="K499" s="30"/>
      <c r="L499" s="30"/>
      <c r="M499" s="30"/>
      <c r="N499" s="30"/>
      <c r="O499" s="71">
        <f t="shared" si="57"/>
        <v>0</v>
      </c>
      <c r="P499" s="1070">
        <f t="shared" si="58"/>
        <v>0</v>
      </c>
      <c r="Q499" s="1071">
        <f t="shared" si="59"/>
        <v>0</v>
      </c>
    </row>
    <row r="500" spans="1:17" x14ac:dyDescent="0.2">
      <c r="A500" s="30"/>
      <c r="B500" s="162"/>
      <c r="C500" s="259"/>
      <c r="D500" s="267"/>
      <c r="E500" s="35"/>
      <c r="F500" s="151"/>
      <c r="G500" s="263">
        <f t="shared" si="60"/>
        <v>0</v>
      </c>
      <c r="H500" s="65"/>
      <c r="I500" s="275">
        <f t="shared" si="56"/>
        <v>0</v>
      </c>
      <c r="J500" s="161"/>
      <c r="K500" s="30"/>
      <c r="L500" s="30"/>
      <c r="M500" s="30"/>
      <c r="N500" s="30"/>
      <c r="O500" s="71">
        <f t="shared" si="57"/>
        <v>0</v>
      </c>
      <c r="P500" s="1070">
        <f t="shared" si="58"/>
        <v>0</v>
      </c>
      <c r="Q500" s="1071">
        <f t="shared" si="59"/>
        <v>0</v>
      </c>
    </row>
    <row r="501" spans="1:17" x14ac:dyDescent="0.2">
      <c r="A501" s="30"/>
      <c r="B501" s="162"/>
      <c r="C501" s="259"/>
      <c r="D501" s="267"/>
      <c r="E501" s="35"/>
      <c r="F501" s="151"/>
      <c r="G501" s="263">
        <f t="shared" si="60"/>
        <v>0</v>
      </c>
      <c r="H501" s="65"/>
      <c r="I501" s="275">
        <f t="shared" si="56"/>
        <v>0</v>
      </c>
      <c r="J501" s="161"/>
      <c r="K501" s="30"/>
      <c r="L501" s="30"/>
      <c r="M501" s="30"/>
      <c r="N501" s="30"/>
      <c r="O501" s="71">
        <f t="shared" si="57"/>
        <v>0</v>
      </c>
      <c r="P501" s="1070">
        <f t="shared" si="58"/>
        <v>0</v>
      </c>
      <c r="Q501" s="1071">
        <f t="shared" si="59"/>
        <v>0</v>
      </c>
    </row>
    <row r="502" spans="1:17" x14ac:dyDescent="0.2">
      <c r="A502" s="30"/>
      <c r="B502" s="162"/>
      <c r="C502" s="259"/>
      <c r="D502" s="267"/>
      <c r="E502" s="35"/>
      <c r="F502" s="151"/>
      <c r="G502" s="263">
        <f t="shared" si="60"/>
        <v>0</v>
      </c>
      <c r="H502" s="65"/>
      <c r="I502" s="275">
        <f t="shared" si="56"/>
        <v>0</v>
      </c>
      <c r="J502" s="161"/>
      <c r="K502" s="30"/>
      <c r="L502" s="30"/>
      <c r="M502" s="30"/>
      <c r="N502" s="30"/>
      <c r="O502" s="71">
        <f t="shared" si="57"/>
        <v>0</v>
      </c>
      <c r="P502" s="1070">
        <f t="shared" si="58"/>
        <v>0</v>
      </c>
      <c r="Q502" s="1071">
        <f t="shared" si="59"/>
        <v>0</v>
      </c>
    </row>
    <row r="503" spans="1:17" x14ac:dyDescent="0.2">
      <c r="A503" s="30"/>
      <c r="B503" s="162"/>
      <c r="C503" s="259"/>
      <c r="D503" s="267"/>
      <c r="E503" s="35"/>
      <c r="F503" s="151"/>
      <c r="G503" s="263">
        <f t="shared" si="60"/>
        <v>0</v>
      </c>
      <c r="H503" s="65"/>
      <c r="I503" s="275">
        <f t="shared" si="56"/>
        <v>0</v>
      </c>
      <c r="J503" s="161"/>
      <c r="K503" s="30"/>
      <c r="L503" s="30"/>
      <c r="M503" s="30"/>
      <c r="N503" s="30"/>
      <c r="O503" s="71">
        <f t="shared" si="57"/>
        <v>0</v>
      </c>
      <c r="P503" s="1070">
        <f t="shared" si="58"/>
        <v>0</v>
      </c>
      <c r="Q503" s="1071">
        <f t="shared" si="59"/>
        <v>0</v>
      </c>
    </row>
    <row r="504" spans="1:17" x14ac:dyDescent="0.2">
      <c r="A504" s="30"/>
      <c r="B504" s="162"/>
      <c r="C504" s="259"/>
      <c r="D504" s="267"/>
      <c r="E504" s="35"/>
      <c r="F504" s="151"/>
      <c r="G504" s="263">
        <f t="shared" si="60"/>
        <v>0</v>
      </c>
      <c r="H504" s="65"/>
      <c r="I504" s="275">
        <f t="shared" si="56"/>
        <v>0</v>
      </c>
      <c r="J504" s="161"/>
      <c r="K504" s="30"/>
      <c r="L504" s="30"/>
      <c r="M504" s="30"/>
      <c r="N504" s="30"/>
      <c r="O504" s="71">
        <f t="shared" si="57"/>
        <v>0</v>
      </c>
      <c r="P504" s="1070">
        <f t="shared" si="58"/>
        <v>0</v>
      </c>
      <c r="Q504" s="1071">
        <f t="shared" ref="Q504:Q523" si="61">IF($F504=$Q$43,$I504,0)</f>
        <v>0</v>
      </c>
    </row>
    <row r="505" spans="1:17" x14ac:dyDescent="0.2">
      <c r="A505" s="30"/>
      <c r="B505" s="162"/>
      <c r="C505" s="259"/>
      <c r="D505" s="267"/>
      <c r="E505" s="35"/>
      <c r="F505" s="151"/>
      <c r="G505" s="263">
        <f t="shared" si="60"/>
        <v>0</v>
      </c>
      <c r="H505" s="65"/>
      <c r="I505" s="275">
        <f t="shared" si="56"/>
        <v>0</v>
      </c>
      <c r="J505" s="161"/>
      <c r="K505" s="30"/>
      <c r="L505" s="30"/>
      <c r="M505" s="30"/>
      <c r="N505" s="30"/>
      <c r="O505" s="71">
        <f t="shared" si="57"/>
        <v>0</v>
      </c>
      <c r="P505" s="1070">
        <f t="shared" ref="P505:P523" si="62">IF($F505=$Q$42,$I505,0)</f>
        <v>0</v>
      </c>
      <c r="Q505" s="1071">
        <f t="shared" si="61"/>
        <v>0</v>
      </c>
    </row>
    <row r="506" spans="1:17" x14ac:dyDescent="0.2">
      <c r="A506" s="30"/>
      <c r="B506" s="162"/>
      <c r="C506" s="259"/>
      <c r="D506" s="267"/>
      <c r="E506" s="35"/>
      <c r="F506" s="151"/>
      <c r="G506" s="263">
        <f t="shared" si="60"/>
        <v>0</v>
      </c>
      <c r="H506" s="65"/>
      <c r="I506" s="275">
        <f t="shared" si="56"/>
        <v>0</v>
      </c>
      <c r="J506" s="161"/>
      <c r="K506" s="30"/>
      <c r="L506" s="30"/>
      <c r="M506" s="30"/>
      <c r="N506" s="30"/>
      <c r="O506" s="71">
        <f t="shared" si="57"/>
        <v>0</v>
      </c>
      <c r="P506" s="1070">
        <f t="shared" si="62"/>
        <v>0</v>
      </c>
      <c r="Q506" s="1071">
        <f t="shared" si="61"/>
        <v>0</v>
      </c>
    </row>
    <row r="507" spans="1:17" x14ac:dyDescent="0.2">
      <c r="A507" s="30"/>
      <c r="B507" s="162"/>
      <c r="C507" s="259"/>
      <c r="D507" s="267"/>
      <c r="E507" s="35"/>
      <c r="F507" s="151"/>
      <c r="G507" s="263">
        <f t="shared" si="60"/>
        <v>0</v>
      </c>
      <c r="H507" s="65"/>
      <c r="I507" s="275">
        <f t="shared" si="56"/>
        <v>0</v>
      </c>
      <c r="J507" s="161"/>
      <c r="K507" s="30"/>
      <c r="L507" s="30"/>
      <c r="M507" s="30"/>
      <c r="N507" s="30"/>
      <c r="O507" s="71">
        <f t="shared" si="57"/>
        <v>0</v>
      </c>
      <c r="P507" s="1070">
        <f t="shared" si="62"/>
        <v>0</v>
      </c>
      <c r="Q507" s="1071">
        <f t="shared" si="61"/>
        <v>0</v>
      </c>
    </row>
    <row r="508" spans="1:17" x14ac:dyDescent="0.2">
      <c r="A508" s="30"/>
      <c r="B508" s="162"/>
      <c r="C508" s="259"/>
      <c r="D508" s="267"/>
      <c r="E508" s="35"/>
      <c r="F508" s="151"/>
      <c r="G508" s="263">
        <f t="shared" si="60"/>
        <v>0</v>
      </c>
      <c r="H508" s="65"/>
      <c r="I508" s="275">
        <f t="shared" si="56"/>
        <v>0</v>
      </c>
      <c r="J508" s="161"/>
      <c r="K508" s="30"/>
      <c r="L508" s="30"/>
      <c r="M508" s="30"/>
      <c r="N508" s="30"/>
      <c r="O508" s="71">
        <f t="shared" si="57"/>
        <v>0</v>
      </c>
      <c r="P508" s="1070">
        <f t="shared" si="62"/>
        <v>0</v>
      </c>
      <c r="Q508" s="1071">
        <f t="shared" si="61"/>
        <v>0</v>
      </c>
    </row>
    <row r="509" spans="1:17" x14ac:dyDescent="0.2">
      <c r="A509" s="30"/>
      <c r="B509" s="162"/>
      <c r="C509" s="259"/>
      <c r="D509" s="267"/>
      <c r="E509" s="35"/>
      <c r="F509" s="151"/>
      <c r="G509" s="263">
        <f t="shared" si="60"/>
        <v>0</v>
      </c>
      <c r="H509" s="65"/>
      <c r="I509" s="275">
        <f t="shared" si="56"/>
        <v>0</v>
      </c>
      <c r="J509" s="161"/>
      <c r="K509" s="30"/>
      <c r="L509" s="30"/>
      <c r="M509" s="30"/>
      <c r="N509" s="30"/>
      <c r="O509" s="71">
        <f t="shared" si="57"/>
        <v>0</v>
      </c>
      <c r="P509" s="1070">
        <f t="shared" si="62"/>
        <v>0</v>
      </c>
      <c r="Q509" s="1071">
        <f t="shared" si="61"/>
        <v>0</v>
      </c>
    </row>
    <row r="510" spans="1:17" x14ac:dyDescent="0.2">
      <c r="A510" s="30"/>
      <c r="B510" s="162"/>
      <c r="C510" s="259"/>
      <c r="D510" s="267"/>
      <c r="E510" s="35"/>
      <c r="F510" s="151"/>
      <c r="G510" s="263">
        <f t="shared" si="60"/>
        <v>0</v>
      </c>
      <c r="H510" s="65"/>
      <c r="I510" s="275">
        <f t="shared" si="56"/>
        <v>0</v>
      </c>
      <c r="J510" s="161"/>
      <c r="K510" s="30"/>
      <c r="L510" s="30"/>
      <c r="M510" s="30"/>
      <c r="N510" s="30"/>
      <c r="O510" s="71">
        <f t="shared" si="57"/>
        <v>0</v>
      </c>
      <c r="P510" s="1070">
        <f t="shared" si="62"/>
        <v>0</v>
      </c>
      <c r="Q510" s="1071">
        <f t="shared" si="61"/>
        <v>0</v>
      </c>
    </row>
    <row r="511" spans="1:17" x14ac:dyDescent="0.2">
      <c r="A511" s="30"/>
      <c r="B511" s="162"/>
      <c r="C511" s="259"/>
      <c r="D511" s="267"/>
      <c r="E511" s="35"/>
      <c r="F511" s="151"/>
      <c r="G511" s="263">
        <f t="shared" si="60"/>
        <v>0</v>
      </c>
      <c r="H511" s="65"/>
      <c r="I511" s="275">
        <f t="shared" si="56"/>
        <v>0</v>
      </c>
      <c r="J511" s="161"/>
      <c r="K511" s="30"/>
      <c r="L511" s="30"/>
      <c r="M511" s="30"/>
      <c r="N511" s="30"/>
      <c r="O511" s="71">
        <f t="shared" si="57"/>
        <v>0</v>
      </c>
      <c r="P511" s="1070">
        <f t="shared" si="62"/>
        <v>0</v>
      </c>
      <c r="Q511" s="1071">
        <f t="shared" si="61"/>
        <v>0</v>
      </c>
    </row>
    <row r="512" spans="1:17" x14ac:dyDescent="0.2">
      <c r="A512" s="30"/>
      <c r="B512" s="162"/>
      <c r="C512" s="259"/>
      <c r="D512" s="267"/>
      <c r="E512" s="35"/>
      <c r="F512" s="151"/>
      <c r="G512" s="263">
        <f t="shared" si="60"/>
        <v>0</v>
      </c>
      <c r="H512" s="65"/>
      <c r="I512" s="275">
        <f t="shared" si="56"/>
        <v>0</v>
      </c>
      <c r="J512" s="161"/>
      <c r="K512" s="30"/>
      <c r="L512" s="30"/>
      <c r="M512" s="30"/>
      <c r="N512" s="30"/>
      <c r="O512" s="71">
        <f t="shared" si="57"/>
        <v>0</v>
      </c>
      <c r="P512" s="1070">
        <f t="shared" si="62"/>
        <v>0</v>
      </c>
      <c r="Q512" s="1071">
        <f t="shared" si="61"/>
        <v>0</v>
      </c>
    </row>
    <row r="513" spans="1:17" x14ac:dyDescent="0.2">
      <c r="A513" s="30"/>
      <c r="B513" s="162"/>
      <c r="C513" s="259"/>
      <c r="D513" s="267"/>
      <c r="E513" s="35"/>
      <c r="F513" s="151"/>
      <c r="G513" s="263">
        <f t="shared" si="60"/>
        <v>0</v>
      </c>
      <c r="H513" s="65"/>
      <c r="I513" s="275">
        <f t="shared" si="56"/>
        <v>0</v>
      </c>
      <c r="J513" s="161"/>
      <c r="K513" s="30"/>
      <c r="L513" s="30"/>
      <c r="M513" s="30"/>
      <c r="N513" s="30"/>
      <c r="O513" s="71">
        <f t="shared" si="57"/>
        <v>0</v>
      </c>
      <c r="P513" s="1070">
        <f t="shared" si="62"/>
        <v>0</v>
      </c>
      <c r="Q513" s="1071">
        <f t="shared" si="61"/>
        <v>0</v>
      </c>
    </row>
    <row r="514" spans="1:17" x14ac:dyDescent="0.2">
      <c r="A514" s="30"/>
      <c r="B514" s="162"/>
      <c r="C514" s="259"/>
      <c r="D514" s="267"/>
      <c r="E514" s="35"/>
      <c r="F514" s="151"/>
      <c r="G514" s="263">
        <f t="shared" si="60"/>
        <v>0</v>
      </c>
      <c r="H514" s="65"/>
      <c r="I514" s="275">
        <f t="shared" si="56"/>
        <v>0</v>
      </c>
      <c r="J514" s="161"/>
      <c r="K514" s="30"/>
      <c r="L514" s="30"/>
      <c r="M514" s="30"/>
      <c r="N514" s="30"/>
      <c r="O514" s="71">
        <f t="shared" si="57"/>
        <v>0</v>
      </c>
      <c r="P514" s="1070">
        <f t="shared" si="62"/>
        <v>0</v>
      </c>
      <c r="Q514" s="1071">
        <f t="shared" si="61"/>
        <v>0</v>
      </c>
    </row>
    <row r="515" spans="1:17" x14ac:dyDescent="0.2">
      <c r="A515" s="30"/>
      <c r="B515" s="162"/>
      <c r="C515" s="259"/>
      <c r="D515" s="267"/>
      <c r="E515" s="35"/>
      <c r="F515" s="151"/>
      <c r="G515" s="263">
        <f t="shared" si="60"/>
        <v>0</v>
      </c>
      <c r="H515" s="65"/>
      <c r="I515" s="275">
        <f t="shared" si="56"/>
        <v>0</v>
      </c>
      <c r="J515" s="161"/>
      <c r="K515" s="30"/>
      <c r="L515" s="30"/>
      <c r="M515" s="30"/>
      <c r="N515" s="30"/>
      <c r="O515" s="71">
        <f t="shared" si="57"/>
        <v>0</v>
      </c>
      <c r="P515" s="1070">
        <f t="shared" si="62"/>
        <v>0</v>
      </c>
      <c r="Q515" s="1071">
        <f t="shared" si="61"/>
        <v>0</v>
      </c>
    </row>
    <row r="516" spans="1:17" x14ac:dyDescent="0.2">
      <c r="A516" s="30"/>
      <c r="B516" s="162"/>
      <c r="C516" s="259"/>
      <c r="D516" s="267"/>
      <c r="E516" s="35"/>
      <c r="F516" s="151"/>
      <c r="G516" s="263">
        <f t="shared" si="60"/>
        <v>0</v>
      </c>
      <c r="H516" s="65"/>
      <c r="I516" s="275">
        <f t="shared" si="56"/>
        <v>0</v>
      </c>
      <c r="J516" s="161"/>
      <c r="K516" s="30"/>
      <c r="L516" s="30"/>
      <c r="M516" s="30"/>
      <c r="N516" s="30"/>
      <c r="O516" s="71">
        <f t="shared" si="57"/>
        <v>0</v>
      </c>
      <c r="P516" s="1070">
        <f t="shared" si="62"/>
        <v>0</v>
      </c>
      <c r="Q516" s="1071">
        <f t="shared" si="61"/>
        <v>0</v>
      </c>
    </row>
    <row r="517" spans="1:17" x14ac:dyDescent="0.2">
      <c r="A517" s="30"/>
      <c r="B517" s="162"/>
      <c r="C517" s="259"/>
      <c r="D517" s="267"/>
      <c r="E517" s="35"/>
      <c r="F517" s="151"/>
      <c r="G517" s="263">
        <f t="shared" si="60"/>
        <v>0</v>
      </c>
      <c r="H517" s="65"/>
      <c r="I517" s="275">
        <f t="shared" si="56"/>
        <v>0</v>
      </c>
      <c r="J517" s="161"/>
      <c r="K517" s="30"/>
      <c r="L517" s="30"/>
      <c r="M517" s="30"/>
      <c r="N517" s="30"/>
      <c r="O517" s="71">
        <f t="shared" si="57"/>
        <v>0</v>
      </c>
      <c r="P517" s="1070">
        <f t="shared" si="62"/>
        <v>0</v>
      </c>
      <c r="Q517" s="1071">
        <f t="shared" si="61"/>
        <v>0</v>
      </c>
    </row>
    <row r="518" spans="1:17" x14ac:dyDescent="0.2">
      <c r="A518" s="30"/>
      <c r="B518" s="162"/>
      <c r="C518" s="259"/>
      <c r="D518" s="267"/>
      <c r="E518" s="35"/>
      <c r="F518" s="151"/>
      <c r="G518" s="263">
        <f t="shared" si="60"/>
        <v>0</v>
      </c>
      <c r="H518" s="65"/>
      <c r="I518" s="275">
        <f t="shared" si="56"/>
        <v>0</v>
      </c>
      <c r="J518" s="161"/>
      <c r="K518" s="30"/>
      <c r="L518" s="30"/>
      <c r="M518" s="30"/>
      <c r="N518" s="30"/>
      <c r="O518" s="71">
        <f t="shared" si="57"/>
        <v>0</v>
      </c>
      <c r="P518" s="1070">
        <f t="shared" si="62"/>
        <v>0</v>
      </c>
      <c r="Q518" s="1071">
        <f t="shared" si="61"/>
        <v>0</v>
      </c>
    </row>
    <row r="519" spans="1:17" x14ac:dyDescent="0.2">
      <c r="A519" s="30"/>
      <c r="B519" s="162"/>
      <c r="C519" s="259"/>
      <c r="D519" s="267"/>
      <c r="E519" s="35"/>
      <c r="F519" s="151"/>
      <c r="G519" s="263">
        <f t="shared" si="60"/>
        <v>0</v>
      </c>
      <c r="H519" s="65"/>
      <c r="I519" s="275">
        <f t="shared" si="56"/>
        <v>0</v>
      </c>
      <c r="J519" s="161"/>
      <c r="K519" s="30"/>
      <c r="L519" s="30"/>
      <c r="M519" s="30"/>
      <c r="N519" s="30"/>
      <c r="O519" s="71">
        <f t="shared" si="57"/>
        <v>0</v>
      </c>
      <c r="P519" s="1070">
        <f t="shared" si="62"/>
        <v>0</v>
      </c>
      <c r="Q519" s="1071">
        <f t="shared" si="61"/>
        <v>0</v>
      </c>
    </row>
    <row r="520" spans="1:17" x14ac:dyDescent="0.2">
      <c r="A520" s="30"/>
      <c r="B520" s="162"/>
      <c r="C520" s="259"/>
      <c r="D520" s="267"/>
      <c r="E520" s="35"/>
      <c r="F520" s="151"/>
      <c r="G520" s="263">
        <f t="shared" si="60"/>
        <v>0</v>
      </c>
      <c r="H520" s="65"/>
      <c r="I520" s="275">
        <f t="shared" si="56"/>
        <v>0</v>
      </c>
      <c r="J520" s="161"/>
      <c r="K520" s="30"/>
      <c r="L520" s="30"/>
      <c r="M520" s="30"/>
      <c r="N520" s="30"/>
      <c r="O520" s="71">
        <f t="shared" si="57"/>
        <v>0</v>
      </c>
      <c r="P520" s="1070">
        <f t="shared" si="62"/>
        <v>0</v>
      </c>
      <c r="Q520" s="1071">
        <f t="shared" si="61"/>
        <v>0</v>
      </c>
    </row>
    <row r="521" spans="1:17" x14ac:dyDescent="0.2">
      <c r="A521" s="30"/>
      <c r="B521" s="162"/>
      <c r="C521" s="259"/>
      <c r="D521" s="267"/>
      <c r="E521" s="35"/>
      <c r="F521" s="151"/>
      <c r="G521" s="263">
        <f t="shared" si="60"/>
        <v>0</v>
      </c>
      <c r="H521" s="65"/>
      <c r="I521" s="275">
        <f t="shared" si="56"/>
        <v>0</v>
      </c>
      <c r="J521" s="161"/>
      <c r="K521" s="30"/>
      <c r="L521" s="30"/>
      <c r="M521" s="30"/>
      <c r="N521" s="30"/>
      <c r="O521" s="71">
        <f t="shared" si="57"/>
        <v>0</v>
      </c>
      <c r="P521" s="1070">
        <f t="shared" si="62"/>
        <v>0</v>
      </c>
      <c r="Q521" s="1071">
        <f t="shared" si="61"/>
        <v>0</v>
      </c>
    </row>
    <row r="522" spans="1:17" x14ac:dyDescent="0.2">
      <c r="A522" s="30"/>
      <c r="B522" s="162"/>
      <c r="C522" s="259"/>
      <c r="D522" s="267"/>
      <c r="E522" s="35"/>
      <c r="F522" s="151"/>
      <c r="G522" s="263">
        <f t="shared" si="60"/>
        <v>0</v>
      </c>
      <c r="H522" s="65"/>
      <c r="I522" s="275">
        <f t="shared" si="56"/>
        <v>0</v>
      </c>
      <c r="J522" s="161"/>
      <c r="K522" s="30"/>
      <c r="L522" s="30"/>
      <c r="M522" s="30"/>
      <c r="N522" s="30"/>
      <c r="O522" s="71">
        <f t="shared" si="57"/>
        <v>0</v>
      </c>
      <c r="P522" s="1070">
        <f t="shared" si="62"/>
        <v>0</v>
      </c>
      <c r="Q522" s="1071">
        <f t="shared" si="61"/>
        <v>0</v>
      </c>
    </row>
    <row r="523" spans="1:17" ht="13.5" thickBot="1" x14ac:dyDescent="0.25">
      <c r="A523" s="30"/>
      <c r="B523" s="163"/>
      <c r="C523" s="260"/>
      <c r="D523" s="268"/>
      <c r="E523" s="24"/>
      <c r="F523" s="25"/>
      <c r="G523" s="264">
        <f t="shared" si="60"/>
        <v>0</v>
      </c>
      <c r="H523" s="272"/>
      <c r="I523" s="276">
        <f t="shared" si="56"/>
        <v>0</v>
      </c>
      <c r="J523" s="161"/>
      <c r="K523" s="30"/>
      <c r="L523" s="30"/>
      <c r="M523" s="30"/>
      <c r="N523" s="30"/>
      <c r="O523" s="71">
        <f t="shared" si="57"/>
        <v>0</v>
      </c>
      <c r="P523" s="1070">
        <f t="shared" si="62"/>
        <v>0</v>
      </c>
      <c r="Q523" s="1071">
        <f t="shared" si="61"/>
        <v>0</v>
      </c>
    </row>
    <row r="524" spans="1:17" ht="6.75" customHeight="1" thickBot="1" x14ac:dyDescent="0.25">
      <c r="A524" s="30"/>
      <c r="B524" s="155"/>
      <c r="C524" s="155"/>
      <c r="D524" s="155"/>
      <c r="E524" s="155"/>
      <c r="F524" s="155"/>
      <c r="G524" s="155"/>
      <c r="H524" s="155"/>
      <c r="I524" s="155"/>
      <c r="J524" s="155"/>
      <c r="K524" s="30"/>
      <c r="L524" s="30"/>
      <c r="M524" s="30"/>
      <c r="N524" s="30"/>
      <c r="O524" s="812">
        <f>SUM(O472:O523)</f>
        <v>0</v>
      </c>
      <c r="P524" s="1075">
        <f>SUM(P472:P523)</f>
        <v>0</v>
      </c>
      <c r="Q524" s="813">
        <f>SUM(Q472:Q523)</f>
        <v>0</v>
      </c>
    </row>
    <row r="525" spans="1:17" ht="50.1" customHeight="1" x14ac:dyDescent="0.2">
      <c r="L525" s="30"/>
      <c r="M525" s="30"/>
      <c r="N525" s="30"/>
    </row>
    <row r="526" spans="1:17" ht="18" x14ac:dyDescent="0.2">
      <c r="A526" s="1224" t="str">
        <f>UPPER("Patching Summary Table")</f>
        <v>PATCHING SUMMARY TABLE</v>
      </c>
      <c r="B526" s="1224"/>
      <c r="C526" s="1224"/>
      <c r="D526" s="1224"/>
      <c r="E526" s="1224"/>
      <c r="F526" s="1224"/>
      <c r="G526" s="1224"/>
      <c r="H526" s="1224"/>
      <c r="I526" s="1224"/>
      <c r="J526" s="1224"/>
      <c r="K526" s="30"/>
      <c r="L526" s="30"/>
      <c r="M526" s="30"/>
      <c r="N526" s="30"/>
      <c r="O526" s="30"/>
      <c r="P526" s="30"/>
    </row>
    <row r="527" spans="1:17" ht="7.5" customHeight="1" thickBot="1" x14ac:dyDescent="0.25">
      <c r="A527" s="30"/>
      <c r="B527" s="31"/>
      <c r="C527" s="31"/>
      <c r="D527" s="31"/>
      <c r="E527" s="31"/>
      <c r="F527" s="31"/>
      <c r="G527" s="31"/>
      <c r="H527" s="31"/>
      <c r="I527" s="31"/>
      <c r="J527" s="31"/>
      <c r="K527" s="30"/>
      <c r="O527" s="30"/>
      <c r="P527" s="30"/>
    </row>
    <row r="528" spans="1:17" x14ac:dyDescent="0.2">
      <c r="A528" s="30"/>
      <c r="B528" s="1310" t="s">
        <v>2</v>
      </c>
      <c r="C528" s="1319" t="s">
        <v>3</v>
      </c>
      <c r="D528" s="1310" t="s">
        <v>39</v>
      </c>
      <c r="E528" s="1308" t="s">
        <v>4</v>
      </c>
      <c r="F528" s="1223" t="s">
        <v>535</v>
      </c>
      <c r="G528" s="261" t="s">
        <v>129</v>
      </c>
      <c r="H528" s="269" t="s">
        <v>102</v>
      </c>
      <c r="I528" s="152" t="s">
        <v>209</v>
      </c>
      <c r="J528" s="31"/>
      <c r="K528" s="30"/>
      <c r="L528" s="30"/>
      <c r="M528" s="30"/>
      <c r="N528" s="30"/>
      <c r="O528" s="1159" t="s">
        <v>537</v>
      </c>
      <c r="P528" s="1305"/>
      <c r="Q528" s="1306"/>
    </row>
    <row r="529" spans="1:17" ht="13.5" thickBot="1" x14ac:dyDescent="0.25">
      <c r="A529" s="30"/>
      <c r="B529" s="1285"/>
      <c r="C529" s="1320"/>
      <c r="D529" s="1285"/>
      <c r="E529" s="1227"/>
      <c r="F529" s="1242"/>
      <c r="G529" s="262" t="s">
        <v>100</v>
      </c>
      <c r="H529" s="270" t="s">
        <v>100</v>
      </c>
      <c r="I529" s="273" t="s">
        <v>210</v>
      </c>
      <c r="J529" s="31"/>
      <c r="K529" s="30"/>
      <c r="L529" s="30"/>
      <c r="M529" s="30"/>
      <c r="N529" s="30"/>
      <c r="O529" s="41" t="str">
        <f>$Q$41</f>
        <v>Partial</v>
      </c>
      <c r="P529" s="42" t="str">
        <f>$Q$42</f>
        <v>Full ( HMA)</v>
      </c>
      <c r="Q529" s="43" t="str">
        <f>$Q$43</f>
        <v>Full (Composite)</v>
      </c>
    </row>
    <row r="530" spans="1:17" x14ac:dyDescent="0.2">
      <c r="A530" s="30"/>
      <c r="B530" s="159"/>
      <c r="C530" s="258"/>
      <c r="D530" s="265"/>
      <c r="E530" s="160"/>
      <c r="F530" s="266"/>
      <c r="G530" s="263">
        <f>ABS(C530-B530)</f>
        <v>0</v>
      </c>
      <c r="H530" s="271"/>
      <c r="I530" s="274">
        <f t="shared" ref="I530:I581" si="63">ROUNDUP((G530*H530)/9,0)</f>
        <v>0</v>
      </c>
      <c r="J530" s="161"/>
      <c r="K530" s="30"/>
      <c r="L530" s="30"/>
      <c r="M530" s="30"/>
      <c r="N530" s="30"/>
      <c r="O530" s="54">
        <f t="shared" ref="O530:O581" si="64">IF($F530=$Q$41,$I530,0)</f>
        <v>0</v>
      </c>
      <c r="P530" s="1069">
        <f t="shared" ref="P530:P562" si="65">IF($F530=$Q$42,$I530,0)</f>
        <v>0</v>
      </c>
      <c r="Q530" s="811">
        <f t="shared" ref="Q530:Q561" si="66">IF($F530=$Q$43,$I530,0)</f>
        <v>0</v>
      </c>
    </row>
    <row r="531" spans="1:17" x14ac:dyDescent="0.2">
      <c r="A531" s="30"/>
      <c r="B531" s="162"/>
      <c r="C531" s="259"/>
      <c r="D531" s="267"/>
      <c r="E531" s="35"/>
      <c r="F531" s="151"/>
      <c r="G531" s="263">
        <f t="shared" ref="G531:G581" si="67">ABS(C531-B531)</f>
        <v>0</v>
      </c>
      <c r="H531" s="65"/>
      <c r="I531" s="275">
        <f t="shared" si="63"/>
        <v>0</v>
      </c>
      <c r="J531" s="161"/>
      <c r="K531" s="30"/>
      <c r="L531" s="30"/>
      <c r="M531" s="30"/>
      <c r="N531" s="30"/>
      <c r="O531" s="71">
        <f t="shared" si="64"/>
        <v>0</v>
      </c>
      <c r="P531" s="1070">
        <f t="shared" si="65"/>
        <v>0</v>
      </c>
      <c r="Q531" s="1071">
        <f t="shared" si="66"/>
        <v>0</v>
      </c>
    </row>
    <row r="532" spans="1:17" x14ac:dyDescent="0.2">
      <c r="A532" s="30"/>
      <c r="B532" s="162"/>
      <c r="C532" s="259"/>
      <c r="D532" s="267"/>
      <c r="E532" s="35"/>
      <c r="F532" s="151"/>
      <c r="G532" s="263">
        <f t="shared" si="67"/>
        <v>0</v>
      </c>
      <c r="H532" s="65"/>
      <c r="I532" s="275">
        <f t="shared" si="63"/>
        <v>0</v>
      </c>
      <c r="J532" s="161"/>
      <c r="K532" s="30"/>
      <c r="L532" s="30"/>
      <c r="M532" s="30"/>
      <c r="N532" s="30"/>
      <c r="O532" s="71">
        <f t="shared" si="64"/>
        <v>0</v>
      </c>
      <c r="P532" s="1070">
        <f t="shared" si="65"/>
        <v>0</v>
      </c>
      <c r="Q532" s="1071">
        <f t="shared" si="66"/>
        <v>0</v>
      </c>
    </row>
    <row r="533" spans="1:17" x14ac:dyDescent="0.2">
      <c r="A533" s="30"/>
      <c r="B533" s="162"/>
      <c r="C533" s="259"/>
      <c r="D533" s="267"/>
      <c r="E533" s="35"/>
      <c r="F533" s="151"/>
      <c r="G533" s="263">
        <f t="shared" si="67"/>
        <v>0</v>
      </c>
      <c r="H533" s="65"/>
      <c r="I533" s="275">
        <f t="shared" si="63"/>
        <v>0</v>
      </c>
      <c r="J533" s="161"/>
      <c r="K533" s="30"/>
      <c r="L533" s="30"/>
      <c r="M533" s="30"/>
      <c r="N533" s="30"/>
      <c r="O533" s="71">
        <f t="shared" si="64"/>
        <v>0</v>
      </c>
      <c r="P533" s="1070">
        <f t="shared" si="65"/>
        <v>0</v>
      </c>
      <c r="Q533" s="1071">
        <f t="shared" si="66"/>
        <v>0</v>
      </c>
    </row>
    <row r="534" spans="1:17" x14ac:dyDescent="0.2">
      <c r="A534" s="30"/>
      <c r="B534" s="162"/>
      <c r="C534" s="259"/>
      <c r="D534" s="267"/>
      <c r="E534" s="35"/>
      <c r="F534" s="151"/>
      <c r="G534" s="263">
        <f t="shared" si="67"/>
        <v>0</v>
      </c>
      <c r="H534" s="65"/>
      <c r="I534" s="275">
        <f t="shared" si="63"/>
        <v>0</v>
      </c>
      <c r="J534" s="161"/>
      <c r="K534" s="30"/>
      <c r="L534" s="30"/>
      <c r="M534" s="30"/>
      <c r="N534" s="30"/>
      <c r="O534" s="71">
        <f t="shared" si="64"/>
        <v>0</v>
      </c>
      <c r="P534" s="1070">
        <f t="shared" si="65"/>
        <v>0</v>
      </c>
      <c r="Q534" s="1071">
        <f t="shared" si="66"/>
        <v>0</v>
      </c>
    </row>
    <row r="535" spans="1:17" x14ac:dyDescent="0.2">
      <c r="A535" s="30"/>
      <c r="B535" s="162"/>
      <c r="C535" s="259"/>
      <c r="D535" s="267"/>
      <c r="E535" s="35"/>
      <c r="F535" s="151"/>
      <c r="G535" s="263">
        <f t="shared" si="67"/>
        <v>0</v>
      </c>
      <c r="H535" s="65"/>
      <c r="I535" s="275">
        <f t="shared" si="63"/>
        <v>0</v>
      </c>
      <c r="J535" s="161"/>
      <c r="K535" s="30"/>
      <c r="L535" s="30"/>
      <c r="M535" s="30"/>
      <c r="N535" s="30"/>
      <c r="O535" s="71">
        <f t="shared" si="64"/>
        <v>0</v>
      </c>
      <c r="P535" s="1070">
        <f t="shared" si="65"/>
        <v>0</v>
      </c>
      <c r="Q535" s="1071">
        <f t="shared" si="66"/>
        <v>0</v>
      </c>
    </row>
    <row r="536" spans="1:17" x14ac:dyDescent="0.2">
      <c r="A536" s="30"/>
      <c r="B536" s="162"/>
      <c r="C536" s="259"/>
      <c r="D536" s="267"/>
      <c r="E536" s="35"/>
      <c r="F536" s="151"/>
      <c r="G536" s="263">
        <f t="shared" si="67"/>
        <v>0</v>
      </c>
      <c r="H536" s="65"/>
      <c r="I536" s="275">
        <f t="shared" si="63"/>
        <v>0</v>
      </c>
      <c r="J536" s="161"/>
      <c r="K536" s="30"/>
      <c r="L536" s="30"/>
      <c r="M536" s="30"/>
      <c r="N536" s="30"/>
      <c r="O536" s="71">
        <f t="shared" si="64"/>
        <v>0</v>
      </c>
      <c r="P536" s="1070">
        <f t="shared" si="65"/>
        <v>0</v>
      </c>
      <c r="Q536" s="1071">
        <f t="shared" si="66"/>
        <v>0</v>
      </c>
    </row>
    <row r="537" spans="1:17" x14ac:dyDescent="0.2">
      <c r="A537" s="30"/>
      <c r="B537" s="162"/>
      <c r="C537" s="259"/>
      <c r="D537" s="267"/>
      <c r="E537" s="35"/>
      <c r="F537" s="151"/>
      <c r="G537" s="263">
        <f t="shared" si="67"/>
        <v>0</v>
      </c>
      <c r="H537" s="65"/>
      <c r="I537" s="275">
        <f t="shared" si="63"/>
        <v>0</v>
      </c>
      <c r="J537" s="161"/>
      <c r="K537" s="30"/>
      <c r="L537" s="30"/>
      <c r="M537" s="30"/>
      <c r="N537" s="30"/>
      <c r="O537" s="71">
        <f t="shared" si="64"/>
        <v>0</v>
      </c>
      <c r="P537" s="1070">
        <f t="shared" si="65"/>
        <v>0</v>
      </c>
      <c r="Q537" s="1071">
        <f t="shared" si="66"/>
        <v>0</v>
      </c>
    </row>
    <row r="538" spans="1:17" x14ac:dyDescent="0.2">
      <c r="A538" s="30"/>
      <c r="B538" s="162"/>
      <c r="C538" s="259"/>
      <c r="D538" s="267"/>
      <c r="E538" s="35"/>
      <c r="F538" s="151"/>
      <c r="G538" s="263">
        <f t="shared" si="67"/>
        <v>0</v>
      </c>
      <c r="H538" s="65"/>
      <c r="I538" s="275">
        <f t="shared" si="63"/>
        <v>0</v>
      </c>
      <c r="J538" s="161"/>
      <c r="K538" s="30"/>
      <c r="L538" s="30"/>
      <c r="M538" s="30"/>
      <c r="N538" s="30"/>
      <c r="O538" s="71">
        <f t="shared" si="64"/>
        <v>0</v>
      </c>
      <c r="P538" s="1070">
        <f t="shared" si="65"/>
        <v>0</v>
      </c>
      <c r="Q538" s="1071">
        <f t="shared" si="66"/>
        <v>0</v>
      </c>
    </row>
    <row r="539" spans="1:17" x14ac:dyDescent="0.2">
      <c r="A539" s="30"/>
      <c r="B539" s="162"/>
      <c r="C539" s="259"/>
      <c r="D539" s="267"/>
      <c r="E539" s="35"/>
      <c r="F539" s="151"/>
      <c r="G539" s="263">
        <f t="shared" si="67"/>
        <v>0</v>
      </c>
      <c r="H539" s="65"/>
      <c r="I539" s="275">
        <f t="shared" si="63"/>
        <v>0</v>
      </c>
      <c r="J539" s="161"/>
      <c r="K539" s="30"/>
      <c r="L539" s="30"/>
      <c r="M539" s="30"/>
      <c r="N539" s="30"/>
      <c r="O539" s="71">
        <f t="shared" si="64"/>
        <v>0</v>
      </c>
      <c r="P539" s="1070">
        <f t="shared" si="65"/>
        <v>0</v>
      </c>
      <c r="Q539" s="1071">
        <f t="shared" si="66"/>
        <v>0</v>
      </c>
    </row>
    <row r="540" spans="1:17" x14ac:dyDescent="0.2">
      <c r="A540" s="30"/>
      <c r="B540" s="162"/>
      <c r="C540" s="259"/>
      <c r="D540" s="267"/>
      <c r="E540" s="35"/>
      <c r="F540" s="151"/>
      <c r="G540" s="263">
        <f t="shared" si="67"/>
        <v>0</v>
      </c>
      <c r="H540" s="65"/>
      <c r="I540" s="275">
        <f t="shared" si="63"/>
        <v>0</v>
      </c>
      <c r="J540" s="161"/>
      <c r="K540" s="30"/>
      <c r="L540" s="30"/>
      <c r="M540" s="30"/>
      <c r="N540" s="30"/>
      <c r="O540" s="71">
        <f t="shared" si="64"/>
        <v>0</v>
      </c>
      <c r="P540" s="1070">
        <f t="shared" si="65"/>
        <v>0</v>
      </c>
      <c r="Q540" s="1071">
        <f t="shared" si="66"/>
        <v>0</v>
      </c>
    </row>
    <row r="541" spans="1:17" x14ac:dyDescent="0.2">
      <c r="A541" s="30"/>
      <c r="B541" s="162"/>
      <c r="C541" s="259"/>
      <c r="D541" s="267"/>
      <c r="E541" s="35"/>
      <c r="F541" s="151"/>
      <c r="G541" s="263">
        <f t="shared" si="67"/>
        <v>0</v>
      </c>
      <c r="H541" s="65"/>
      <c r="I541" s="275">
        <f t="shared" si="63"/>
        <v>0</v>
      </c>
      <c r="J541" s="161"/>
      <c r="K541" s="30"/>
      <c r="L541" s="30"/>
      <c r="M541" s="30"/>
      <c r="N541" s="30"/>
      <c r="O541" s="71">
        <f t="shared" si="64"/>
        <v>0</v>
      </c>
      <c r="P541" s="1070">
        <f t="shared" si="65"/>
        <v>0</v>
      </c>
      <c r="Q541" s="1071">
        <f t="shared" si="66"/>
        <v>0</v>
      </c>
    </row>
    <row r="542" spans="1:17" x14ac:dyDescent="0.2">
      <c r="A542" s="30"/>
      <c r="B542" s="162"/>
      <c r="C542" s="259"/>
      <c r="D542" s="267"/>
      <c r="E542" s="35"/>
      <c r="F542" s="151"/>
      <c r="G542" s="263">
        <f t="shared" si="67"/>
        <v>0</v>
      </c>
      <c r="H542" s="65"/>
      <c r="I542" s="275">
        <f t="shared" si="63"/>
        <v>0</v>
      </c>
      <c r="J542" s="161"/>
      <c r="K542" s="30"/>
      <c r="L542" s="30"/>
      <c r="M542" s="30"/>
      <c r="N542" s="30"/>
      <c r="O542" s="71">
        <f t="shared" si="64"/>
        <v>0</v>
      </c>
      <c r="P542" s="1070">
        <f t="shared" si="65"/>
        <v>0</v>
      </c>
      <c r="Q542" s="1071">
        <f t="shared" si="66"/>
        <v>0</v>
      </c>
    </row>
    <row r="543" spans="1:17" x14ac:dyDescent="0.2">
      <c r="A543" s="30"/>
      <c r="B543" s="162"/>
      <c r="C543" s="259"/>
      <c r="D543" s="267"/>
      <c r="E543" s="35"/>
      <c r="F543" s="151"/>
      <c r="G543" s="263">
        <f t="shared" si="67"/>
        <v>0</v>
      </c>
      <c r="H543" s="65"/>
      <c r="I543" s="275">
        <f t="shared" si="63"/>
        <v>0</v>
      </c>
      <c r="J543" s="161"/>
      <c r="K543" s="30"/>
      <c r="L543" s="30"/>
      <c r="M543" s="30"/>
      <c r="N543" s="30"/>
      <c r="O543" s="71">
        <f t="shared" si="64"/>
        <v>0</v>
      </c>
      <c r="P543" s="1070">
        <f t="shared" si="65"/>
        <v>0</v>
      </c>
      <c r="Q543" s="1071">
        <f t="shared" si="66"/>
        <v>0</v>
      </c>
    </row>
    <row r="544" spans="1:17" x14ac:dyDescent="0.2">
      <c r="A544" s="30"/>
      <c r="B544" s="162"/>
      <c r="C544" s="259"/>
      <c r="D544" s="267"/>
      <c r="E544" s="35"/>
      <c r="F544" s="151"/>
      <c r="G544" s="263">
        <f t="shared" si="67"/>
        <v>0</v>
      </c>
      <c r="H544" s="65"/>
      <c r="I544" s="275">
        <f t="shared" si="63"/>
        <v>0</v>
      </c>
      <c r="J544" s="161"/>
      <c r="K544" s="30"/>
      <c r="L544" s="30"/>
      <c r="M544" s="30"/>
      <c r="N544" s="30"/>
      <c r="O544" s="71">
        <f t="shared" si="64"/>
        <v>0</v>
      </c>
      <c r="P544" s="1070">
        <f t="shared" si="65"/>
        <v>0</v>
      </c>
      <c r="Q544" s="1071">
        <f t="shared" si="66"/>
        <v>0</v>
      </c>
    </row>
    <row r="545" spans="1:17" x14ac:dyDescent="0.2">
      <c r="A545" s="30"/>
      <c r="B545" s="162"/>
      <c r="C545" s="259"/>
      <c r="D545" s="267"/>
      <c r="E545" s="35"/>
      <c r="F545" s="151"/>
      <c r="G545" s="263">
        <f t="shared" si="67"/>
        <v>0</v>
      </c>
      <c r="H545" s="65"/>
      <c r="I545" s="275">
        <f t="shared" si="63"/>
        <v>0</v>
      </c>
      <c r="J545" s="161"/>
      <c r="K545" s="30"/>
      <c r="L545" s="30"/>
      <c r="M545" s="30"/>
      <c r="N545" s="30"/>
      <c r="O545" s="71">
        <f t="shared" si="64"/>
        <v>0</v>
      </c>
      <c r="P545" s="1070">
        <f t="shared" si="65"/>
        <v>0</v>
      </c>
      <c r="Q545" s="1071">
        <f t="shared" si="66"/>
        <v>0</v>
      </c>
    </row>
    <row r="546" spans="1:17" x14ac:dyDescent="0.2">
      <c r="A546" s="30"/>
      <c r="B546" s="162"/>
      <c r="C546" s="259"/>
      <c r="D546" s="267"/>
      <c r="E546" s="35"/>
      <c r="F546" s="151"/>
      <c r="G546" s="263">
        <f t="shared" si="67"/>
        <v>0</v>
      </c>
      <c r="H546" s="65"/>
      <c r="I546" s="275">
        <f t="shared" si="63"/>
        <v>0</v>
      </c>
      <c r="J546" s="161"/>
      <c r="K546" s="30"/>
      <c r="L546" s="30"/>
      <c r="M546" s="30"/>
      <c r="N546" s="30"/>
      <c r="O546" s="71">
        <f t="shared" si="64"/>
        <v>0</v>
      </c>
      <c r="P546" s="1070">
        <f t="shared" si="65"/>
        <v>0</v>
      </c>
      <c r="Q546" s="1071">
        <f t="shared" si="66"/>
        <v>0</v>
      </c>
    </row>
    <row r="547" spans="1:17" x14ac:dyDescent="0.2">
      <c r="A547" s="30"/>
      <c r="B547" s="162"/>
      <c r="C547" s="259"/>
      <c r="D547" s="267"/>
      <c r="E547" s="35"/>
      <c r="F547" s="151"/>
      <c r="G547" s="263">
        <f t="shared" si="67"/>
        <v>0</v>
      </c>
      <c r="H547" s="65"/>
      <c r="I547" s="275">
        <f t="shared" si="63"/>
        <v>0</v>
      </c>
      <c r="J547" s="161"/>
      <c r="K547" s="30"/>
      <c r="L547" s="30"/>
      <c r="M547" s="30"/>
      <c r="N547" s="30"/>
      <c r="O547" s="71">
        <f t="shared" si="64"/>
        <v>0</v>
      </c>
      <c r="P547" s="1070">
        <f t="shared" si="65"/>
        <v>0</v>
      </c>
      <c r="Q547" s="1071">
        <f t="shared" si="66"/>
        <v>0</v>
      </c>
    </row>
    <row r="548" spans="1:17" x14ac:dyDescent="0.2">
      <c r="A548" s="30"/>
      <c r="B548" s="162"/>
      <c r="C548" s="259"/>
      <c r="D548" s="267"/>
      <c r="E548" s="35"/>
      <c r="F548" s="151"/>
      <c r="G548" s="263">
        <f t="shared" si="67"/>
        <v>0</v>
      </c>
      <c r="H548" s="65"/>
      <c r="I548" s="275">
        <f t="shared" si="63"/>
        <v>0</v>
      </c>
      <c r="J548" s="161"/>
      <c r="K548" s="30"/>
      <c r="L548" s="30"/>
      <c r="M548" s="30"/>
      <c r="N548" s="30"/>
      <c r="O548" s="71">
        <f t="shared" si="64"/>
        <v>0</v>
      </c>
      <c r="P548" s="1070">
        <f t="shared" si="65"/>
        <v>0</v>
      </c>
      <c r="Q548" s="1071">
        <f t="shared" si="66"/>
        <v>0</v>
      </c>
    </row>
    <row r="549" spans="1:17" x14ac:dyDescent="0.2">
      <c r="A549" s="30"/>
      <c r="B549" s="162"/>
      <c r="C549" s="259"/>
      <c r="D549" s="267"/>
      <c r="E549" s="35"/>
      <c r="F549" s="151"/>
      <c r="G549" s="263">
        <f t="shared" si="67"/>
        <v>0</v>
      </c>
      <c r="H549" s="65"/>
      <c r="I549" s="275">
        <f t="shared" si="63"/>
        <v>0</v>
      </c>
      <c r="J549" s="161"/>
      <c r="K549" s="30"/>
      <c r="L549" s="30"/>
      <c r="M549" s="30"/>
      <c r="N549" s="30"/>
      <c r="O549" s="71">
        <f t="shared" si="64"/>
        <v>0</v>
      </c>
      <c r="P549" s="1070">
        <f t="shared" si="65"/>
        <v>0</v>
      </c>
      <c r="Q549" s="1071">
        <f t="shared" si="66"/>
        <v>0</v>
      </c>
    </row>
    <row r="550" spans="1:17" x14ac:dyDescent="0.2">
      <c r="A550" s="30"/>
      <c r="B550" s="162"/>
      <c r="C550" s="259"/>
      <c r="D550" s="267"/>
      <c r="E550" s="35"/>
      <c r="F550" s="151"/>
      <c r="G550" s="263">
        <f t="shared" si="67"/>
        <v>0</v>
      </c>
      <c r="H550" s="65"/>
      <c r="I550" s="275">
        <f t="shared" si="63"/>
        <v>0</v>
      </c>
      <c r="J550" s="161"/>
      <c r="K550" s="30"/>
      <c r="L550" s="30"/>
      <c r="M550" s="30"/>
      <c r="N550" s="30"/>
      <c r="O550" s="71">
        <f t="shared" si="64"/>
        <v>0</v>
      </c>
      <c r="P550" s="1070">
        <f t="shared" si="65"/>
        <v>0</v>
      </c>
      <c r="Q550" s="1071">
        <f t="shared" si="66"/>
        <v>0</v>
      </c>
    </row>
    <row r="551" spans="1:17" x14ac:dyDescent="0.2">
      <c r="A551" s="30"/>
      <c r="B551" s="162"/>
      <c r="C551" s="259"/>
      <c r="D551" s="267"/>
      <c r="E551" s="35"/>
      <c r="F551" s="151"/>
      <c r="G551" s="263">
        <f t="shared" si="67"/>
        <v>0</v>
      </c>
      <c r="H551" s="65"/>
      <c r="I551" s="275">
        <f t="shared" si="63"/>
        <v>0</v>
      </c>
      <c r="J551" s="161"/>
      <c r="K551" s="30"/>
      <c r="L551" s="30"/>
      <c r="M551" s="30"/>
      <c r="N551" s="30"/>
      <c r="O551" s="71">
        <f t="shared" si="64"/>
        <v>0</v>
      </c>
      <c r="P551" s="1070">
        <f t="shared" si="65"/>
        <v>0</v>
      </c>
      <c r="Q551" s="1071">
        <f t="shared" si="66"/>
        <v>0</v>
      </c>
    </row>
    <row r="552" spans="1:17" x14ac:dyDescent="0.2">
      <c r="A552" s="30"/>
      <c r="B552" s="162"/>
      <c r="C552" s="259"/>
      <c r="D552" s="267"/>
      <c r="E552" s="35"/>
      <c r="F552" s="151"/>
      <c r="G552" s="263">
        <f t="shared" si="67"/>
        <v>0</v>
      </c>
      <c r="H552" s="65"/>
      <c r="I552" s="275">
        <f t="shared" si="63"/>
        <v>0</v>
      </c>
      <c r="J552" s="161"/>
      <c r="K552" s="30"/>
      <c r="L552" s="30"/>
      <c r="M552" s="30"/>
      <c r="N552" s="30"/>
      <c r="O552" s="71">
        <f t="shared" si="64"/>
        <v>0</v>
      </c>
      <c r="P552" s="1070">
        <f t="shared" si="65"/>
        <v>0</v>
      </c>
      <c r="Q552" s="1071">
        <f t="shared" si="66"/>
        <v>0</v>
      </c>
    </row>
    <row r="553" spans="1:17" x14ac:dyDescent="0.2">
      <c r="A553" s="30"/>
      <c r="B553" s="162"/>
      <c r="C553" s="259"/>
      <c r="D553" s="267"/>
      <c r="E553" s="35"/>
      <c r="F553" s="151"/>
      <c r="G553" s="263">
        <f t="shared" si="67"/>
        <v>0</v>
      </c>
      <c r="H553" s="65"/>
      <c r="I553" s="275">
        <f t="shared" si="63"/>
        <v>0</v>
      </c>
      <c r="J553" s="161"/>
      <c r="K553" s="30"/>
      <c r="L553" s="30"/>
      <c r="M553" s="30"/>
      <c r="N553" s="30"/>
      <c r="O553" s="71">
        <f t="shared" si="64"/>
        <v>0</v>
      </c>
      <c r="P553" s="1070">
        <f t="shared" si="65"/>
        <v>0</v>
      </c>
      <c r="Q553" s="1071">
        <f t="shared" si="66"/>
        <v>0</v>
      </c>
    </row>
    <row r="554" spans="1:17" x14ac:dyDescent="0.2">
      <c r="A554" s="30"/>
      <c r="B554" s="162"/>
      <c r="C554" s="259"/>
      <c r="D554" s="267"/>
      <c r="E554" s="35"/>
      <c r="F554" s="151"/>
      <c r="G554" s="263">
        <f t="shared" si="67"/>
        <v>0</v>
      </c>
      <c r="H554" s="65"/>
      <c r="I554" s="275">
        <f t="shared" si="63"/>
        <v>0</v>
      </c>
      <c r="J554" s="161"/>
      <c r="K554" s="30"/>
      <c r="L554" s="30"/>
      <c r="M554" s="30"/>
      <c r="N554" s="30"/>
      <c r="O554" s="71">
        <f t="shared" si="64"/>
        <v>0</v>
      </c>
      <c r="P554" s="1070">
        <f t="shared" si="65"/>
        <v>0</v>
      </c>
      <c r="Q554" s="1071">
        <f t="shared" si="66"/>
        <v>0</v>
      </c>
    </row>
    <row r="555" spans="1:17" x14ac:dyDescent="0.2">
      <c r="A555" s="30"/>
      <c r="B555" s="162"/>
      <c r="C555" s="259"/>
      <c r="D555" s="267"/>
      <c r="E555" s="35"/>
      <c r="F555" s="151"/>
      <c r="G555" s="263">
        <f t="shared" si="67"/>
        <v>0</v>
      </c>
      <c r="H555" s="65"/>
      <c r="I555" s="275">
        <f t="shared" si="63"/>
        <v>0</v>
      </c>
      <c r="J555" s="161"/>
      <c r="K555" s="30"/>
      <c r="L555" s="30"/>
      <c r="M555" s="30"/>
      <c r="N555" s="30"/>
      <c r="O555" s="71">
        <f t="shared" si="64"/>
        <v>0</v>
      </c>
      <c r="P555" s="1070">
        <f t="shared" si="65"/>
        <v>0</v>
      </c>
      <c r="Q555" s="1071">
        <f t="shared" si="66"/>
        <v>0</v>
      </c>
    </row>
    <row r="556" spans="1:17" x14ac:dyDescent="0.2">
      <c r="A556" s="30"/>
      <c r="B556" s="162"/>
      <c r="C556" s="259"/>
      <c r="D556" s="267"/>
      <c r="E556" s="35"/>
      <c r="F556" s="151"/>
      <c r="G556" s="263">
        <f t="shared" si="67"/>
        <v>0</v>
      </c>
      <c r="H556" s="65"/>
      <c r="I556" s="275">
        <f t="shared" si="63"/>
        <v>0</v>
      </c>
      <c r="J556" s="161"/>
      <c r="K556" s="30"/>
      <c r="L556" s="30"/>
      <c r="M556" s="30"/>
      <c r="N556" s="30"/>
      <c r="O556" s="71">
        <f t="shared" si="64"/>
        <v>0</v>
      </c>
      <c r="P556" s="1070">
        <f t="shared" si="65"/>
        <v>0</v>
      </c>
      <c r="Q556" s="1071">
        <f t="shared" si="66"/>
        <v>0</v>
      </c>
    </row>
    <row r="557" spans="1:17" x14ac:dyDescent="0.2">
      <c r="A557" s="30"/>
      <c r="B557" s="162"/>
      <c r="C557" s="259"/>
      <c r="D557" s="267"/>
      <c r="E557" s="35"/>
      <c r="F557" s="151"/>
      <c r="G557" s="263">
        <f t="shared" si="67"/>
        <v>0</v>
      </c>
      <c r="H557" s="65"/>
      <c r="I557" s="275">
        <f t="shared" si="63"/>
        <v>0</v>
      </c>
      <c r="J557" s="161"/>
      <c r="K557" s="30"/>
      <c r="L557" s="30"/>
      <c r="M557" s="30"/>
      <c r="N557" s="30"/>
      <c r="O557" s="71">
        <f t="shared" si="64"/>
        <v>0</v>
      </c>
      <c r="P557" s="1070">
        <f t="shared" si="65"/>
        <v>0</v>
      </c>
      <c r="Q557" s="1071">
        <f t="shared" si="66"/>
        <v>0</v>
      </c>
    </row>
    <row r="558" spans="1:17" x14ac:dyDescent="0.2">
      <c r="A558" s="30"/>
      <c r="B558" s="162"/>
      <c r="C558" s="259"/>
      <c r="D558" s="267"/>
      <c r="E558" s="35"/>
      <c r="F558" s="151"/>
      <c r="G558" s="263">
        <f t="shared" si="67"/>
        <v>0</v>
      </c>
      <c r="H558" s="65"/>
      <c r="I558" s="275">
        <f t="shared" si="63"/>
        <v>0</v>
      </c>
      <c r="J558" s="161"/>
      <c r="K558" s="30"/>
      <c r="L558" s="30"/>
      <c r="M558" s="30"/>
      <c r="N558" s="30"/>
      <c r="O558" s="71">
        <f t="shared" si="64"/>
        <v>0</v>
      </c>
      <c r="P558" s="1070">
        <f t="shared" si="65"/>
        <v>0</v>
      </c>
      <c r="Q558" s="1071">
        <f t="shared" si="66"/>
        <v>0</v>
      </c>
    </row>
    <row r="559" spans="1:17" x14ac:dyDescent="0.2">
      <c r="A559" s="30"/>
      <c r="B559" s="162"/>
      <c r="C559" s="259"/>
      <c r="D559" s="267"/>
      <c r="E559" s="35"/>
      <c r="F559" s="151"/>
      <c r="G559" s="263">
        <f t="shared" si="67"/>
        <v>0</v>
      </c>
      <c r="H559" s="65"/>
      <c r="I559" s="275">
        <f t="shared" si="63"/>
        <v>0</v>
      </c>
      <c r="J559" s="161"/>
      <c r="K559" s="30"/>
      <c r="L559" s="30"/>
      <c r="M559" s="30"/>
      <c r="N559" s="30"/>
      <c r="O559" s="71">
        <f t="shared" si="64"/>
        <v>0</v>
      </c>
      <c r="P559" s="1070">
        <f t="shared" si="65"/>
        <v>0</v>
      </c>
      <c r="Q559" s="1071">
        <f t="shared" si="66"/>
        <v>0</v>
      </c>
    </row>
    <row r="560" spans="1:17" x14ac:dyDescent="0.2">
      <c r="A560" s="30"/>
      <c r="B560" s="162"/>
      <c r="C560" s="259"/>
      <c r="D560" s="267"/>
      <c r="E560" s="35"/>
      <c r="F560" s="151"/>
      <c r="G560" s="263">
        <f t="shared" si="67"/>
        <v>0</v>
      </c>
      <c r="H560" s="65"/>
      <c r="I560" s="275">
        <f t="shared" si="63"/>
        <v>0</v>
      </c>
      <c r="J560" s="161"/>
      <c r="K560" s="30"/>
      <c r="L560" s="30"/>
      <c r="M560" s="30"/>
      <c r="N560" s="30"/>
      <c r="O560" s="71">
        <f t="shared" si="64"/>
        <v>0</v>
      </c>
      <c r="P560" s="1070">
        <f t="shared" si="65"/>
        <v>0</v>
      </c>
      <c r="Q560" s="1071">
        <f t="shared" si="66"/>
        <v>0</v>
      </c>
    </row>
    <row r="561" spans="1:17" x14ac:dyDescent="0.2">
      <c r="A561" s="30"/>
      <c r="B561" s="162"/>
      <c r="C561" s="259"/>
      <c r="D561" s="267"/>
      <c r="E561" s="35"/>
      <c r="F561" s="151"/>
      <c r="G561" s="263">
        <f t="shared" si="67"/>
        <v>0</v>
      </c>
      <c r="H561" s="65"/>
      <c r="I561" s="275">
        <f t="shared" si="63"/>
        <v>0</v>
      </c>
      <c r="J561" s="161"/>
      <c r="K561" s="30"/>
      <c r="L561" s="30"/>
      <c r="M561" s="30"/>
      <c r="N561" s="30"/>
      <c r="O561" s="71">
        <f t="shared" si="64"/>
        <v>0</v>
      </c>
      <c r="P561" s="1070">
        <f t="shared" si="65"/>
        <v>0</v>
      </c>
      <c r="Q561" s="1071">
        <f t="shared" si="66"/>
        <v>0</v>
      </c>
    </row>
    <row r="562" spans="1:17" x14ac:dyDescent="0.2">
      <c r="A562" s="30"/>
      <c r="B562" s="162"/>
      <c r="C562" s="259"/>
      <c r="D562" s="267"/>
      <c r="E562" s="35"/>
      <c r="F562" s="151"/>
      <c r="G562" s="263">
        <f t="shared" si="67"/>
        <v>0</v>
      </c>
      <c r="H562" s="65"/>
      <c r="I562" s="275">
        <f t="shared" si="63"/>
        <v>0</v>
      </c>
      <c r="J562" s="161"/>
      <c r="K562" s="30"/>
      <c r="L562" s="30"/>
      <c r="M562" s="30"/>
      <c r="N562" s="30"/>
      <c r="O562" s="71">
        <f t="shared" si="64"/>
        <v>0</v>
      </c>
      <c r="P562" s="1070">
        <f t="shared" si="65"/>
        <v>0</v>
      </c>
      <c r="Q562" s="1071">
        <f t="shared" ref="Q562:Q581" si="68">IF($F562=$Q$43,$I562,0)</f>
        <v>0</v>
      </c>
    </row>
    <row r="563" spans="1:17" x14ac:dyDescent="0.2">
      <c r="A563" s="30"/>
      <c r="B563" s="162"/>
      <c r="C563" s="259"/>
      <c r="D563" s="267"/>
      <c r="E563" s="35"/>
      <c r="F563" s="151"/>
      <c r="G563" s="263">
        <f t="shared" si="67"/>
        <v>0</v>
      </c>
      <c r="H563" s="65"/>
      <c r="I563" s="275">
        <f t="shared" si="63"/>
        <v>0</v>
      </c>
      <c r="J563" s="161"/>
      <c r="K563" s="30"/>
      <c r="L563" s="30"/>
      <c r="M563" s="30"/>
      <c r="N563" s="30"/>
      <c r="O563" s="71">
        <f t="shared" si="64"/>
        <v>0</v>
      </c>
      <c r="P563" s="1070">
        <f t="shared" ref="P563:P581" si="69">IF($F563=$Q$42,$I563,0)</f>
        <v>0</v>
      </c>
      <c r="Q563" s="1071">
        <f t="shared" si="68"/>
        <v>0</v>
      </c>
    </row>
    <row r="564" spans="1:17" x14ac:dyDescent="0.2">
      <c r="A564" s="30"/>
      <c r="B564" s="162"/>
      <c r="C564" s="259"/>
      <c r="D564" s="267"/>
      <c r="E564" s="35"/>
      <c r="F564" s="151"/>
      <c r="G564" s="263">
        <f t="shared" si="67"/>
        <v>0</v>
      </c>
      <c r="H564" s="65"/>
      <c r="I564" s="275">
        <f t="shared" si="63"/>
        <v>0</v>
      </c>
      <c r="J564" s="161"/>
      <c r="K564" s="30"/>
      <c r="L564" s="30"/>
      <c r="M564" s="30"/>
      <c r="N564" s="30"/>
      <c r="O564" s="71">
        <f t="shared" si="64"/>
        <v>0</v>
      </c>
      <c r="P564" s="1070">
        <f t="shared" si="69"/>
        <v>0</v>
      </c>
      <c r="Q564" s="1071">
        <f t="shared" si="68"/>
        <v>0</v>
      </c>
    </row>
    <row r="565" spans="1:17" x14ac:dyDescent="0.2">
      <c r="A565" s="30"/>
      <c r="B565" s="162"/>
      <c r="C565" s="259"/>
      <c r="D565" s="267"/>
      <c r="E565" s="35"/>
      <c r="F565" s="151"/>
      <c r="G565" s="263">
        <f t="shared" si="67"/>
        <v>0</v>
      </c>
      <c r="H565" s="65"/>
      <c r="I565" s="275">
        <f t="shared" si="63"/>
        <v>0</v>
      </c>
      <c r="J565" s="161"/>
      <c r="K565" s="30"/>
      <c r="L565" s="30"/>
      <c r="M565" s="30"/>
      <c r="N565" s="30"/>
      <c r="O565" s="71">
        <f t="shared" si="64"/>
        <v>0</v>
      </c>
      <c r="P565" s="1070">
        <f t="shared" si="69"/>
        <v>0</v>
      </c>
      <c r="Q565" s="1071">
        <f t="shared" si="68"/>
        <v>0</v>
      </c>
    </row>
    <row r="566" spans="1:17" x14ac:dyDescent="0.2">
      <c r="A566" s="30"/>
      <c r="B566" s="162"/>
      <c r="C566" s="259"/>
      <c r="D566" s="267"/>
      <c r="E566" s="35"/>
      <c r="F566" s="151"/>
      <c r="G566" s="263">
        <f t="shared" si="67"/>
        <v>0</v>
      </c>
      <c r="H566" s="65"/>
      <c r="I566" s="275">
        <f t="shared" si="63"/>
        <v>0</v>
      </c>
      <c r="J566" s="161"/>
      <c r="K566" s="30"/>
      <c r="L566" s="30"/>
      <c r="M566" s="30"/>
      <c r="N566" s="30"/>
      <c r="O566" s="71">
        <f t="shared" si="64"/>
        <v>0</v>
      </c>
      <c r="P566" s="1070">
        <f t="shared" si="69"/>
        <v>0</v>
      </c>
      <c r="Q566" s="1071">
        <f t="shared" si="68"/>
        <v>0</v>
      </c>
    </row>
    <row r="567" spans="1:17" x14ac:dyDescent="0.2">
      <c r="A567" s="30"/>
      <c r="B567" s="162"/>
      <c r="C567" s="259"/>
      <c r="D567" s="267"/>
      <c r="E567" s="35"/>
      <c r="F567" s="151"/>
      <c r="G567" s="263">
        <f t="shared" si="67"/>
        <v>0</v>
      </c>
      <c r="H567" s="65"/>
      <c r="I567" s="275">
        <f t="shared" si="63"/>
        <v>0</v>
      </c>
      <c r="J567" s="161"/>
      <c r="K567" s="30"/>
      <c r="L567" s="30"/>
      <c r="M567" s="30"/>
      <c r="N567" s="30"/>
      <c r="O567" s="71">
        <f t="shared" si="64"/>
        <v>0</v>
      </c>
      <c r="P567" s="1070">
        <f t="shared" si="69"/>
        <v>0</v>
      </c>
      <c r="Q567" s="1071">
        <f t="shared" si="68"/>
        <v>0</v>
      </c>
    </row>
    <row r="568" spans="1:17" x14ac:dyDescent="0.2">
      <c r="A568" s="30"/>
      <c r="B568" s="162"/>
      <c r="C568" s="259"/>
      <c r="D568" s="267"/>
      <c r="E568" s="35"/>
      <c r="F568" s="151"/>
      <c r="G568" s="263">
        <f t="shared" si="67"/>
        <v>0</v>
      </c>
      <c r="H568" s="65"/>
      <c r="I568" s="275">
        <f t="shared" si="63"/>
        <v>0</v>
      </c>
      <c r="J568" s="161"/>
      <c r="K568" s="30"/>
      <c r="L568" s="30"/>
      <c r="M568" s="30"/>
      <c r="N568" s="30"/>
      <c r="O568" s="71">
        <f t="shared" si="64"/>
        <v>0</v>
      </c>
      <c r="P568" s="1070">
        <f t="shared" si="69"/>
        <v>0</v>
      </c>
      <c r="Q568" s="1071">
        <f t="shared" si="68"/>
        <v>0</v>
      </c>
    </row>
    <row r="569" spans="1:17" x14ac:dyDescent="0.2">
      <c r="A569" s="30"/>
      <c r="B569" s="162"/>
      <c r="C569" s="259"/>
      <c r="D569" s="267"/>
      <c r="E569" s="35"/>
      <c r="F569" s="151"/>
      <c r="G569" s="263">
        <f t="shared" si="67"/>
        <v>0</v>
      </c>
      <c r="H569" s="65"/>
      <c r="I569" s="275">
        <f t="shared" si="63"/>
        <v>0</v>
      </c>
      <c r="J569" s="161"/>
      <c r="K569" s="30"/>
      <c r="L569" s="30"/>
      <c r="M569" s="30"/>
      <c r="N569" s="30"/>
      <c r="O569" s="71">
        <f t="shared" si="64"/>
        <v>0</v>
      </c>
      <c r="P569" s="1070">
        <f t="shared" si="69"/>
        <v>0</v>
      </c>
      <c r="Q569" s="1071">
        <f t="shared" si="68"/>
        <v>0</v>
      </c>
    </row>
    <row r="570" spans="1:17" x14ac:dyDescent="0.2">
      <c r="A570" s="30"/>
      <c r="B570" s="162"/>
      <c r="C570" s="259"/>
      <c r="D570" s="267"/>
      <c r="E570" s="35"/>
      <c r="F570" s="151"/>
      <c r="G570" s="263">
        <f t="shared" si="67"/>
        <v>0</v>
      </c>
      <c r="H570" s="65"/>
      <c r="I570" s="275">
        <f t="shared" si="63"/>
        <v>0</v>
      </c>
      <c r="J570" s="161"/>
      <c r="K570" s="30"/>
      <c r="L570" s="30"/>
      <c r="M570" s="30"/>
      <c r="N570" s="30"/>
      <c r="O570" s="71">
        <f t="shared" si="64"/>
        <v>0</v>
      </c>
      <c r="P570" s="1070">
        <f t="shared" si="69"/>
        <v>0</v>
      </c>
      <c r="Q570" s="1071">
        <f t="shared" si="68"/>
        <v>0</v>
      </c>
    </row>
    <row r="571" spans="1:17" x14ac:dyDescent="0.2">
      <c r="A571" s="30"/>
      <c r="B571" s="162"/>
      <c r="C571" s="259"/>
      <c r="D571" s="267"/>
      <c r="E571" s="35"/>
      <c r="F571" s="151"/>
      <c r="G571" s="263">
        <f t="shared" si="67"/>
        <v>0</v>
      </c>
      <c r="H571" s="65"/>
      <c r="I571" s="275">
        <f t="shared" si="63"/>
        <v>0</v>
      </c>
      <c r="J571" s="161"/>
      <c r="K571" s="30"/>
      <c r="L571" s="30"/>
      <c r="M571" s="30"/>
      <c r="N571" s="30"/>
      <c r="O571" s="71">
        <f t="shared" si="64"/>
        <v>0</v>
      </c>
      <c r="P571" s="1070">
        <f t="shared" si="69"/>
        <v>0</v>
      </c>
      <c r="Q571" s="1071">
        <f t="shared" si="68"/>
        <v>0</v>
      </c>
    </row>
    <row r="572" spans="1:17" x14ac:dyDescent="0.2">
      <c r="A572" s="30"/>
      <c r="B572" s="162"/>
      <c r="C572" s="259"/>
      <c r="D572" s="267"/>
      <c r="E572" s="35"/>
      <c r="F572" s="151"/>
      <c r="G572" s="263">
        <f t="shared" si="67"/>
        <v>0</v>
      </c>
      <c r="H572" s="65"/>
      <c r="I572" s="275">
        <f t="shared" si="63"/>
        <v>0</v>
      </c>
      <c r="J572" s="161"/>
      <c r="K572" s="30"/>
      <c r="L572" s="30"/>
      <c r="M572" s="30"/>
      <c r="N572" s="30"/>
      <c r="O572" s="71">
        <f t="shared" si="64"/>
        <v>0</v>
      </c>
      <c r="P572" s="1070">
        <f t="shared" si="69"/>
        <v>0</v>
      </c>
      <c r="Q572" s="1071">
        <f t="shared" si="68"/>
        <v>0</v>
      </c>
    </row>
    <row r="573" spans="1:17" x14ac:dyDescent="0.2">
      <c r="A573" s="30"/>
      <c r="B573" s="162"/>
      <c r="C573" s="259"/>
      <c r="D573" s="267"/>
      <c r="E573" s="35"/>
      <c r="F573" s="151"/>
      <c r="G573" s="263">
        <f t="shared" si="67"/>
        <v>0</v>
      </c>
      <c r="H573" s="65"/>
      <c r="I573" s="275">
        <f t="shared" si="63"/>
        <v>0</v>
      </c>
      <c r="J573" s="161"/>
      <c r="K573" s="30"/>
      <c r="L573" s="30"/>
      <c r="M573" s="30"/>
      <c r="N573" s="30"/>
      <c r="O573" s="71">
        <f t="shared" si="64"/>
        <v>0</v>
      </c>
      <c r="P573" s="1070">
        <f t="shared" si="69"/>
        <v>0</v>
      </c>
      <c r="Q573" s="1071">
        <f t="shared" si="68"/>
        <v>0</v>
      </c>
    </row>
    <row r="574" spans="1:17" x14ac:dyDescent="0.2">
      <c r="A574" s="30"/>
      <c r="B574" s="162"/>
      <c r="C574" s="259"/>
      <c r="D574" s="267"/>
      <c r="E574" s="35"/>
      <c r="F574" s="151"/>
      <c r="G574" s="263">
        <f t="shared" si="67"/>
        <v>0</v>
      </c>
      <c r="H574" s="65"/>
      <c r="I574" s="275">
        <f t="shared" si="63"/>
        <v>0</v>
      </c>
      <c r="J574" s="161"/>
      <c r="K574" s="30"/>
      <c r="L574" s="30"/>
      <c r="M574" s="30"/>
      <c r="N574" s="30"/>
      <c r="O574" s="71">
        <f t="shared" si="64"/>
        <v>0</v>
      </c>
      <c r="P574" s="1070">
        <f t="shared" si="69"/>
        <v>0</v>
      </c>
      <c r="Q574" s="1071">
        <f t="shared" si="68"/>
        <v>0</v>
      </c>
    </row>
    <row r="575" spans="1:17" x14ac:dyDescent="0.2">
      <c r="A575" s="30"/>
      <c r="B575" s="162"/>
      <c r="C575" s="259"/>
      <c r="D575" s="267"/>
      <c r="E575" s="35"/>
      <c r="F575" s="151"/>
      <c r="G575" s="263">
        <f t="shared" si="67"/>
        <v>0</v>
      </c>
      <c r="H575" s="65"/>
      <c r="I575" s="275">
        <f t="shared" si="63"/>
        <v>0</v>
      </c>
      <c r="J575" s="161"/>
      <c r="K575" s="30"/>
      <c r="L575" s="30"/>
      <c r="M575" s="30"/>
      <c r="N575" s="30"/>
      <c r="O575" s="71">
        <f t="shared" si="64"/>
        <v>0</v>
      </c>
      <c r="P575" s="1070">
        <f t="shared" si="69"/>
        <v>0</v>
      </c>
      <c r="Q575" s="1071">
        <f t="shared" si="68"/>
        <v>0</v>
      </c>
    </row>
    <row r="576" spans="1:17" x14ac:dyDescent="0.2">
      <c r="A576" s="30"/>
      <c r="B576" s="162"/>
      <c r="C576" s="259"/>
      <c r="D576" s="267"/>
      <c r="E576" s="35"/>
      <c r="F576" s="151"/>
      <c r="G576" s="263">
        <f t="shared" si="67"/>
        <v>0</v>
      </c>
      <c r="H576" s="65"/>
      <c r="I576" s="275">
        <f t="shared" si="63"/>
        <v>0</v>
      </c>
      <c r="J576" s="161"/>
      <c r="K576" s="30"/>
      <c r="L576" s="30"/>
      <c r="M576" s="30"/>
      <c r="N576" s="30"/>
      <c r="O576" s="71">
        <f t="shared" si="64"/>
        <v>0</v>
      </c>
      <c r="P576" s="1070">
        <f t="shared" si="69"/>
        <v>0</v>
      </c>
      <c r="Q576" s="1071">
        <f t="shared" si="68"/>
        <v>0</v>
      </c>
    </row>
    <row r="577" spans="1:17" x14ac:dyDescent="0.2">
      <c r="A577" s="30"/>
      <c r="B577" s="162"/>
      <c r="C577" s="259"/>
      <c r="D577" s="267"/>
      <c r="E577" s="35"/>
      <c r="F577" s="151"/>
      <c r="G577" s="263">
        <f t="shared" si="67"/>
        <v>0</v>
      </c>
      <c r="H577" s="65"/>
      <c r="I577" s="275">
        <f t="shared" si="63"/>
        <v>0</v>
      </c>
      <c r="J577" s="161"/>
      <c r="K577" s="30"/>
      <c r="L577" s="30"/>
      <c r="M577" s="30"/>
      <c r="N577" s="30"/>
      <c r="O577" s="71">
        <f t="shared" si="64"/>
        <v>0</v>
      </c>
      <c r="P577" s="1070">
        <f t="shared" si="69"/>
        <v>0</v>
      </c>
      <c r="Q577" s="1071">
        <f t="shared" si="68"/>
        <v>0</v>
      </c>
    </row>
    <row r="578" spans="1:17" x14ac:dyDescent="0.2">
      <c r="A578" s="30"/>
      <c r="B578" s="162"/>
      <c r="C578" s="259"/>
      <c r="D578" s="267"/>
      <c r="E578" s="35"/>
      <c r="F578" s="151"/>
      <c r="G578" s="263">
        <f t="shared" si="67"/>
        <v>0</v>
      </c>
      <c r="H578" s="65"/>
      <c r="I578" s="275">
        <f t="shared" si="63"/>
        <v>0</v>
      </c>
      <c r="J578" s="161"/>
      <c r="K578" s="30"/>
      <c r="L578" s="30"/>
      <c r="M578" s="30"/>
      <c r="N578" s="30"/>
      <c r="O578" s="71">
        <f t="shared" si="64"/>
        <v>0</v>
      </c>
      <c r="P578" s="1070">
        <f t="shared" si="69"/>
        <v>0</v>
      </c>
      <c r="Q578" s="1071">
        <f t="shared" si="68"/>
        <v>0</v>
      </c>
    </row>
    <row r="579" spans="1:17" x14ac:dyDescent="0.2">
      <c r="A579" s="30"/>
      <c r="B579" s="162"/>
      <c r="C579" s="259"/>
      <c r="D579" s="267"/>
      <c r="E579" s="35"/>
      <c r="F579" s="151"/>
      <c r="G579" s="263">
        <f t="shared" si="67"/>
        <v>0</v>
      </c>
      <c r="H579" s="65"/>
      <c r="I579" s="275">
        <f t="shared" si="63"/>
        <v>0</v>
      </c>
      <c r="J579" s="161"/>
      <c r="K579" s="30"/>
      <c r="L579" s="30"/>
      <c r="M579" s="30"/>
      <c r="N579" s="30"/>
      <c r="O579" s="71">
        <f t="shared" si="64"/>
        <v>0</v>
      </c>
      <c r="P579" s="1070">
        <f t="shared" si="69"/>
        <v>0</v>
      </c>
      <c r="Q579" s="1071">
        <f t="shared" si="68"/>
        <v>0</v>
      </c>
    </row>
    <row r="580" spans="1:17" x14ac:dyDescent="0.2">
      <c r="A580" s="30"/>
      <c r="B580" s="162"/>
      <c r="C580" s="259"/>
      <c r="D580" s="267"/>
      <c r="E580" s="35"/>
      <c r="F580" s="151"/>
      <c r="G580" s="263">
        <f t="shared" si="67"/>
        <v>0</v>
      </c>
      <c r="H580" s="65"/>
      <c r="I580" s="275">
        <f t="shared" si="63"/>
        <v>0</v>
      </c>
      <c r="J580" s="161"/>
      <c r="K580" s="30"/>
      <c r="L580" s="30"/>
      <c r="M580" s="30"/>
      <c r="N580" s="30"/>
      <c r="O580" s="71">
        <f t="shared" si="64"/>
        <v>0</v>
      </c>
      <c r="P580" s="1070">
        <f t="shared" si="69"/>
        <v>0</v>
      </c>
      <c r="Q580" s="1071">
        <f t="shared" si="68"/>
        <v>0</v>
      </c>
    </row>
    <row r="581" spans="1:17" ht="13.5" thickBot="1" x14ac:dyDescent="0.25">
      <c r="A581" s="30"/>
      <c r="B581" s="163"/>
      <c r="C581" s="260"/>
      <c r="D581" s="268"/>
      <c r="E581" s="24"/>
      <c r="F581" s="25"/>
      <c r="G581" s="264">
        <f t="shared" si="67"/>
        <v>0</v>
      </c>
      <c r="H581" s="272"/>
      <c r="I581" s="276">
        <f t="shared" si="63"/>
        <v>0</v>
      </c>
      <c r="J581" s="161"/>
      <c r="K581" s="30"/>
      <c r="L581" s="30"/>
      <c r="M581" s="30"/>
      <c r="N581" s="30"/>
      <c r="O581" s="71">
        <f t="shared" si="64"/>
        <v>0</v>
      </c>
      <c r="P581" s="1070">
        <f t="shared" si="69"/>
        <v>0</v>
      </c>
      <c r="Q581" s="1071">
        <f t="shared" si="68"/>
        <v>0</v>
      </c>
    </row>
    <row r="582" spans="1:17" ht="6.75" customHeight="1" thickBot="1" x14ac:dyDescent="0.25">
      <c r="A582" s="30"/>
      <c r="B582" s="155"/>
      <c r="C582" s="155"/>
      <c r="D582" s="155"/>
      <c r="E582" s="155"/>
      <c r="F582" s="155"/>
      <c r="G582" s="155"/>
      <c r="H582" s="155"/>
      <c r="I582" s="155"/>
      <c r="J582" s="155"/>
      <c r="K582" s="30"/>
      <c r="L582" s="30"/>
      <c r="M582" s="30"/>
      <c r="N582" s="30"/>
      <c r="O582" s="812">
        <f>SUM(O530:O581)</f>
        <v>0</v>
      </c>
      <c r="P582" s="1075">
        <f>SUM(P530:P581)</f>
        <v>0</v>
      </c>
      <c r="Q582" s="813">
        <f>SUM(Q530:Q581)</f>
        <v>0</v>
      </c>
    </row>
    <row r="583" spans="1:17" ht="50.1" customHeight="1" x14ac:dyDescent="0.2">
      <c r="A583" s="30"/>
      <c r="B583" s="155"/>
      <c r="C583" s="155"/>
      <c r="D583" s="155"/>
      <c r="E583" s="155"/>
      <c r="F583" s="155"/>
      <c r="G583" s="155"/>
      <c r="H583" s="155"/>
      <c r="I583" s="155"/>
      <c r="J583" s="155"/>
      <c r="K583" s="30"/>
      <c r="L583" s="30"/>
      <c r="M583" s="30"/>
      <c r="N583" s="30"/>
      <c r="O583" s="30"/>
      <c r="P583" s="30"/>
    </row>
    <row r="584" spans="1:17" ht="18" x14ac:dyDescent="0.2">
      <c r="A584" s="1224" t="str">
        <f>UPPER("Patching Summary Table")</f>
        <v>PATCHING SUMMARY TABLE</v>
      </c>
      <c r="B584" s="1224"/>
      <c r="C584" s="1224"/>
      <c r="D584" s="1224"/>
      <c r="E584" s="1224"/>
      <c r="F584" s="1224"/>
      <c r="G584" s="1224"/>
      <c r="H584" s="1224"/>
      <c r="I584" s="1224"/>
      <c r="J584" s="1224"/>
      <c r="K584" s="30"/>
      <c r="L584" s="30"/>
      <c r="M584" s="30"/>
      <c r="N584" s="30"/>
      <c r="O584" s="30"/>
      <c r="P584" s="30"/>
    </row>
    <row r="585" spans="1:17" ht="7.5" customHeight="1" thickBot="1" x14ac:dyDescent="0.25">
      <c r="A585" s="30"/>
      <c r="B585" s="31"/>
      <c r="C585" s="31"/>
      <c r="D585" s="31"/>
      <c r="E585" s="31"/>
      <c r="F585" s="31"/>
      <c r="G585" s="31"/>
      <c r="H585" s="31"/>
      <c r="I585" s="31"/>
      <c r="J585" s="31"/>
      <c r="K585" s="30"/>
      <c r="L585" s="30"/>
      <c r="M585" s="30"/>
      <c r="N585" s="30"/>
      <c r="O585" s="30"/>
      <c r="P585" s="30"/>
    </row>
    <row r="586" spans="1:17" x14ac:dyDescent="0.2">
      <c r="A586" s="30"/>
      <c r="B586" s="1310" t="s">
        <v>2</v>
      </c>
      <c r="C586" s="1319" t="s">
        <v>3</v>
      </c>
      <c r="D586" s="1310" t="s">
        <v>39</v>
      </c>
      <c r="E586" s="1308" t="s">
        <v>4</v>
      </c>
      <c r="F586" s="1223" t="s">
        <v>535</v>
      </c>
      <c r="G586" s="261" t="s">
        <v>129</v>
      </c>
      <c r="H586" s="269" t="s">
        <v>102</v>
      </c>
      <c r="I586" s="152" t="s">
        <v>209</v>
      </c>
      <c r="J586" s="31"/>
      <c r="K586" s="30"/>
      <c r="L586" s="30"/>
      <c r="M586" s="30"/>
      <c r="N586" s="30"/>
      <c r="O586" s="1159" t="s">
        <v>537</v>
      </c>
      <c r="P586" s="1305"/>
      <c r="Q586" s="1306"/>
    </row>
    <row r="587" spans="1:17" ht="13.5" thickBot="1" x14ac:dyDescent="0.25">
      <c r="A587" s="30"/>
      <c r="B587" s="1285"/>
      <c r="C587" s="1320"/>
      <c r="D587" s="1285"/>
      <c r="E587" s="1227"/>
      <c r="F587" s="1242"/>
      <c r="G587" s="262" t="s">
        <v>100</v>
      </c>
      <c r="H587" s="270" t="s">
        <v>100</v>
      </c>
      <c r="I587" s="273" t="s">
        <v>210</v>
      </c>
      <c r="J587" s="31"/>
      <c r="K587" s="30"/>
      <c r="L587" s="30"/>
      <c r="M587" s="30"/>
      <c r="N587" s="30"/>
      <c r="O587" s="41" t="str">
        <f>$Q$41</f>
        <v>Partial</v>
      </c>
      <c r="P587" s="42" t="str">
        <f>$Q$42</f>
        <v>Full ( HMA)</v>
      </c>
      <c r="Q587" s="43" t="str">
        <f>$Q$43</f>
        <v>Full (Composite)</v>
      </c>
    </row>
    <row r="588" spans="1:17" x14ac:dyDescent="0.2">
      <c r="A588" s="30"/>
      <c r="B588" s="159"/>
      <c r="C588" s="258"/>
      <c r="D588" s="265"/>
      <c r="E588" s="160"/>
      <c r="F588" s="266"/>
      <c r="G588" s="263">
        <f>ABS(C588-B588)</f>
        <v>0</v>
      </c>
      <c r="H588" s="271"/>
      <c r="I588" s="274">
        <f t="shared" ref="I588:I639" si="70">ROUNDUP((G588*H588)/9,0)</f>
        <v>0</v>
      </c>
      <c r="J588" s="161"/>
      <c r="K588" s="30"/>
      <c r="L588" s="30"/>
      <c r="M588" s="30"/>
      <c r="N588" s="30"/>
      <c r="O588" s="54">
        <f t="shared" ref="O588:O639" si="71">IF($F588=$Q$41,$I588,0)</f>
        <v>0</v>
      </c>
      <c r="P588" s="1069">
        <f t="shared" ref="P588:P620" si="72">IF($F588=$Q$42,$I588,0)</f>
        <v>0</v>
      </c>
      <c r="Q588" s="811">
        <f t="shared" ref="Q588:Q619" si="73">IF($F588=$Q$43,$I588,0)</f>
        <v>0</v>
      </c>
    </row>
    <row r="589" spans="1:17" x14ac:dyDescent="0.2">
      <c r="A589" s="30"/>
      <c r="B589" s="162"/>
      <c r="C589" s="259"/>
      <c r="D589" s="267"/>
      <c r="E589" s="35"/>
      <c r="F589" s="151"/>
      <c r="G589" s="263">
        <f t="shared" ref="G589:G639" si="74">ABS(C589-B589)</f>
        <v>0</v>
      </c>
      <c r="H589" s="65"/>
      <c r="I589" s="275">
        <f t="shared" si="70"/>
        <v>0</v>
      </c>
      <c r="J589" s="161"/>
      <c r="K589" s="30"/>
      <c r="L589" s="30"/>
      <c r="M589" s="30"/>
      <c r="N589" s="30"/>
      <c r="O589" s="71">
        <f t="shared" si="71"/>
        <v>0</v>
      </c>
      <c r="P589" s="1070">
        <f t="shared" si="72"/>
        <v>0</v>
      </c>
      <c r="Q589" s="1071">
        <f t="shared" si="73"/>
        <v>0</v>
      </c>
    </row>
    <row r="590" spans="1:17" x14ac:dyDescent="0.2">
      <c r="A590" s="30"/>
      <c r="B590" s="162"/>
      <c r="C590" s="259"/>
      <c r="D590" s="267"/>
      <c r="E590" s="35"/>
      <c r="F590" s="151"/>
      <c r="G590" s="263">
        <f t="shared" si="74"/>
        <v>0</v>
      </c>
      <c r="H590" s="65"/>
      <c r="I590" s="275">
        <f t="shared" si="70"/>
        <v>0</v>
      </c>
      <c r="J590" s="161"/>
      <c r="K590" s="30"/>
      <c r="L590" s="30"/>
      <c r="M590" s="30"/>
      <c r="N590" s="30"/>
      <c r="O590" s="71">
        <f t="shared" si="71"/>
        <v>0</v>
      </c>
      <c r="P590" s="1070">
        <f t="shared" si="72"/>
        <v>0</v>
      </c>
      <c r="Q590" s="1071">
        <f t="shared" si="73"/>
        <v>0</v>
      </c>
    </row>
    <row r="591" spans="1:17" x14ac:dyDescent="0.2">
      <c r="A591" s="30"/>
      <c r="B591" s="162"/>
      <c r="C591" s="259"/>
      <c r="D591" s="267"/>
      <c r="E591" s="35"/>
      <c r="F591" s="151"/>
      <c r="G591" s="263">
        <f t="shared" si="74"/>
        <v>0</v>
      </c>
      <c r="H591" s="65"/>
      <c r="I591" s="275">
        <f t="shared" si="70"/>
        <v>0</v>
      </c>
      <c r="J591" s="161"/>
      <c r="K591" s="30"/>
      <c r="L591" s="30"/>
      <c r="M591" s="30"/>
      <c r="N591" s="30"/>
      <c r="O591" s="71">
        <f t="shared" si="71"/>
        <v>0</v>
      </c>
      <c r="P591" s="1070">
        <f t="shared" si="72"/>
        <v>0</v>
      </c>
      <c r="Q591" s="1071">
        <f t="shared" si="73"/>
        <v>0</v>
      </c>
    </row>
    <row r="592" spans="1:17" x14ac:dyDescent="0.2">
      <c r="A592" s="30"/>
      <c r="B592" s="162"/>
      <c r="C592" s="259"/>
      <c r="D592" s="267"/>
      <c r="E592" s="35"/>
      <c r="F592" s="151"/>
      <c r="G592" s="263">
        <f t="shared" si="74"/>
        <v>0</v>
      </c>
      <c r="H592" s="65"/>
      <c r="I592" s="275">
        <f t="shared" si="70"/>
        <v>0</v>
      </c>
      <c r="J592" s="161"/>
      <c r="K592" s="30"/>
      <c r="L592" s="30"/>
      <c r="M592" s="30"/>
      <c r="N592" s="30"/>
      <c r="O592" s="71">
        <f t="shared" si="71"/>
        <v>0</v>
      </c>
      <c r="P592" s="1070">
        <f t="shared" si="72"/>
        <v>0</v>
      </c>
      <c r="Q592" s="1071">
        <f t="shared" si="73"/>
        <v>0</v>
      </c>
    </row>
    <row r="593" spans="1:17" x14ac:dyDescent="0.2">
      <c r="A593" s="30"/>
      <c r="B593" s="162"/>
      <c r="C593" s="259"/>
      <c r="D593" s="267"/>
      <c r="E593" s="35"/>
      <c r="F593" s="151"/>
      <c r="G593" s="263">
        <f t="shared" si="74"/>
        <v>0</v>
      </c>
      <c r="H593" s="65"/>
      <c r="I593" s="275">
        <f t="shared" si="70"/>
        <v>0</v>
      </c>
      <c r="J593" s="161"/>
      <c r="K593" s="30"/>
      <c r="L593" s="30"/>
      <c r="M593" s="30"/>
      <c r="N593" s="30"/>
      <c r="O593" s="71">
        <f t="shared" si="71"/>
        <v>0</v>
      </c>
      <c r="P593" s="1070">
        <f t="shared" si="72"/>
        <v>0</v>
      </c>
      <c r="Q593" s="1071">
        <f t="shared" si="73"/>
        <v>0</v>
      </c>
    </row>
    <row r="594" spans="1:17" x14ac:dyDescent="0.2">
      <c r="A594" s="30"/>
      <c r="B594" s="162"/>
      <c r="C594" s="259"/>
      <c r="D594" s="267"/>
      <c r="E594" s="35"/>
      <c r="F594" s="151"/>
      <c r="G594" s="263">
        <f t="shared" si="74"/>
        <v>0</v>
      </c>
      <c r="H594" s="65"/>
      <c r="I594" s="275">
        <f t="shared" si="70"/>
        <v>0</v>
      </c>
      <c r="J594" s="161"/>
      <c r="K594" s="30"/>
      <c r="L594" s="30"/>
      <c r="M594" s="30"/>
      <c r="N594" s="30"/>
      <c r="O594" s="71">
        <f t="shared" si="71"/>
        <v>0</v>
      </c>
      <c r="P594" s="1070">
        <f t="shared" si="72"/>
        <v>0</v>
      </c>
      <c r="Q594" s="1071">
        <f t="shared" si="73"/>
        <v>0</v>
      </c>
    </row>
    <row r="595" spans="1:17" x14ac:dyDescent="0.2">
      <c r="A595" s="30"/>
      <c r="B595" s="162"/>
      <c r="C595" s="259"/>
      <c r="D595" s="267"/>
      <c r="E595" s="35"/>
      <c r="F595" s="151"/>
      <c r="G595" s="263">
        <f t="shared" si="74"/>
        <v>0</v>
      </c>
      <c r="H595" s="65"/>
      <c r="I595" s="275">
        <f t="shared" si="70"/>
        <v>0</v>
      </c>
      <c r="J595" s="161"/>
      <c r="K595" s="30"/>
      <c r="L595" s="30"/>
      <c r="M595" s="30"/>
      <c r="N595" s="30"/>
      <c r="O595" s="71">
        <f t="shared" si="71"/>
        <v>0</v>
      </c>
      <c r="P595" s="1070">
        <f t="shared" si="72"/>
        <v>0</v>
      </c>
      <c r="Q595" s="1071">
        <f t="shared" si="73"/>
        <v>0</v>
      </c>
    </row>
    <row r="596" spans="1:17" x14ac:dyDescent="0.2">
      <c r="A596" s="30"/>
      <c r="B596" s="162"/>
      <c r="C596" s="259"/>
      <c r="D596" s="267"/>
      <c r="E596" s="35"/>
      <c r="F596" s="151"/>
      <c r="G596" s="263">
        <f t="shared" si="74"/>
        <v>0</v>
      </c>
      <c r="H596" s="65"/>
      <c r="I596" s="275">
        <f t="shared" si="70"/>
        <v>0</v>
      </c>
      <c r="J596" s="161"/>
      <c r="K596" s="30"/>
      <c r="L596" s="30"/>
      <c r="M596" s="30"/>
      <c r="N596" s="30"/>
      <c r="O596" s="71">
        <f t="shared" si="71"/>
        <v>0</v>
      </c>
      <c r="P596" s="1070">
        <f t="shared" si="72"/>
        <v>0</v>
      </c>
      <c r="Q596" s="1071">
        <f t="shared" si="73"/>
        <v>0</v>
      </c>
    </row>
    <row r="597" spans="1:17" x14ac:dyDescent="0.2">
      <c r="A597" s="30"/>
      <c r="B597" s="162"/>
      <c r="C597" s="259"/>
      <c r="D597" s="267"/>
      <c r="E597" s="35"/>
      <c r="F597" s="151"/>
      <c r="G597" s="263">
        <f t="shared" si="74"/>
        <v>0</v>
      </c>
      <c r="H597" s="65"/>
      <c r="I597" s="275">
        <f t="shared" si="70"/>
        <v>0</v>
      </c>
      <c r="J597" s="161"/>
      <c r="K597" s="30"/>
      <c r="L597" s="30"/>
      <c r="M597" s="30"/>
      <c r="N597" s="30"/>
      <c r="O597" s="71">
        <f t="shared" si="71"/>
        <v>0</v>
      </c>
      <c r="P597" s="1070">
        <f t="shared" si="72"/>
        <v>0</v>
      </c>
      <c r="Q597" s="1071">
        <f t="shared" si="73"/>
        <v>0</v>
      </c>
    </row>
    <row r="598" spans="1:17" x14ac:dyDescent="0.2">
      <c r="A598" s="30"/>
      <c r="B598" s="162"/>
      <c r="C598" s="259"/>
      <c r="D598" s="267"/>
      <c r="E598" s="35"/>
      <c r="F598" s="151"/>
      <c r="G598" s="263">
        <f t="shared" si="74"/>
        <v>0</v>
      </c>
      <c r="H598" s="65"/>
      <c r="I598" s="275">
        <f t="shared" si="70"/>
        <v>0</v>
      </c>
      <c r="J598" s="161"/>
      <c r="K598" s="30"/>
      <c r="L598" s="30"/>
      <c r="M598" s="30"/>
      <c r="N598" s="30"/>
      <c r="O598" s="71">
        <f t="shared" si="71"/>
        <v>0</v>
      </c>
      <c r="P598" s="1070">
        <f t="shared" si="72"/>
        <v>0</v>
      </c>
      <c r="Q598" s="1071">
        <f t="shared" si="73"/>
        <v>0</v>
      </c>
    </row>
    <row r="599" spans="1:17" x14ac:dyDescent="0.2">
      <c r="A599" s="30"/>
      <c r="B599" s="162"/>
      <c r="C599" s="259"/>
      <c r="D599" s="267"/>
      <c r="E599" s="35"/>
      <c r="F599" s="151"/>
      <c r="G599" s="263">
        <f t="shared" si="74"/>
        <v>0</v>
      </c>
      <c r="H599" s="65"/>
      <c r="I599" s="275">
        <f t="shared" si="70"/>
        <v>0</v>
      </c>
      <c r="J599" s="161"/>
      <c r="K599" s="30"/>
      <c r="L599" s="30"/>
      <c r="M599" s="30"/>
      <c r="N599" s="30"/>
      <c r="O599" s="71">
        <f t="shared" si="71"/>
        <v>0</v>
      </c>
      <c r="P599" s="1070">
        <f t="shared" si="72"/>
        <v>0</v>
      </c>
      <c r="Q599" s="1071">
        <f t="shared" si="73"/>
        <v>0</v>
      </c>
    </row>
    <row r="600" spans="1:17" x14ac:dyDescent="0.2">
      <c r="A600" s="30"/>
      <c r="B600" s="162"/>
      <c r="C600" s="259"/>
      <c r="D600" s="267"/>
      <c r="E600" s="35"/>
      <c r="F600" s="151"/>
      <c r="G600" s="263">
        <f t="shared" si="74"/>
        <v>0</v>
      </c>
      <c r="H600" s="65"/>
      <c r="I600" s="275">
        <f t="shared" si="70"/>
        <v>0</v>
      </c>
      <c r="J600" s="161"/>
      <c r="K600" s="30"/>
      <c r="L600" s="30"/>
      <c r="M600" s="30"/>
      <c r="N600" s="30"/>
      <c r="O600" s="71">
        <f t="shared" si="71"/>
        <v>0</v>
      </c>
      <c r="P600" s="1070">
        <f t="shared" si="72"/>
        <v>0</v>
      </c>
      <c r="Q600" s="1071">
        <f t="shared" si="73"/>
        <v>0</v>
      </c>
    </row>
    <row r="601" spans="1:17" x14ac:dyDescent="0.2">
      <c r="A601" s="30"/>
      <c r="B601" s="162"/>
      <c r="C601" s="259"/>
      <c r="D601" s="267"/>
      <c r="E601" s="35"/>
      <c r="F601" s="151"/>
      <c r="G601" s="263">
        <f t="shared" si="74"/>
        <v>0</v>
      </c>
      <c r="H601" s="65"/>
      <c r="I601" s="275">
        <f t="shared" si="70"/>
        <v>0</v>
      </c>
      <c r="J601" s="161"/>
      <c r="K601" s="30"/>
      <c r="L601" s="30"/>
      <c r="M601" s="30"/>
      <c r="N601" s="30"/>
      <c r="O601" s="71">
        <f t="shared" si="71"/>
        <v>0</v>
      </c>
      <c r="P601" s="1070">
        <f t="shared" si="72"/>
        <v>0</v>
      </c>
      <c r="Q601" s="1071">
        <f t="shared" si="73"/>
        <v>0</v>
      </c>
    </row>
    <row r="602" spans="1:17" x14ac:dyDescent="0.2">
      <c r="A602" s="30"/>
      <c r="B602" s="162"/>
      <c r="C602" s="259"/>
      <c r="D602" s="267"/>
      <c r="E602" s="35"/>
      <c r="F602" s="151"/>
      <c r="G602" s="263">
        <f t="shared" si="74"/>
        <v>0</v>
      </c>
      <c r="H602" s="65"/>
      <c r="I602" s="275">
        <f t="shared" si="70"/>
        <v>0</v>
      </c>
      <c r="J602" s="161"/>
      <c r="K602" s="30"/>
      <c r="L602" s="30"/>
      <c r="M602" s="30"/>
      <c r="N602" s="30"/>
      <c r="O602" s="71">
        <f t="shared" si="71"/>
        <v>0</v>
      </c>
      <c r="P602" s="1070">
        <f t="shared" si="72"/>
        <v>0</v>
      </c>
      <c r="Q602" s="1071">
        <f t="shared" si="73"/>
        <v>0</v>
      </c>
    </row>
    <row r="603" spans="1:17" x14ac:dyDescent="0.2">
      <c r="A603" s="30"/>
      <c r="B603" s="162"/>
      <c r="C603" s="259"/>
      <c r="D603" s="267"/>
      <c r="E603" s="35"/>
      <c r="F603" s="151"/>
      <c r="G603" s="263">
        <f t="shared" si="74"/>
        <v>0</v>
      </c>
      <c r="H603" s="65"/>
      <c r="I603" s="275">
        <f t="shared" si="70"/>
        <v>0</v>
      </c>
      <c r="J603" s="161"/>
      <c r="K603" s="30"/>
      <c r="L603" s="30"/>
      <c r="M603" s="30"/>
      <c r="N603" s="30"/>
      <c r="O603" s="71">
        <f t="shared" si="71"/>
        <v>0</v>
      </c>
      <c r="P603" s="1070">
        <f t="shared" si="72"/>
        <v>0</v>
      </c>
      <c r="Q603" s="1071">
        <f t="shared" si="73"/>
        <v>0</v>
      </c>
    </row>
    <row r="604" spans="1:17" x14ac:dyDescent="0.2">
      <c r="A604" s="30"/>
      <c r="B604" s="162"/>
      <c r="C604" s="259"/>
      <c r="D604" s="267"/>
      <c r="E604" s="35"/>
      <c r="F604" s="151"/>
      <c r="G604" s="263">
        <f t="shared" si="74"/>
        <v>0</v>
      </c>
      <c r="H604" s="65"/>
      <c r="I604" s="275">
        <f t="shared" si="70"/>
        <v>0</v>
      </c>
      <c r="J604" s="161"/>
      <c r="K604" s="30"/>
      <c r="L604" s="30"/>
      <c r="M604" s="30"/>
      <c r="N604" s="30"/>
      <c r="O604" s="71">
        <f t="shared" si="71"/>
        <v>0</v>
      </c>
      <c r="P604" s="1070">
        <f t="shared" si="72"/>
        <v>0</v>
      </c>
      <c r="Q604" s="1071">
        <f t="shared" si="73"/>
        <v>0</v>
      </c>
    </row>
    <row r="605" spans="1:17" x14ac:dyDescent="0.2">
      <c r="A605" s="30"/>
      <c r="B605" s="162"/>
      <c r="C605" s="259"/>
      <c r="D605" s="267"/>
      <c r="E605" s="35"/>
      <c r="F605" s="151"/>
      <c r="G605" s="263">
        <f t="shared" si="74"/>
        <v>0</v>
      </c>
      <c r="H605" s="65"/>
      <c r="I605" s="275">
        <f t="shared" si="70"/>
        <v>0</v>
      </c>
      <c r="J605" s="161"/>
      <c r="K605" s="30"/>
      <c r="L605" s="30"/>
      <c r="M605" s="30"/>
      <c r="N605" s="30"/>
      <c r="O605" s="71">
        <f t="shared" si="71"/>
        <v>0</v>
      </c>
      <c r="P605" s="1070">
        <f t="shared" si="72"/>
        <v>0</v>
      </c>
      <c r="Q605" s="1071">
        <f t="shared" si="73"/>
        <v>0</v>
      </c>
    </row>
    <row r="606" spans="1:17" x14ac:dyDescent="0.2">
      <c r="A606" s="30"/>
      <c r="B606" s="162"/>
      <c r="C606" s="259"/>
      <c r="D606" s="267"/>
      <c r="E606" s="35"/>
      <c r="F606" s="151"/>
      <c r="G606" s="263">
        <f t="shared" si="74"/>
        <v>0</v>
      </c>
      <c r="H606" s="65"/>
      <c r="I606" s="275">
        <f t="shared" si="70"/>
        <v>0</v>
      </c>
      <c r="J606" s="161"/>
      <c r="K606" s="30"/>
      <c r="L606" s="30"/>
      <c r="M606" s="30"/>
      <c r="N606" s="30"/>
      <c r="O606" s="71">
        <f t="shared" si="71"/>
        <v>0</v>
      </c>
      <c r="P606" s="1070">
        <f t="shared" si="72"/>
        <v>0</v>
      </c>
      <c r="Q606" s="1071">
        <f t="shared" si="73"/>
        <v>0</v>
      </c>
    </row>
    <row r="607" spans="1:17" x14ac:dyDescent="0.2">
      <c r="A607" s="30"/>
      <c r="B607" s="162"/>
      <c r="C607" s="259"/>
      <c r="D607" s="267"/>
      <c r="E607" s="35"/>
      <c r="F607" s="151"/>
      <c r="G607" s="263">
        <f t="shared" si="74"/>
        <v>0</v>
      </c>
      <c r="H607" s="65"/>
      <c r="I607" s="275">
        <f t="shared" si="70"/>
        <v>0</v>
      </c>
      <c r="J607" s="161"/>
      <c r="K607" s="30"/>
      <c r="L607" s="30"/>
      <c r="M607" s="30"/>
      <c r="N607" s="30"/>
      <c r="O607" s="71">
        <f t="shared" si="71"/>
        <v>0</v>
      </c>
      <c r="P607" s="1070">
        <f t="shared" si="72"/>
        <v>0</v>
      </c>
      <c r="Q607" s="1071">
        <f t="shared" si="73"/>
        <v>0</v>
      </c>
    </row>
    <row r="608" spans="1:17" x14ac:dyDescent="0.2">
      <c r="A608" s="30"/>
      <c r="B608" s="162"/>
      <c r="C608" s="259"/>
      <c r="D608" s="267"/>
      <c r="E608" s="35"/>
      <c r="F608" s="151"/>
      <c r="G608" s="263">
        <f t="shared" si="74"/>
        <v>0</v>
      </c>
      <c r="H608" s="65"/>
      <c r="I608" s="275">
        <f t="shared" si="70"/>
        <v>0</v>
      </c>
      <c r="J608" s="161"/>
      <c r="K608" s="30"/>
      <c r="L608" s="30"/>
      <c r="M608" s="30"/>
      <c r="N608" s="30"/>
      <c r="O608" s="71">
        <f t="shared" si="71"/>
        <v>0</v>
      </c>
      <c r="P608" s="1070">
        <f t="shared" si="72"/>
        <v>0</v>
      </c>
      <c r="Q608" s="1071">
        <f t="shared" si="73"/>
        <v>0</v>
      </c>
    </row>
    <row r="609" spans="1:17" x14ac:dyDescent="0.2">
      <c r="A609" s="30"/>
      <c r="B609" s="162"/>
      <c r="C609" s="259"/>
      <c r="D609" s="267"/>
      <c r="E609" s="35"/>
      <c r="F609" s="151"/>
      <c r="G609" s="263">
        <f t="shared" si="74"/>
        <v>0</v>
      </c>
      <c r="H609" s="65"/>
      <c r="I609" s="275">
        <f t="shared" si="70"/>
        <v>0</v>
      </c>
      <c r="J609" s="161"/>
      <c r="K609" s="30"/>
      <c r="L609" s="30"/>
      <c r="M609" s="30"/>
      <c r="N609" s="30"/>
      <c r="O609" s="71">
        <f t="shared" si="71"/>
        <v>0</v>
      </c>
      <c r="P609" s="1070">
        <f t="shared" si="72"/>
        <v>0</v>
      </c>
      <c r="Q609" s="1071">
        <f t="shared" si="73"/>
        <v>0</v>
      </c>
    </row>
    <row r="610" spans="1:17" x14ac:dyDescent="0.2">
      <c r="A610" s="30"/>
      <c r="B610" s="162"/>
      <c r="C610" s="259"/>
      <c r="D610" s="267"/>
      <c r="E610" s="35"/>
      <c r="F610" s="151"/>
      <c r="G610" s="263">
        <f t="shared" si="74"/>
        <v>0</v>
      </c>
      <c r="H610" s="65"/>
      <c r="I610" s="275">
        <f t="shared" si="70"/>
        <v>0</v>
      </c>
      <c r="J610" s="161"/>
      <c r="K610" s="30"/>
      <c r="L610" s="30"/>
      <c r="M610" s="30"/>
      <c r="N610" s="30"/>
      <c r="O610" s="71">
        <f t="shared" si="71"/>
        <v>0</v>
      </c>
      <c r="P610" s="1070">
        <f t="shared" si="72"/>
        <v>0</v>
      </c>
      <c r="Q610" s="1071">
        <f t="shared" si="73"/>
        <v>0</v>
      </c>
    </row>
    <row r="611" spans="1:17" x14ac:dyDescent="0.2">
      <c r="A611" s="30"/>
      <c r="B611" s="162"/>
      <c r="C611" s="259"/>
      <c r="D611" s="267"/>
      <c r="E611" s="35"/>
      <c r="F611" s="151"/>
      <c r="G611" s="263">
        <f t="shared" si="74"/>
        <v>0</v>
      </c>
      <c r="H611" s="65"/>
      <c r="I611" s="275">
        <f t="shared" si="70"/>
        <v>0</v>
      </c>
      <c r="J611" s="161"/>
      <c r="K611" s="30"/>
      <c r="L611" s="30"/>
      <c r="M611" s="30"/>
      <c r="N611" s="30"/>
      <c r="O611" s="71">
        <f t="shared" si="71"/>
        <v>0</v>
      </c>
      <c r="P611" s="1070">
        <f t="shared" si="72"/>
        <v>0</v>
      </c>
      <c r="Q611" s="1071">
        <f t="shared" si="73"/>
        <v>0</v>
      </c>
    </row>
    <row r="612" spans="1:17" x14ac:dyDescent="0.2">
      <c r="A612" s="30"/>
      <c r="B612" s="162"/>
      <c r="C612" s="259"/>
      <c r="D612" s="267"/>
      <c r="E612" s="35"/>
      <c r="F612" s="151"/>
      <c r="G612" s="263">
        <f t="shared" si="74"/>
        <v>0</v>
      </c>
      <c r="H612" s="65"/>
      <c r="I612" s="275">
        <f t="shared" si="70"/>
        <v>0</v>
      </c>
      <c r="J612" s="161"/>
      <c r="K612" s="30"/>
      <c r="L612" s="30"/>
      <c r="M612" s="30"/>
      <c r="N612" s="30"/>
      <c r="O612" s="71">
        <f t="shared" si="71"/>
        <v>0</v>
      </c>
      <c r="P612" s="1070">
        <f t="shared" si="72"/>
        <v>0</v>
      </c>
      <c r="Q612" s="1071">
        <f t="shared" si="73"/>
        <v>0</v>
      </c>
    </row>
    <row r="613" spans="1:17" x14ac:dyDescent="0.2">
      <c r="A613" s="30"/>
      <c r="B613" s="162"/>
      <c r="C613" s="259"/>
      <c r="D613" s="267"/>
      <c r="E613" s="35"/>
      <c r="F613" s="151"/>
      <c r="G613" s="263">
        <f t="shared" si="74"/>
        <v>0</v>
      </c>
      <c r="H613" s="65"/>
      <c r="I613" s="275">
        <f t="shared" si="70"/>
        <v>0</v>
      </c>
      <c r="J613" s="161"/>
      <c r="K613" s="30"/>
      <c r="L613" s="30"/>
      <c r="M613" s="30"/>
      <c r="N613" s="30"/>
      <c r="O613" s="71">
        <f t="shared" si="71"/>
        <v>0</v>
      </c>
      <c r="P613" s="1070">
        <f t="shared" si="72"/>
        <v>0</v>
      </c>
      <c r="Q613" s="1071">
        <f t="shared" si="73"/>
        <v>0</v>
      </c>
    </row>
    <row r="614" spans="1:17" x14ac:dyDescent="0.2">
      <c r="A614" s="30"/>
      <c r="B614" s="162"/>
      <c r="C614" s="259"/>
      <c r="D614" s="267"/>
      <c r="E614" s="35"/>
      <c r="F614" s="151"/>
      <c r="G614" s="263">
        <f t="shared" si="74"/>
        <v>0</v>
      </c>
      <c r="H614" s="65"/>
      <c r="I614" s="275">
        <f t="shared" si="70"/>
        <v>0</v>
      </c>
      <c r="J614" s="161"/>
      <c r="K614" s="30"/>
      <c r="L614" s="30"/>
      <c r="M614" s="30"/>
      <c r="N614" s="30"/>
      <c r="O614" s="71">
        <f t="shared" si="71"/>
        <v>0</v>
      </c>
      <c r="P614" s="1070">
        <f t="shared" si="72"/>
        <v>0</v>
      </c>
      <c r="Q614" s="1071">
        <f t="shared" si="73"/>
        <v>0</v>
      </c>
    </row>
    <row r="615" spans="1:17" x14ac:dyDescent="0.2">
      <c r="A615" s="30"/>
      <c r="B615" s="162"/>
      <c r="C615" s="259"/>
      <c r="D615" s="267"/>
      <c r="E615" s="35"/>
      <c r="F615" s="151"/>
      <c r="G615" s="263">
        <f t="shared" si="74"/>
        <v>0</v>
      </c>
      <c r="H615" s="65"/>
      <c r="I615" s="275">
        <f t="shared" si="70"/>
        <v>0</v>
      </c>
      <c r="J615" s="161"/>
      <c r="K615" s="30"/>
      <c r="L615" s="30"/>
      <c r="M615" s="30"/>
      <c r="N615" s="30"/>
      <c r="O615" s="71">
        <f t="shared" si="71"/>
        <v>0</v>
      </c>
      <c r="P615" s="1070">
        <f t="shared" si="72"/>
        <v>0</v>
      </c>
      <c r="Q615" s="1071">
        <f t="shared" si="73"/>
        <v>0</v>
      </c>
    </row>
    <row r="616" spans="1:17" x14ac:dyDescent="0.2">
      <c r="A616" s="30"/>
      <c r="B616" s="162"/>
      <c r="C616" s="259"/>
      <c r="D616" s="267"/>
      <c r="E616" s="35"/>
      <c r="F616" s="151"/>
      <c r="G616" s="263">
        <f t="shared" si="74"/>
        <v>0</v>
      </c>
      <c r="H616" s="65"/>
      <c r="I616" s="275">
        <f t="shared" si="70"/>
        <v>0</v>
      </c>
      <c r="J616" s="161"/>
      <c r="K616" s="30"/>
      <c r="L616" s="30"/>
      <c r="M616" s="30"/>
      <c r="N616" s="30"/>
      <c r="O616" s="71">
        <f t="shared" si="71"/>
        <v>0</v>
      </c>
      <c r="P616" s="1070">
        <f t="shared" si="72"/>
        <v>0</v>
      </c>
      <c r="Q616" s="1071">
        <f t="shared" si="73"/>
        <v>0</v>
      </c>
    </row>
    <row r="617" spans="1:17" x14ac:dyDescent="0.2">
      <c r="A617" s="30"/>
      <c r="B617" s="162"/>
      <c r="C617" s="259"/>
      <c r="D617" s="267"/>
      <c r="E617" s="35"/>
      <c r="F617" s="151"/>
      <c r="G617" s="263">
        <f t="shared" si="74"/>
        <v>0</v>
      </c>
      <c r="H617" s="65"/>
      <c r="I617" s="275">
        <f t="shared" si="70"/>
        <v>0</v>
      </c>
      <c r="J617" s="161"/>
      <c r="K617" s="30"/>
      <c r="L617" s="30"/>
      <c r="M617" s="30"/>
      <c r="N617" s="30"/>
      <c r="O617" s="71">
        <f t="shared" si="71"/>
        <v>0</v>
      </c>
      <c r="P617" s="1070">
        <f t="shared" si="72"/>
        <v>0</v>
      </c>
      <c r="Q617" s="1071">
        <f t="shared" si="73"/>
        <v>0</v>
      </c>
    </row>
    <row r="618" spans="1:17" x14ac:dyDescent="0.2">
      <c r="A618" s="30"/>
      <c r="B618" s="162"/>
      <c r="C618" s="259"/>
      <c r="D618" s="267"/>
      <c r="E618" s="35"/>
      <c r="F618" s="151"/>
      <c r="G618" s="263">
        <f t="shared" si="74"/>
        <v>0</v>
      </c>
      <c r="H618" s="65"/>
      <c r="I618" s="275">
        <f t="shared" si="70"/>
        <v>0</v>
      </c>
      <c r="J618" s="161"/>
      <c r="K618" s="30"/>
      <c r="L618" s="30"/>
      <c r="M618" s="30"/>
      <c r="N618" s="30"/>
      <c r="O618" s="71">
        <f t="shared" si="71"/>
        <v>0</v>
      </c>
      <c r="P618" s="1070">
        <f t="shared" si="72"/>
        <v>0</v>
      </c>
      <c r="Q618" s="1071">
        <f t="shared" si="73"/>
        <v>0</v>
      </c>
    </row>
    <row r="619" spans="1:17" x14ac:dyDescent="0.2">
      <c r="A619" s="30"/>
      <c r="B619" s="162"/>
      <c r="C619" s="259"/>
      <c r="D619" s="267"/>
      <c r="E619" s="35"/>
      <c r="F619" s="151"/>
      <c r="G619" s="263">
        <f t="shared" si="74"/>
        <v>0</v>
      </c>
      <c r="H619" s="65"/>
      <c r="I619" s="275">
        <f t="shared" si="70"/>
        <v>0</v>
      </c>
      <c r="J619" s="161"/>
      <c r="K619" s="30"/>
      <c r="L619" s="30"/>
      <c r="M619" s="30"/>
      <c r="N619" s="30"/>
      <c r="O619" s="71">
        <f t="shared" si="71"/>
        <v>0</v>
      </c>
      <c r="P619" s="1070">
        <f t="shared" si="72"/>
        <v>0</v>
      </c>
      <c r="Q619" s="1071">
        <f t="shared" si="73"/>
        <v>0</v>
      </c>
    </row>
    <row r="620" spans="1:17" x14ac:dyDescent="0.2">
      <c r="A620" s="30"/>
      <c r="B620" s="162"/>
      <c r="C620" s="259"/>
      <c r="D620" s="267"/>
      <c r="E620" s="35"/>
      <c r="F620" s="151"/>
      <c r="G620" s="263">
        <f t="shared" si="74"/>
        <v>0</v>
      </c>
      <c r="H620" s="65"/>
      <c r="I620" s="275">
        <f t="shared" si="70"/>
        <v>0</v>
      </c>
      <c r="J620" s="161"/>
      <c r="K620" s="30"/>
      <c r="L620" s="30"/>
      <c r="M620" s="30"/>
      <c r="N620" s="30"/>
      <c r="O620" s="71">
        <f t="shared" si="71"/>
        <v>0</v>
      </c>
      <c r="P620" s="1070">
        <f t="shared" si="72"/>
        <v>0</v>
      </c>
      <c r="Q620" s="1071">
        <f t="shared" ref="Q620:Q639" si="75">IF($F620=$Q$43,$I620,0)</f>
        <v>0</v>
      </c>
    </row>
    <row r="621" spans="1:17" x14ac:dyDescent="0.2">
      <c r="A621" s="30"/>
      <c r="B621" s="162"/>
      <c r="C621" s="259"/>
      <c r="D621" s="267"/>
      <c r="E621" s="35"/>
      <c r="F621" s="151"/>
      <c r="G621" s="263">
        <f t="shared" si="74"/>
        <v>0</v>
      </c>
      <c r="H621" s="65"/>
      <c r="I621" s="275">
        <f t="shared" si="70"/>
        <v>0</v>
      </c>
      <c r="J621" s="161"/>
      <c r="K621" s="30"/>
      <c r="L621" s="30"/>
      <c r="M621" s="30"/>
      <c r="N621" s="30"/>
      <c r="O621" s="71">
        <f t="shared" si="71"/>
        <v>0</v>
      </c>
      <c r="P621" s="1070">
        <f t="shared" ref="P621:P639" si="76">IF($F621=$Q$42,$I621,0)</f>
        <v>0</v>
      </c>
      <c r="Q621" s="1071">
        <f t="shared" si="75"/>
        <v>0</v>
      </c>
    </row>
    <row r="622" spans="1:17" x14ac:dyDescent="0.2">
      <c r="A622" s="30"/>
      <c r="B622" s="162"/>
      <c r="C622" s="259"/>
      <c r="D622" s="267"/>
      <c r="E622" s="35"/>
      <c r="F622" s="151"/>
      <c r="G622" s="263">
        <f t="shared" si="74"/>
        <v>0</v>
      </c>
      <c r="H622" s="65"/>
      <c r="I622" s="275">
        <f t="shared" si="70"/>
        <v>0</v>
      </c>
      <c r="J622" s="161"/>
      <c r="K622" s="30"/>
      <c r="L622" s="30"/>
      <c r="M622" s="30"/>
      <c r="N622" s="30"/>
      <c r="O622" s="71">
        <f t="shared" si="71"/>
        <v>0</v>
      </c>
      <c r="P622" s="1070">
        <f t="shared" si="76"/>
        <v>0</v>
      </c>
      <c r="Q622" s="1071">
        <f t="shared" si="75"/>
        <v>0</v>
      </c>
    </row>
    <row r="623" spans="1:17" x14ac:dyDescent="0.2">
      <c r="A623" s="30"/>
      <c r="B623" s="162"/>
      <c r="C623" s="259"/>
      <c r="D623" s="267"/>
      <c r="E623" s="35"/>
      <c r="F623" s="151"/>
      <c r="G623" s="263">
        <f t="shared" si="74"/>
        <v>0</v>
      </c>
      <c r="H623" s="65"/>
      <c r="I623" s="275">
        <f t="shared" si="70"/>
        <v>0</v>
      </c>
      <c r="J623" s="161"/>
      <c r="K623" s="30"/>
      <c r="L623" s="30"/>
      <c r="M623" s="30"/>
      <c r="N623" s="30"/>
      <c r="O623" s="71">
        <f t="shared" si="71"/>
        <v>0</v>
      </c>
      <c r="P623" s="1070">
        <f t="shared" si="76"/>
        <v>0</v>
      </c>
      <c r="Q623" s="1071">
        <f t="shared" si="75"/>
        <v>0</v>
      </c>
    </row>
    <row r="624" spans="1:17" x14ac:dyDescent="0.2">
      <c r="A624" s="30"/>
      <c r="B624" s="162"/>
      <c r="C624" s="259"/>
      <c r="D624" s="267"/>
      <c r="E624" s="35"/>
      <c r="F624" s="151"/>
      <c r="G624" s="263">
        <f t="shared" si="74"/>
        <v>0</v>
      </c>
      <c r="H624" s="65"/>
      <c r="I624" s="275">
        <f t="shared" si="70"/>
        <v>0</v>
      </c>
      <c r="J624" s="161"/>
      <c r="K624" s="30"/>
      <c r="L624" s="30"/>
      <c r="M624" s="30"/>
      <c r="N624" s="30"/>
      <c r="O624" s="71">
        <f t="shared" si="71"/>
        <v>0</v>
      </c>
      <c r="P624" s="1070">
        <f t="shared" si="76"/>
        <v>0</v>
      </c>
      <c r="Q624" s="1071">
        <f t="shared" si="75"/>
        <v>0</v>
      </c>
    </row>
    <row r="625" spans="1:17" x14ac:dyDescent="0.2">
      <c r="A625" s="30"/>
      <c r="B625" s="162"/>
      <c r="C625" s="259"/>
      <c r="D625" s="267"/>
      <c r="E625" s="35"/>
      <c r="F625" s="151"/>
      <c r="G625" s="263">
        <f t="shared" si="74"/>
        <v>0</v>
      </c>
      <c r="H625" s="65"/>
      <c r="I625" s="275">
        <f t="shared" si="70"/>
        <v>0</v>
      </c>
      <c r="J625" s="161"/>
      <c r="K625" s="30"/>
      <c r="L625" s="30"/>
      <c r="M625" s="30"/>
      <c r="N625" s="30"/>
      <c r="O625" s="71">
        <f t="shared" si="71"/>
        <v>0</v>
      </c>
      <c r="P625" s="1070">
        <f t="shared" si="76"/>
        <v>0</v>
      </c>
      <c r="Q625" s="1071">
        <f t="shared" si="75"/>
        <v>0</v>
      </c>
    </row>
    <row r="626" spans="1:17" x14ac:dyDescent="0.2">
      <c r="A626" s="30"/>
      <c r="B626" s="162"/>
      <c r="C626" s="259"/>
      <c r="D626" s="267"/>
      <c r="E626" s="35"/>
      <c r="F626" s="151"/>
      <c r="G626" s="263">
        <f t="shared" si="74"/>
        <v>0</v>
      </c>
      <c r="H626" s="65"/>
      <c r="I626" s="275">
        <f t="shared" si="70"/>
        <v>0</v>
      </c>
      <c r="J626" s="161"/>
      <c r="K626" s="30"/>
      <c r="L626" s="30"/>
      <c r="M626" s="30"/>
      <c r="N626" s="30"/>
      <c r="O626" s="71">
        <f t="shared" si="71"/>
        <v>0</v>
      </c>
      <c r="P626" s="1070">
        <f t="shared" si="76"/>
        <v>0</v>
      </c>
      <c r="Q626" s="1071">
        <f t="shared" si="75"/>
        <v>0</v>
      </c>
    </row>
    <row r="627" spans="1:17" x14ac:dyDescent="0.2">
      <c r="A627" s="30"/>
      <c r="B627" s="162"/>
      <c r="C627" s="259"/>
      <c r="D627" s="267"/>
      <c r="E627" s="35"/>
      <c r="F627" s="151"/>
      <c r="G627" s="263">
        <f t="shared" si="74"/>
        <v>0</v>
      </c>
      <c r="H627" s="65"/>
      <c r="I627" s="275">
        <f t="shared" si="70"/>
        <v>0</v>
      </c>
      <c r="J627" s="161"/>
      <c r="K627" s="30"/>
      <c r="L627" s="30"/>
      <c r="M627" s="30"/>
      <c r="N627" s="30"/>
      <c r="O627" s="71">
        <f t="shared" si="71"/>
        <v>0</v>
      </c>
      <c r="P627" s="1070">
        <f t="shared" si="76"/>
        <v>0</v>
      </c>
      <c r="Q627" s="1071">
        <f t="shared" si="75"/>
        <v>0</v>
      </c>
    </row>
    <row r="628" spans="1:17" x14ac:dyDescent="0.2">
      <c r="A628" s="30"/>
      <c r="B628" s="162"/>
      <c r="C628" s="259"/>
      <c r="D628" s="267"/>
      <c r="E628" s="35"/>
      <c r="F628" s="151"/>
      <c r="G628" s="263">
        <f t="shared" si="74"/>
        <v>0</v>
      </c>
      <c r="H628" s="65"/>
      <c r="I628" s="275">
        <f t="shared" si="70"/>
        <v>0</v>
      </c>
      <c r="J628" s="161"/>
      <c r="K628" s="30"/>
      <c r="L628" s="30"/>
      <c r="M628" s="30"/>
      <c r="N628" s="30"/>
      <c r="O628" s="71">
        <f t="shared" si="71"/>
        <v>0</v>
      </c>
      <c r="P628" s="1070">
        <f t="shared" si="76"/>
        <v>0</v>
      </c>
      <c r="Q628" s="1071">
        <f t="shared" si="75"/>
        <v>0</v>
      </c>
    </row>
    <row r="629" spans="1:17" x14ac:dyDescent="0.2">
      <c r="A629" s="30"/>
      <c r="B629" s="162"/>
      <c r="C629" s="259"/>
      <c r="D629" s="267"/>
      <c r="E629" s="35"/>
      <c r="F629" s="151"/>
      <c r="G629" s="263">
        <f t="shared" si="74"/>
        <v>0</v>
      </c>
      <c r="H629" s="65"/>
      <c r="I629" s="275">
        <f t="shared" si="70"/>
        <v>0</v>
      </c>
      <c r="J629" s="161"/>
      <c r="K629" s="30"/>
      <c r="L629" s="30"/>
      <c r="M629" s="30"/>
      <c r="N629" s="30"/>
      <c r="O629" s="71">
        <f t="shared" si="71"/>
        <v>0</v>
      </c>
      <c r="P629" s="1070">
        <f t="shared" si="76"/>
        <v>0</v>
      </c>
      <c r="Q629" s="1071">
        <f t="shared" si="75"/>
        <v>0</v>
      </c>
    </row>
    <row r="630" spans="1:17" x14ac:dyDescent="0.2">
      <c r="A630" s="30"/>
      <c r="B630" s="162"/>
      <c r="C630" s="259"/>
      <c r="D630" s="267"/>
      <c r="E630" s="35"/>
      <c r="F630" s="151"/>
      <c r="G630" s="263">
        <f t="shared" si="74"/>
        <v>0</v>
      </c>
      <c r="H630" s="65"/>
      <c r="I630" s="275">
        <f t="shared" si="70"/>
        <v>0</v>
      </c>
      <c r="J630" s="161"/>
      <c r="K630" s="30"/>
      <c r="L630" s="30"/>
      <c r="M630" s="30"/>
      <c r="N630" s="30"/>
      <c r="O630" s="71">
        <f t="shared" si="71"/>
        <v>0</v>
      </c>
      <c r="P630" s="1070">
        <f t="shared" si="76"/>
        <v>0</v>
      </c>
      <c r="Q630" s="1071">
        <f t="shared" si="75"/>
        <v>0</v>
      </c>
    </row>
    <row r="631" spans="1:17" x14ac:dyDescent="0.2">
      <c r="A631" s="30"/>
      <c r="B631" s="162"/>
      <c r="C631" s="259"/>
      <c r="D631" s="267"/>
      <c r="E631" s="35"/>
      <c r="F631" s="151"/>
      <c r="G631" s="263">
        <f t="shared" si="74"/>
        <v>0</v>
      </c>
      <c r="H631" s="65"/>
      <c r="I631" s="275">
        <f t="shared" si="70"/>
        <v>0</v>
      </c>
      <c r="J631" s="161"/>
      <c r="K631" s="30"/>
      <c r="L631" s="30"/>
      <c r="M631" s="30"/>
      <c r="N631" s="30"/>
      <c r="O631" s="71">
        <f t="shared" si="71"/>
        <v>0</v>
      </c>
      <c r="P631" s="1070">
        <f t="shared" si="76"/>
        <v>0</v>
      </c>
      <c r="Q631" s="1071">
        <f t="shared" si="75"/>
        <v>0</v>
      </c>
    </row>
    <row r="632" spans="1:17" x14ac:dyDescent="0.2">
      <c r="A632" s="30"/>
      <c r="B632" s="162"/>
      <c r="C632" s="259"/>
      <c r="D632" s="267"/>
      <c r="E632" s="35"/>
      <c r="F632" s="151"/>
      <c r="G632" s="263">
        <f t="shared" si="74"/>
        <v>0</v>
      </c>
      <c r="H632" s="65"/>
      <c r="I632" s="275">
        <f t="shared" si="70"/>
        <v>0</v>
      </c>
      <c r="J632" s="161"/>
      <c r="K632" s="30"/>
      <c r="L632" s="30"/>
      <c r="M632" s="30"/>
      <c r="N632" s="30"/>
      <c r="O632" s="71">
        <f t="shared" si="71"/>
        <v>0</v>
      </c>
      <c r="P632" s="1070">
        <f t="shared" si="76"/>
        <v>0</v>
      </c>
      <c r="Q632" s="1071">
        <f t="shared" si="75"/>
        <v>0</v>
      </c>
    </row>
    <row r="633" spans="1:17" x14ac:dyDescent="0.2">
      <c r="A633" s="30"/>
      <c r="B633" s="162"/>
      <c r="C633" s="259"/>
      <c r="D633" s="267"/>
      <c r="E633" s="35"/>
      <c r="F633" s="151"/>
      <c r="G633" s="263">
        <f t="shared" si="74"/>
        <v>0</v>
      </c>
      <c r="H633" s="65"/>
      <c r="I633" s="275">
        <f t="shared" si="70"/>
        <v>0</v>
      </c>
      <c r="J633" s="161"/>
      <c r="K633" s="30"/>
      <c r="L633" s="30"/>
      <c r="M633" s="30"/>
      <c r="N633" s="30"/>
      <c r="O633" s="71">
        <f t="shared" si="71"/>
        <v>0</v>
      </c>
      <c r="P633" s="1070">
        <f t="shared" si="76"/>
        <v>0</v>
      </c>
      <c r="Q633" s="1071">
        <f t="shared" si="75"/>
        <v>0</v>
      </c>
    </row>
    <row r="634" spans="1:17" x14ac:dyDescent="0.2">
      <c r="A634" s="30"/>
      <c r="B634" s="162"/>
      <c r="C634" s="259"/>
      <c r="D634" s="267"/>
      <c r="E634" s="35"/>
      <c r="F634" s="151"/>
      <c r="G634" s="263">
        <f t="shared" si="74"/>
        <v>0</v>
      </c>
      <c r="H634" s="65"/>
      <c r="I634" s="275">
        <f t="shared" si="70"/>
        <v>0</v>
      </c>
      <c r="J634" s="161"/>
      <c r="K634" s="30"/>
      <c r="L634" s="30"/>
      <c r="M634" s="30"/>
      <c r="N634" s="30"/>
      <c r="O634" s="71">
        <f t="shared" si="71"/>
        <v>0</v>
      </c>
      <c r="P634" s="1070">
        <f t="shared" si="76"/>
        <v>0</v>
      </c>
      <c r="Q634" s="1071">
        <f t="shared" si="75"/>
        <v>0</v>
      </c>
    </row>
    <row r="635" spans="1:17" x14ac:dyDescent="0.2">
      <c r="A635" s="30"/>
      <c r="B635" s="162"/>
      <c r="C635" s="259"/>
      <c r="D635" s="267"/>
      <c r="E635" s="35"/>
      <c r="F635" s="151"/>
      <c r="G635" s="263">
        <f t="shared" si="74"/>
        <v>0</v>
      </c>
      <c r="H635" s="65"/>
      <c r="I635" s="275">
        <f t="shared" si="70"/>
        <v>0</v>
      </c>
      <c r="J635" s="161"/>
      <c r="K635" s="30"/>
      <c r="L635" s="30"/>
      <c r="M635" s="30"/>
      <c r="N635" s="30"/>
      <c r="O635" s="71">
        <f t="shared" si="71"/>
        <v>0</v>
      </c>
      <c r="P635" s="1070">
        <f t="shared" si="76"/>
        <v>0</v>
      </c>
      <c r="Q635" s="1071">
        <f t="shared" si="75"/>
        <v>0</v>
      </c>
    </row>
    <row r="636" spans="1:17" x14ac:dyDescent="0.2">
      <c r="A636" s="30"/>
      <c r="B636" s="162"/>
      <c r="C636" s="259"/>
      <c r="D636" s="267"/>
      <c r="E636" s="35"/>
      <c r="F636" s="151"/>
      <c r="G636" s="263">
        <f t="shared" si="74"/>
        <v>0</v>
      </c>
      <c r="H636" s="65"/>
      <c r="I636" s="275">
        <f t="shared" si="70"/>
        <v>0</v>
      </c>
      <c r="J636" s="161"/>
      <c r="K636" s="30"/>
      <c r="L636" s="30"/>
      <c r="M636" s="30"/>
      <c r="N636" s="30"/>
      <c r="O636" s="71">
        <f t="shared" si="71"/>
        <v>0</v>
      </c>
      <c r="P636" s="1070">
        <f t="shared" si="76"/>
        <v>0</v>
      </c>
      <c r="Q636" s="1071">
        <f t="shared" si="75"/>
        <v>0</v>
      </c>
    </row>
    <row r="637" spans="1:17" x14ac:dyDescent="0.2">
      <c r="A637" s="30"/>
      <c r="B637" s="162"/>
      <c r="C637" s="259"/>
      <c r="D637" s="267"/>
      <c r="E637" s="35"/>
      <c r="F637" s="151"/>
      <c r="G637" s="263">
        <f t="shared" si="74"/>
        <v>0</v>
      </c>
      <c r="H637" s="65"/>
      <c r="I637" s="275">
        <f t="shared" si="70"/>
        <v>0</v>
      </c>
      <c r="J637" s="161"/>
      <c r="K637" s="30"/>
      <c r="L637" s="30"/>
      <c r="M637" s="30"/>
      <c r="N637" s="30"/>
      <c r="O637" s="71">
        <f t="shared" si="71"/>
        <v>0</v>
      </c>
      <c r="P637" s="1070">
        <f t="shared" si="76"/>
        <v>0</v>
      </c>
      <c r="Q637" s="1071">
        <f t="shared" si="75"/>
        <v>0</v>
      </c>
    </row>
    <row r="638" spans="1:17" x14ac:dyDescent="0.2">
      <c r="A638" s="30"/>
      <c r="B638" s="162"/>
      <c r="C638" s="259"/>
      <c r="D638" s="267"/>
      <c r="E638" s="35"/>
      <c r="F638" s="151"/>
      <c r="G638" s="263">
        <f t="shared" si="74"/>
        <v>0</v>
      </c>
      <c r="H638" s="65"/>
      <c r="I638" s="275">
        <f t="shared" si="70"/>
        <v>0</v>
      </c>
      <c r="J638" s="161"/>
      <c r="K638" s="30"/>
      <c r="L638" s="30"/>
      <c r="M638" s="30"/>
      <c r="N638" s="30"/>
      <c r="O638" s="71">
        <f t="shared" si="71"/>
        <v>0</v>
      </c>
      <c r="P638" s="1070">
        <f t="shared" si="76"/>
        <v>0</v>
      </c>
      <c r="Q638" s="1071">
        <f t="shared" si="75"/>
        <v>0</v>
      </c>
    </row>
    <row r="639" spans="1:17" ht="13.5" thickBot="1" x14ac:dyDescent="0.25">
      <c r="A639" s="30"/>
      <c r="B639" s="163"/>
      <c r="C639" s="260"/>
      <c r="D639" s="268"/>
      <c r="E639" s="24"/>
      <c r="F639" s="25"/>
      <c r="G639" s="264">
        <f t="shared" si="74"/>
        <v>0</v>
      </c>
      <c r="H639" s="272"/>
      <c r="I639" s="276">
        <f t="shared" si="70"/>
        <v>0</v>
      </c>
      <c r="J639" s="161"/>
      <c r="K639" s="30"/>
      <c r="L639" s="30"/>
      <c r="M639" s="30"/>
      <c r="N639" s="30"/>
      <c r="O639" s="71">
        <f t="shared" si="71"/>
        <v>0</v>
      </c>
      <c r="P639" s="1070">
        <f t="shared" si="76"/>
        <v>0</v>
      </c>
      <c r="Q639" s="1071">
        <f t="shared" si="75"/>
        <v>0</v>
      </c>
    </row>
    <row r="640" spans="1:17" ht="6.75" customHeight="1" thickBot="1" x14ac:dyDescent="0.25">
      <c r="A640" s="30"/>
      <c r="B640" s="155"/>
      <c r="C640" s="155"/>
      <c r="D640" s="155"/>
      <c r="E640" s="155"/>
      <c r="F640" s="155"/>
      <c r="G640" s="155"/>
      <c r="H640" s="155"/>
      <c r="I640" s="155"/>
      <c r="J640" s="155"/>
      <c r="K640" s="30"/>
      <c r="L640" s="30"/>
      <c r="M640" s="30"/>
      <c r="N640" s="30"/>
      <c r="O640" s="812">
        <f>SUM(O588:O639)</f>
        <v>0</v>
      </c>
      <c r="P640" s="1075">
        <f>SUM(P588:P639)</f>
        <v>0</v>
      </c>
      <c r="Q640" s="813">
        <f>SUM(Q588:Q639)</f>
        <v>0</v>
      </c>
    </row>
    <row r="641" spans="1:17" ht="50.1" customHeight="1" x14ac:dyDescent="0.2">
      <c r="L641" s="30"/>
      <c r="M641" s="30"/>
      <c r="N641" s="30"/>
    </row>
    <row r="642" spans="1:17" ht="18" x14ac:dyDescent="0.2">
      <c r="A642" s="1224" t="str">
        <f>UPPER("Patching Summary Table")</f>
        <v>PATCHING SUMMARY TABLE</v>
      </c>
      <c r="B642" s="1224"/>
      <c r="C642" s="1224"/>
      <c r="D642" s="1224"/>
      <c r="E642" s="1224"/>
      <c r="F642" s="1224"/>
      <c r="G642" s="1224"/>
      <c r="H642" s="1224"/>
      <c r="I642" s="1224"/>
      <c r="J642" s="1224"/>
      <c r="K642" s="30"/>
      <c r="L642" s="30"/>
      <c r="M642" s="30"/>
      <c r="N642" s="30"/>
      <c r="O642" s="30"/>
      <c r="P642" s="30"/>
    </row>
    <row r="643" spans="1:17" ht="8.25" customHeight="1" thickBot="1" x14ac:dyDescent="0.25">
      <c r="A643" s="30"/>
      <c r="B643" s="31"/>
      <c r="C643" s="31"/>
      <c r="D643" s="31"/>
      <c r="E643" s="31"/>
      <c r="F643" s="31"/>
      <c r="G643" s="31"/>
      <c r="H643" s="31"/>
      <c r="I643" s="31"/>
      <c r="J643" s="31"/>
      <c r="K643" s="30"/>
      <c r="O643" s="30"/>
      <c r="P643" s="30"/>
    </row>
    <row r="644" spans="1:17" x14ac:dyDescent="0.2">
      <c r="A644" s="30"/>
      <c r="B644" s="1310" t="s">
        <v>2</v>
      </c>
      <c r="C644" s="1319" t="s">
        <v>3</v>
      </c>
      <c r="D644" s="1310" t="s">
        <v>39</v>
      </c>
      <c r="E644" s="1308" t="s">
        <v>4</v>
      </c>
      <c r="F644" s="1223" t="s">
        <v>535</v>
      </c>
      <c r="G644" s="261" t="s">
        <v>129</v>
      </c>
      <c r="H644" s="269" t="s">
        <v>102</v>
      </c>
      <c r="I644" s="152" t="s">
        <v>209</v>
      </c>
      <c r="J644" s="31"/>
      <c r="K644" s="30"/>
      <c r="L644" s="30"/>
      <c r="M644" s="30"/>
      <c r="N644" s="30"/>
      <c r="O644" s="1159" t="s">
        <v>537</v>
      </c>
      <c r="P644" s="1305"/>
      <c r="Q644" s="1306"/>
    </row>
    <row r="645" spans="1:17" ht="13.5" thickBot="1" x14ac:dyDescent="0.25">
      <c r="A645" s="30"/>
      <c r="B645" s="1285"/>
      <c r="C645" s="1320"/>
      <c r="D645" s="1285"/>
      <c r="E645" s="1227"/>
      <c r="F645" s="1242"/>
      <c r="G645" s="262" t="s">
        <v>100</v>
      </c>
      <c r="H645" s="270" t="s">
        <v>100</v>
      </c>
      <c r="I645" s="273" t="s">
        <v>210</v>
      </c>
      <c r="J645" s="31"/>
      <c r="K645" s="30"/>
      <c r="L645" s="30"/>
      <c r="M645" s="30"/>
      <c r="N645" s="30"/>
      <c r="O645" s="41" t="str">
        <f>$Q$41</f>
        <v>Partial</v>
      </c>
      <c r="P645" s="42" t="str">
        <f>$Q$42</f>
        <v>Full ( HMA)</v>
      </c>
      <c r="Q645" s="43" t="str">
        <f>$Q$43</f>
        <v>Full (Composite)</v>
      </c>
    </row>
    <row r="646" spans="1:17" x14ac:dyDescent="0.2">
      <c r="A646" s="30"/>
      <c r="B646" s="159"/>
      <c r="C646" s="258"/>
      <c r="D646" s="265"/>
      <c r="E646" s="160"/>
      <c r="F646" s="266"/>
      <c r="G646" s="263">
        <f>ABS(C646-B646)</f>
        <v>0</v>
      </c>
      <c r="H646" s="271"/>
      <c r="I646" s="274">
        <f t="shared" ref="I646:I697" si="77">ROUNDUP((G646*H646)/9,0)</f>
        <v>0</v>
      </c>
      <c r="J646" s="161"/>
      <c r="K646" s="30"/>
      <c r="L646" s="30"/>
      <c r="M646" s="30"/>
      <c r="N646" s="30"/>
      <c r="O646" s="54">
        <f t="shared" ref="O646:O697" si="78">IF($F646=$Q$41,$I646,0)</f>
        <v>0</v>
      </c>
      <c r="P646" s="1069">
        <f t="shared" ref="P646:P678" si="79">IF($F646=$Q$42,$I646,0)</f>
        <v>0</v>
      </c>
      <c r="Q646" s="811">
        <f t="shared" ref="Q646:Q677" si="80">IF($F646=$Q$43,$I646,0)</f>
        <v>0</v>
      </c>
    </row>
    <row r="647" spans="1:17" x14ac:dyDescent="0.2">
      <c r="A647" s="30"/>
      <c r="B647" s="162"/>
      <c r="C647" s="259"/>
      <c r="D647" s="267"/>
      <c r="E647" s="35"/>
      <c r="F647" s="151"/>
      <c r="G647" s="263">
        <f t="shared" ref="G647:G697" si="81">ABS(C647-B647)</f>
        <v>0</v>
      </c>
      <c r="H647" s="65"/>
      <c r="I647" s="275">
        <f t="shared" si="77"/>
        <v>0</v>
      </c>
      <c r="J647" s="161"/>
      <c r="K647" s="30"/>
      <c r="L647" s="30"/>
      <c r="M647" s="30"/>
      <c r="N647" s="30"/>
      <c r="O647" s="71">
        <f t="shared" si="78"/>
        <v>0</v>
      </c>
      <c r="P647" s="1070">
        <f t="shared" si="79"/>
        <v>0</v>
      </c>
      <c r="Q647" s="1071">
        <f t="shared" si="80"/>
        <v>0</v>
      </c>
    </row>
    <row r="648" spans="1:17" x14ac:dyDescent="0.2">
      <c r="A648" s="30"/>
      <c r="B648" s="162"/>
      <c r="C648" s="259"/>
      <c r="D648" s="267"/>
      <c r="E648" s="35"/>
      <c r="F648" s="151"/>
      <c r="G648" s="263">
        <f t="shared" si="81"/>
        <v>0</v>
      </c>
      <c r="H648" s="65"/>
      <c r="I648" s="275">
        <f t="shared" si="77"/>
        <v>0</v>
      </c>
      <c r="J648" s="161"/>
      <c r="K648" s="30"/>
      <c r="L648" s="30"/>
      <c r="M648" s="30"/>
      <c r="N648" s="30"/>
      <c r="O648" s="71">
        <f t="shared" si="78"/>
        <v>0</v>
      </c>
      <c r="P648" s="1070">
        <f t="shared" si="79"/>
        <v>0</v>
      </c>
      <c r="Q648" s="1071">
        <f t="shared" si="80"/>
        <v>0</v>
      </c>
    </row>
    <row r="649" spans="1:17" x14ac:dyDescent="0.2">
      <c r="A649" s="30"/>
      <c r="B649" s="162"/>
      <c r="C649" s="259"/>
      <c r="D649" s="267"/>
      <c r="E649" s="35"/>
      <c r="F649" s="151"/>
      <c r="G649" s="263">
        <f t="shared" si="81"/>
        <v>0</v>
      </c>
      <c r="H649" s="65"/>
      <c r="I649" s="275">
        <f t="shared" si="77"/>
        <v>0</v>
      </c>
      <c r="J649" s="161"/>
      <c r="K649" s="30"/>
      <c r="L649" s="30"/>
      <c r="M649" s="30"/>
      <c r="N649" s="30"/>
      <c r="O649" s="71">
        <f t="shared" si="78"/>
        <v>0</v>
      </c>
      <c r="P649" s="1070">
        <f t="shared" si="79"/>
        <v>0</v>
      </c>
      <c r="Q649" s="1071">
        <f t="shared" si="80"/>
        <v>0</v>
      </c>
    </row>
    <row r="650" spans="1:17" x14ac:dyDescent="0.2">
      <c r="A650" s="30"/>
      <c r="B650" s="162"/>
      <c r="C650" s="259"/>
      <c r="D650" s="267"/>
      <c r="E650" s="35"/>
      <c r="F650" s="151"/>
      <c r="G650" s="263">
        <f t="shared" si="81"/>
        <v>0</v>
      </c>
      <c r="H650" s="65"/>
      <c r="I650" s="275">
        <f t="shared" si="77"/>
        <v>0</v>
      </c>
      <c r="J650" s="161"/>
      <c r="K650" s="30"/>
      <c r="L650" s="30"/>
      <c r="M650" s="30"/>
      <c r="N650" s="30"/>
      <c r="O650" s="71">
        <f t="shared" si="78"/>
        <v>0</v>
      </c>
      <c r="P650" s="1070">
        <f t="shared" si="79"/>
        <v>0</v>
      </c>
      <c r="Q650" s="1071">
        <f t="shared" si="80"/>
        <v>0</v>
      </c>
    </row>
    <row r="651" spans="1:17" x14ac:dyDescent="0.2">
      <c r="A651" s="30"/>
      <c r="B651" s="162"/>
      <c r="C651" s="259"/>
      <c r="D651" s="267"/>
      <c r="E651" s="35"/>
      <c r="F651" s="151"/>
      <c r="G651" s="263">
        <f t="shared" si="81"/>
        <v>0</v>
      </c>
      <c r="H651" s="65"/>
      <c r="I651" s="275">
        <f t="shared" si="77"/>
        <v>0</v>
      </c>
      <c r="J651" s="161"/>
      <c r="K651" s="30"/>
      <c r="L651" s="30"/>
      <c r="M651" s="30"/>
      <c r="N651" s="30"/>
      <c r="O651" s="71">
        <f t="shared" si="78"/>
        <v>0</v>
      </c>
      <c r="P651" s="1070">
        <f t="shared" si="79"/>
        <v>0</v>
      </c>
      <c r="Q651" s="1071">
        <f t="shared" si="80"/>
        <v>0</v>
      </c>
    </row>
    <row r="652" spans="1:17" x14ac:dyDescent="0.2">
      <c r="A652" s="30"/>
      <c r="B652" s="162"/>
      <c r="C652" s="259"/>
      <c r="D652" s="267"/>
      <c r="E652" s="35"/>
      <c r="F652" s="151"/>
      <c r="G652" s="263">
        <f t="shared" si="81"/>
        <v>0</v>
      </c>
      <c r="H652" s="65"/>
      <c r="I652" s="275">
        <f t="shared" si="77"/>
        <v>0</v>
      </c>
      <c r="J652" s="161"/>
      <c r="K652" s="30"/>
      <c r="L652" s="30"/>
      <c r="M652" s="30"/>
      <c r="N652" s="30"/>
      <c r="O652" s="71">
        <f t="shared" si="78"/>
        <v>0</v>
      </c>
      <c r="P652" s="1070">
        <f t="shared" si="79"/>
        <v>0</v>
      </c>
      <c r="Q652" s="1071">
        <f t="shared" si="80"/>
        <v>0</v>
      </c>
    </row>
    <row r="653" spans="1:17" x14ac:dyDescent="0.2">
      <c r="A653" s="30"/>
      <c r="B653" s="162"/>
      <c r="C653" s="259"/>
      <c r="D653" s="267"/>
      <c r="E653" s="35"/>
      <c r="F653" s="151"/>
      <c r="G653" s="263">
        <f t="shared" si="81"/>
        <v>0</v>
      </c>
      <c r="H653" s="65"/>
      <c r="I653" s="275">
        <f t="shared" si="77"/>
        <v>0</v>
      </c>
      <c r="J653" s="161"/>
      <c r="K653" s="30"/>
      <c r="L653" s="30"/>
      <c r="M653" s="30"/>
      <c r="N653" s="30"/>
      <c r="O653" s="71">
        <f t="shared" si="78"/>
        <v>0</v>
      </c>
      <c r="P653" s="1070">
        <f t="shared" si="79"/>
        <v>0</v>
      </c>
      <c r="Q653" s="1071">
        <f t="shared" si="80"/>
        <v>0</v>
      </c>
    </row>
    <row r="654" spans="1:17" x14ac:dyDescent="0.2">
      <c r="A654" s="30"/>
      <c r="B654" s="162"/>
      <c r="C654" s="259"/>
      <c r="D654" s="267"/>
      <c r="E654" s="35"/>
      <c r="F654" s="151"/>
      <c r="G654" s="263">
        <f t="shared" si="81"/>
        <v>0</v>
      </c>
      <c r="H654" s="65"/>
      <c r="I654" s="275">
        <f t="shared" si="77"/>
        <v>0</v>
      </c>
      <c r="J654" s="161"/>
      <c r="K654" s="30"/>
      <c r="L654" s="30"/>
      <c r="M654" s="30"/>
      <c r="N654" s="30"/>
      <c r="O654" s="71">
        <f t="shared" si="78"/>
        <v>0</v>
      </c>
      <c r="P654" s="1070">
        <f t="shared" si="79"/>
        <v>0</v>
      </c>
      <c r="Q654" s="1071">
        <f t="shared" si="80"/>
        <v>0</v>
      </c>
    </row>
    <row r="655" spans="1:17" x14ac:dyDescent="0.2">
      <c r="A655" s="30"/>
      <c r="B655" s="162"/>
      <c r="C655" s="259"/>
      <c r="D655" s="267"/>
      <c r="E655" s="35"/>
      <c r="F655" s="151"/>
      <c r="G655" s="263">
        <f t="shared" si="81"/>
        <v>0</v>
      </c>
      <c r="H655" s="65"/>
      <c r="I655" s="275">
        <f t="shared" si="77"/>
        <v>0</v>
      </c>
      <c r="J655" s="161"/>
      <c r="K655" s="30"/>
      <c r="L655" s="30"/>
      <c r="M655" s="30"/>
      <c r="N655" s="30"/>
      <c r="O655" s="71">
        <f t="shared" si="78"/>
        <v>0</v>
      </c>
      <c r="P655" s="1070">
        <f t="shared" si="79"/>
        <v>0</v>
      </c>
      <c r="Q655" s="1071">
        <f t="shared" si="80"/>
        <v>0</v>
      </c>
    </row>
    <row r="656" spans="1:17" x14ac:dyDescent="0.2">
      <c r="A656" s="30"/>
      <c r="B656" s="162"/>
      <c r="C656" s="259"/>
      <c r="D656" s="267"/>
      <c r="E656" s="35"/>
      <c r="F656" s="151"/>
      <c r="G656" s="263">
        <f t="shared" si="81"/>
        <v>0</v>
      </c>
      <c r="H656" s="65"/>
      <c r="I656" s="275">
        <f t="shared" si="77"/>
        <v>0</v>
      </c>
      <c r="J656" s="161"/>
      <c r="K656" s="30"/>
      <c r="L656" s="30"/>
      <c r="M656" s="30"/>
      <c r="N656" s="30"/>
      <c r="O656" s="71">
        <f t="shared" si="78"/>
        <v>0</v>
      </c>
      <c r="P656" s="1070">
        <f t="shared" si="79"/>
        <v>0</v>
      </c>
      <c r="Q656" s="1071">
        <f t="shared" si="80"/>
        <v>0</v>
      </c>
    </row>
    <row r="657" spans="1:17" x14ac:dyDescent="0.2">
      <c r="A657" s="30"/>
      <c r="B657" s="162"/>
      <c r="C657" s="259"/>
      <c r="D657" s="267"/>
      <c r="E657" s="35"/>
      <c r="F657" s="151"/>
      <c r="G657" s="263">
        <f t="shared" si="81"/>
        <v>0</v>
      </c>
      <c r="H657" s="65"/>
      <c r="I657" s="275">
        <f t="shared" si="77"/>
        <v>0</v>
      </c>
      <c r="J657" s="161"/>
      <c r="K657" s="30"/>
      <c r="L657" s="30"/>
      <c r="M657" s="30"/>
      <c r="N657" s="30"/>
      <c r="O657" s="71">
        <f t="shared" si="78"/>
        <v>0</v>
      </c>
      <c r="P657" s="1070">
        <f t="shared" si="79"/>
        <v>0</v>
      </c>
      <c r="Q657" s="1071">
        <f t="shared" si="80"/>
        <v>0</v>
      </c>
    </row>
    <row r="658" spans="1:17" x14ac:dyDescent="0.2">
      <c r="A658" s="30"/>
      <c r="B658" s="162"/>
      <c r="C658" s="259"/>
      <c r="D658" s="267"/>
      <c r="E658" s="35"/>
      <c r="F658" s="151"/>
      <c r="G658" s="263">
        <f t="shared" si="81"/>
        <v>0</v>
      </c>
      <c r="H658" s="65"/>
      <c r="I658" s="275">
        <f t="shared" si="77"/>
        <v>0</v>
      </c>
      <c r="J658" s="161"/>
      <c r="K658" s="30"/>
      <c r="L658" s="30"/>
      <c r="M658" s="30"/>
      <c r="N658" s="30"/>
      <c r="O658" s="71">
        <f t="shared" si="78"/>
        <v>0</v>
      </c>
      <c r="P658" s="1070">
        <f t="shared" si="79"/>
        <v>0</v>
      </c>
      <c r="Q658" s="1071">
        <f t="shared" si="80"/>
        <v>0</v>
      </c>
    </row>
    <row r="659" spans="1:17" x14ac:dyDescent="0.2">
      <c r="A659" s="30"/>
      <c r="B659" s="162"/>
      <c r="C659" s="259"/>
      <c r="D659" s="267"/>
      <c r="E659" s="35"/>
      <c r="F659" s="151"/>
      <c r="G659" s="263">
        <f t="shared" si="81"/>
        <v>0</v>
      </c>
      <c r="H659" s="65"/>
      <c r="I659" s="275">
        <f t="shared" si="77"/>
        <v>0</v>
      </c>
      <c r="J659" s="161"/>
      <c r="K659" s="30"/>
      <c r="L659" s="30"/>
      <c r="M659" s="30"/>
      <c r="N659" s="30"/>
      <c r="O659" s="71">
        <f t="shared" si="78"/>
        <v>0</v>
      </c>
      <c r="P659" s="1070">
        <f t="shared" si="79"/>
        <v>0</v>
      </c>
      <c r="Q659" s="1071">
        <f t="shared" si="80"/>
        <v>0</v>
      </c>
    </row>
    <row r="660" spans="1:17" x14ac:dyDescent="0.2">
      <c r="A660" s="30"/>
      <c r="B660" s="162"/>
      <c r="C660" s="259"/>
      <c r="D660" s="267"/>
      <c r="E660" s="35"/>
      <c r="F660" s="151"/>
      <c r="G660" s="263">
        <f t="shared" si="81"/>
        <v>0</v>
      </c>
      <c r="H660" s="65"/>
      <c r="I660" s="275">
        <f t="shared" si="77"/>
        <v>0</v>
      </c>
      <c r="J660" s="161"/>
      <c r="K660" s="30"/>
      <c r="L660" s="30"/>
      <c r="M660" s="30"/>
      <c r="N660" s="30"/>
      <c r="O660" s="71">
        <f t="shared" si="78"/>
        <v>0</v>
      </c>
      <c r="P660" s="1070">
        <f t="shared" si="79"/>
        <v>0</v>
      </c>
      <c r="Q660" s="1071">
        <f t="shared" si="80"/>
        <v>0</v>
      </c>
    </row>
    <row r="661" spans="1:17" x14ac:dyDescent="0.2">
      <c r="A661" s="30"/>
      <c r="B661" s="162"/>
      <c r="C661" s="259"/>
      <c r="D661" s="267"/>
      <c r="E661" s="35"/>
      <c r="F661" s="151"/>
      <c r="G661" s="263">
        <f t="shared" si="81"/>
        <v>0</v>
      </c>
      <c r="H661" s="65"/>
      <c r="I661" s="275">
        <f t="shared" si="77"/>
        <v>0</v>
      </c>
      <c r="J661" s="161"/>
      <c r="K661" s="30"/>
      <c r="L661" s="30"/>
      <c r="M661" s="30"/>
      <c r="N661" s="30"/>
      <c r="O661" s="71">
        <f t="shared" si="78"/>
        <v>0</v>
      </c>
      <c r="P661" s="1070">
        <f t="shared" si="79"/>
        <v>0</v>
      </c>
      <c r="Q661" s="1071">
        <f t="shared" si="80"/>
        <v>0</v>
      </c>
    </row>
    <row r="662" spans="1:17" x14ac:dyDescent="0.2">
      <c r="A662" s="30"/>
      <c r="B662" s="162"/>
      <c r="C662" s="259"/>
      <c r="D662" s="267"/>
      <c r="E662" s="35"/>
      <c r="F662" s="151"/>
      <c r="G662" s="263">
        <f t="shared" si="81"/>
        <v>0</v>
      </c>
      <c r="H662" s="65"/>
      <c r="I662" s="275">
        <f t="shared" si="77"/>
        <v>0</v>
      </c>
      <c r="J662" s="161"/>
      <c r="K662" s="30"/>
      <c r="L662" s="30"/>
      <c r="M662" s="30"/>
      <c r="N662" s="30"/>
      <c r="O662" s="71">
        <f t="shared" si="78"/>
        <v>0</v>
      </c>
      <c r="P662" s="1070">
        <f t="shared" si="79"/>
        <v>0</v>
      </c>
      <c r="Q662" s="1071">
        <f t="shared" si="80"/>
        <v>0</v>
      </c>
    </row>
    <row r="663" spans="1:17" x14ac:dyDescent="0.2">
      <c r="A663" s="30"/>
      <c r="B663" s="162"/>
      <c r="C663" s="259"/>
      <c r="D663" s="267"/>
      <c r="E663" s="35"/>
      <c r="F663" s="151"/>
      <c r="G663" s="263">
        <f t="shared" si="81"/>
        <v>0</v>
      </c>
      <c r="H663" s="65"/>
      <c r="I663" s="275">
        <f t="shared" si="77"/>
        <v>0</v>
      </c>
      <c r="J663" s="161"/>
      <c r="K663" s="30"/>
      <c r="L663" s="30"/>
      <c r="M663" s="30"/>
      <c r="N663" s="30"/>
      <c r="O663" s="71">
        <f t="shared" si="78"/>
        <v>0</v>
      </c>
      <c r="P663" s="1070">
        <f t="shared" si="79"/>
        <v>0</v>
      </c>
      <c r="Q663" s="1071">
        <f t="shared" si="80"/>
        <v>0</v>
      </c>
    </row>
    <row r="664" spans="1:17" x14ac:dyDescent="0.2">
      <c r="A664" s="30"/>
      <c r="B664" s="162"/>
      <c r="C664" s="259"/>
      <c r="D664" s="267"/>
      <c r="E664" s="35"/>
      <c r="F664" s="151"/>
      <c r="G664" s="263">
        <f t="shared" si="81"/>
        <v>0</v>
      </c>
      <c r="H664" s="65"/>
      <c r="I664" s="275">
        <f t="shared" si="77"/>
        <v>0</v>
      </c>
      <c r="J664" s="161"/>
      <c r="K664" s="30"/>
      <c r="L664" s="30"/>
      <c r="M664" s="30"/>
      <c r="N664" s="30"/>
      <c r="O664" s="71">
        <f t="shared" si="78"/>
        <v>0</v>
      </c>
      <c r="P664" s="1070">
        <f t="shared" si="79"/>
        <v>0</v>
      </c>
      <c r="Q664" s="1071">
        <f t="shared" si="80"/>
        <v>0</v>
      </c>
    </row>
    <row r="665" spans="1:17" x14ac:dyDescent="0.2">
      <c r="A665" s="30"/>
      <c r="B665" s="162"/>
      <c r="C665" s="259"/>
      <c r="D665" s="267"/>
      <c r="E665" s="35"/>
      <c r="F665" s="151"/>
      <c r="G665" s="263">
        <f t="shared" si="81"/>
        <v>0</v>
      </c>
      <c r="H665" s="65"/>
      <c r="I665" s="275">
        <f t="shared" si="77"/>
        <v>0</v>
      </c>
      <c r="J665" s="161"/>
      <c r="K665" s="30"/>
      <c r="L665" s="30"/>
      <c r="M665" s="30"/>
      <c r="N665" s="30"/>
      <c r="O665" s="71">
        <f t="shared" si="78"/>
        <v>0</v>
      </c>
      <c r="P665" s="1070">
        <f t="shared" si="79"/>
        <v>0</v>
      </c>
      <c r="Q665" s="1071">
        <f t="shared" si="80"/>
        <v>0</v>
      </c>
    </row>
    <row r="666" spans="1:17" x14ac:dyDescent="0.2">
      <c r="A666" s="30"/>
      <c r="B666" s="162"/>
      <c r="C666" s="259"/>
      <c r="D666" s="267"/>
      <c r="E666" s="35"/>
      <c r="F666" s="151"/>
      <c r="G666" s="263">
        <f t="shared" si="81"/>
        <v>0</v>
      </c>
      <c r="H666" s="65"/>
      <c r="I666" s="275">
        <f t="shared" si="77"/>
        <v>0</v>
      </c>
      <c r="J666" s="161"/>
      <c r="K666" s="30"/>
      <c r="L666" s="30"/>
      <c r="M666" s="30"/>
      <c r="N666" s="30"/>
      <c r="O666" s="71">
        <f t="shared" si="78"/>
        <v>0</v>
      </c>
      <c r="P666" s="1070">
        <f t="shared" si="79"/>
        <v>0</v>
      </c>
      <c r="Q666" s="1071">
        <f t="shared" si="80"/>
        <v>0</v>
      </c>
    </row>
    <row r="667" spans="1:17" x14ac:dyDescent="0.2">
      <c r="A667" s="30"/>
      <c r="B667" s="162"/>
      <c r="C667" s="259"/>
      <c r="D667" s="267"/>
      <c r="E667" s="35"/>
      <c r="F667" s="151"/>
      <c r="G667" s="263">
        <f t="shared" si="81"/>
        <v>0</v>
      </c>
      <c r="H667" s="65"/>
      <c r="I667" s="275">
        <f t="shared" si="77"/>
        <v>0</v>
      </c>
      <c r="J667" s="161"/>
      <c r="K667" s="30"/>
      <c r="L667" s="30"/>
      <c r="M667" s="30"/>
      <c r="N667" s="30"/>
      <c r="O667" s="71">
        <f t="shared" si="78"/>
        <v>0</v>
      </c>
      <c r="P667" s="1070">
        <f t="shared" si="79"/>
        <v>0</v>
      </c>
      <c r="Q667" s="1071">
        <f t="shared" si="80"/>
        <v>0</v>
      </c>
    </row>
    <row r="668" spans="1:17" x14ac:dyDescent="0.2">
      <c r="A668" s="30"/>
      <c r="B668" s="162"/>
      <c r="C668" s="259"/>
      <c r="D668" s="267"/>
      <c r="E668" s="35"/>
      <c r="F668" s="151"/>
      <c r="G668" s="263">
        <f t="shared" si="81"/>
        <v>0</v>
      </c>
      <c r="H668" s="65"/>
      <c r="I668" s="275">
        <f t="shared" si="77"/>
        <v>0</v>
      </c>
      <c r="J668" s="161"/>
      <c r="K668" s="30"/>
      <c r="L668" s="30"/>
      <c r="M668" s="30"/>
      <c r="N668" s="30"/>
      <c r="O668" s="71">
        <f t="shared" si="78"/>
        <v>0</v>
      </c>
      <c r="P668" s="1070">
        <f t="shared" si="79"/>
        <v>0</v>
      </c>
      <c r="Q668" s="1071">
        <f t="shared" si="80"/>
        <v>0</v>
      </c>
    </row>
    <row r="669" spans="1:17" x14ac:dyDescent="0.2">
      <c r="A669" s="30"/>
      <c r="B669" s="162"/>
      <c r="C669" s="259"/>
      <c r="D669" s="267"/>
      <c r="E669" s="35"/>
      <c r="F669" s="151"/>
      <c r="G669" s="263">
        <f t="shared" si="81"/>
        <v>0</v>
      </c>
      <c r="H669" s="65"/>
      <c r="I669" s="275">
        <f t="shared" si="77"/>
        <v>0</v>
      </c>
      <c r="J669" s="161"/>
      <c r="K669" s="30"/>
      <c r="L669" s="30"/>
      <c r="M669" s="30"/>
      <c r="N669" s="30"/>
      <c r="O669" s="71">
        <f t="shared" si="78"/>
        <v>0</v>
      </c>
      <c r="P669" s="1070">
        <f t="shared" si="79"/>
        <v>0</v>
      </c>
      <c r="Q669" s="1071">
        <f t="shared" si="80"/>
        <v>0</v>
      </c>
    </row>
    <row r="670" spans="1:17" x14ac:dyDescent="0.2">
      <c r="A670" s="30"/>
      <c r="B670" s="162"/>
      <c r="C670" s="259"/>
      <c r="D670" s="267"/>
      <c r="E670" s="35"/>
      <c r="F670" s="151"/>
      <c r="G670" s="263">
        <f t="shared" si="81"/>
        <v>0</v>
      </c>
      <c r="H670" s="65"/>
      <c r="I670" s="275">
        <f t="shared" si="77"/>
        <v>0</v>
      </c>
      <c r="J670" s="161"/>
      <c r="K670" s="30"/>
      <c r="L670" s="30"/>
      <c r="M670" s="30"/>
      <c r="N670" s="30"/>
      <c r="O670" s="71">
        <f t="shared" si="78"/>
        <v>0</v>
      </c>
      <c r="P670" s="1070">
        <f t="shared" si="79"/>
        <v>0</v>
      </c>
      <c r="Q670" s="1071">
        <f t="shared" si="80"/>
        <v>0</v>
      </c>
    </row>
    <row r="671" spans="1:17" x14ac:dyDescent="0.2">
      <c r="A671" s="30"/>
      <c r="B671" s="162"/>
      <c r="C671" s="259"/>
      <c r="D671" s="267"/>
      <c r="E671" s="35"/>
      <c r="F671" s="151"/>
      <c r="G671" s="263">
        <f t="shared" si="81"/>
        <v>0</v>
      </c>
      <c r="H671" s="65"/>
      <c r="I671" s="275">
        <f t="shared" si="77"/>
        <v>0</v>
      </c>
      <c r="J671" s="161"/>
      <c r="K671" s="30"/>
      <c r="L671" s="30"/>
      <c r="M671" s="30"/>
      <c r="N671" s="30"/>
      <c r="O671" s="71">
        <f t="shared" si="78"/>
        <v>0</v>
      </c>
      <c r="P671" s="1070">
        <f t="shared" si="79"/>
        <v>0</v>
      </c>
      <c r="Q671" s="1071">
        <f t="shared" si="80"/>
        <v>0</v>
      </c>
    </row>
    <row r="672" spans="1:17" x14ac:dyDescent="0.2">
      <c r="A672" s="30"/>
      <c r="B672" s="162"/>
      <c r="C672" s="259"/>
      <c r="D672" s="267"/>
      <c r="E672" s="35"/>
      <c r="F672" s="151"/>
      <c r="G672" s="263">
        <f t="shared" si="81"/>
        <v>0</v>
      </c>
      <c r="H672" s="65"/>
      <c r="I672" s="275">
        <f t="shared" si="77"/>
        <v>0</v>
      </c>
      <c r="J672" s="161"/>
      <c r="K672" s="30"/>
      <c r="L672" s="30"/>
      <c r="M672" s="30"/>
      <c r="N672" s="30"/>
      <c r="O672" s="71">
        <f t="shared" si="78"/>
        <v>0</v>
      </c>
      <c r="P672" s="1070">
        <f t="shared" si="79"/>
        <v>0</v>
      </c>
      <c r="Q672" s="1071">
        <f t="shared" si="80"/>
        <v>0</v>
      </c>
    </row>
    <row r="673" spans="1:17" x14ac:dyDescent="0.2">
      <c r="A673" s="30"/>
      <c r="B673" s="162"/>
      <c r="C673" s="259"/>
      <c r="D673" s="267"/>
      <c r="E673" s="35"/>
      <c r="F673" s="151"/>
      <c r="G673" s="263">
        <f t="shared" si="81"/>
        <v>0</v>
      </c>
      <c r="H673" s="65"/>
      <c r="I673" s="275">
        <f t="shared" si="77"/>
        <v>0</v>
      </c>
      <c r="J673" s="161"/>
      <c r="K673" s="30"/>
      <c r="L673" s="30"/>
      <c r="M673" s="30"/>
      <c r="N673" s="30"/>
      <c r="O673" s="71">
        <f t="shared" si="78"/>
        <v>0</v>
      </c>
      <c r="P673" s="1070">
        <f t="shared" si="79"/>
        <v>0</v>
      </c>
      <c r="Q673" s="1071">
        <f t="shared" si="80"/>
        <v>0</v>
      </c>
    </row>
    <row r="674" spans="1:17" x14ac:dyDescent="0.2">
      <c r="A674" s="30"/>
      <c r="B674" s="162"/>
      <c r="C674" s="259"/>
      <c r="D674" s="267"/>
      <c r="E674" s="35"/>
      <c r="F674" s="151"/>
      <c r="G674" s="263">
        <f t="shared" si="81"/>
        <v>0</v>
      </c>
      <c r="H674" s="65"/>
      <c r="I674" s="275">
        <f t="shared" si="77"/>
        <v>0</v>
      </c>
      <c r="J674" s="161"/>
      <c r="K674" s="30"/>
      <c r="L674" s="30"/>
      <c r="M674" s="30"/>
      <c r="N674" s="30"/>
      <c r="O674" s="71">
        <f t="shared" si="78"/>
        <v>0</v>
      </c>
      <c r="P674" s="1070">
        <f t="shared" si="79"/>
        <v>0</v>
      </c>
      <c r="Q674" s="1071">
        <f t="shared" si="80"/>
        <v>0</v>
      </c>
    </row>
    <row r="675" spans="1:17" x14ac:dyDescent="0.2">
      <c r="A675" s="30"/>
      <c r="B675" s="162"/>
      <c r="C675" s="259"/>
      <c r="D675" s="267"/>
      <c r="E675" s="35"/>
      <c r="F675" s="151"/>
      <c r="G675" s="263">
        <f t="shared" si="81"/>
        <v>0</v>
      </c>
      <c r="H675" s="65"/>
      <c r="I675" s="275">
        <f t="shared" si="77"/>
        <v>0</v>
      </c>
      <c r="J675" s="161"/>
      <c r="K675" s="30"/>
      <c r="L675" s="30"/>
      <c r="M675" s="30"/>
      <c r="N675" s="30"/>
      <c r="O675" s="71">
        <f t="shared" si="78"/>
        <v>0</v>
      </c>
      <c r="P675" s="1070">
        <f t="shared" si="79"/>
        <v>0</v>
      </c>
      <c r="Q675" s="1071">
        <f t="shared" si="80"/>
        <v>0</v>
      </c>
    </row>
    <row r="676" spans="1:17" x14ac:dyDescent="0.2">
      <c r="A676" s="30"/>
      <c r="B676" s="162"/>
      <c r="C676" s="259"/>
      <c r="D676" s="267"/>
      <c r="E676" s="35"/>
      <c r="F676" s="151"/>
      <c r="G676" s="263">
        <f t="shared" si="81"/>
        <v>0</v>
      </c>
      <c r="H676" s="65"/>
      <c r="I676" s="275">
        <f t="shared" si="77"/>
        <v>0</v>
      </c>
      <c r="J676" s="161"/>
      <c r="K676" s="30"/>
      <c r="L676" s="30"/>
      <c r="M676" s="30"/>
      <c r="N676" s="30"/>
      <c r="O676" s="71">
        <f t="shared" si="78"/>
        <v>0</v>
      </c>
      <c r="P676" s="1070">
        <f t="shared" si="79"/>
        <v>0</v>
      </c>
      <c r="Q676" s="1071">
        <f t="shared" si="80"/>
        <v>0</v>
      </c>
    </row>
    <row r="677" spans="1:17" x14ac:dyDescent="0.2">
      <c r="A677" s="30"/>
      <c r="B677" s="162"/>
      <c r="C677" s="259"/>
      <c r="D677" s="267"/>
      <c r="E677" s="35"/>
      <c r="F677" s="151"/>
      <c r="G677" s="263">
        <f t="shared" si="81"/>
        <v>0</v>
      </c>
      <c r="H677" s="65"/>
      <c r="I677" s="275">
        <f t="shared" si="77"/>
        <v>0</v>
      </c>
      <c r="J677" s="161"/>
      <c r="K677" s="30"/>
      <c r="L677" s="30"/>
      <c r="M677" s="30"/>
      <c r="N677" s="30"/>
      <c r="O677" s="71">
        <f t="shared" si="78"/>
        <v>0</v>
      </c>
      <c r="P677" s="1070">
        <f t="shared" si="79"/>
        <v>0</v>
      </c>
      <c r="Q677" s="1071">
        <f t="shared" si="80"/>
        <v>0</v>
      </c>
    </row>
    <row r="678" spans="1:17" x14ac:dyDescent="0.2">
      <c r="A678" s="30"/>
      <c r="B678" s="162"/>
      <c r="C678" s="259"/>
      <c r="D678" s="267"/>
      <c r="E678" s="35"/>
      <c r="F678" s="151"/>
      <c r="G678" s="263">
        <f t="shared" si="81"/>
        <v>0</v>
      </c>
      <c r="H678" s="65"/>
      <c r="I678" s="275">
        <f t="shared" si="77"/>
        <v>0</v>
      </c>
      <c r="J678" s="161"/>
      <c r="K678" s="30"/>
      <c r="L678" s="30"/>
      <c r="M678" s="30"/>
      <c r="N678" s="30"/>
      <c r="O678" s="71">
        <f t="shared" si="78"/>
        <v>0</v>
      </c>
      <c r="P678" s="1070">
        <f t="shared" si="79"/>
        <v>0</v>
      </c>
      <c r="Q678" s="1071">
        <f t="shared" ref="Q678:Q697" si="82">IF($F678=$Q$43,$I678,0)</f>
        <v>0</v>
      </c>
    </row>
    <row r="679" spans="1:17" x14ac:dyDescent="0.2">
      <c r="A679" s="30"/>
      <c r="B679" s="162"/>
      <c r="C679" s="259"/>
      <c r="D679" s="267"/>
      <c r="E679" s="35"/>
      <c r="F679" s="151"/>
      <c r="G679" s="263">
        <f t="shared" si="81"/>
        <v>0</v>
      </c>
      <c r="H679" s="65"/>
      <c r="I679" s="275">
        <f t="shared" si="77"/>
        <v>0</v>
      </c>
      <c r="J679" s="161"/>
      <c r="K679" s="30"/>
      <c r="L679" s="30"/>
      <c r="M679" s="30"/>
      <c r="N679" s="30"/>
      <c r="O679" s="71">
        <f t="shared" si="78"/>
        <v>0</v>
      </c>
      <c r="P679" s="1070">
        <f t="shared" ref="P679:P697" si="83">IF($F679=$Q$42,$I679,0)</f>
        <v>0</v>
      </c>
      <c r="Q679" s="1071">
        <f t="shared" si="82"/>
        <v>0</v>
      </c>
    </row>
    <row r="680" spans="1:17" x14ac:dyDescent="0.2">
      <c r="A680" s="30"/>
      <c r="B680" s="162"/>
      <c r="C680" s="259"/>
      <c r="D680" s="267"/>
      <c r="E680" s="35"/>
      <c r="F680" s="151"/>
      <c r="G680" s="263">
        <f t="shared" si="81"/>
        <v>0</v>
      </c>
      <c r="H680" s="65"/>
      <c r="I680" s="275">
        <f t="shared" si="77"/>
        <v>0</v>
      </c>
      <c r="J680" s="161"/>
      <c r="K680" s="30"/>
      <c r="L680" s="30"/>
      <c r="M680" s="30"/>
      <c r="N680" s="30"/>
      <c r="O680" s="71">
        <f t="shared" si="78"/>
        <v>0</v>
      </c>
      <c r="P680" s="1070">
        <f t="shared" si="83"/>
        <v>0</v>
      </c>
      <c r="Q680" s="1071">
        <f t="shared" si="82"/>
        <v>0</v>
      </c>
    </row>
    <row r="681" spans="1:17" x14ac:dyDescent="0.2">
      <c r="A681" s="30"/>
      <c r="B681" s="162"/>
      <c r="C681" s="259"/>
      <c r="D681" s="267"/>
      <c r="E681" s="35"/>
      <c r="F681" s="151"/>
      <c r="G681" s="263">
        <f t="shared" si="81"/>
        <v>0</v>
      </c>
      <c r="H681" s="65"/>
      <c r="I681" s="275">
        <f t="shared" si="77"/>
        <v>0</v>
      </c>
      <c r="J681" s="161"/>
      <c r="K681" s="30"/>
      <c r="L681" s="30"/>
      <c r="M681" s="30"/>
      <c r="N681" s="30"/>
      <c r="O681" s="71">
        <f t="shared" si="78"/>
        <v>0</v>
      </c>
      <c r="P681" s="1070">
        <f t="shared" si="83"/>
        <v>0</v>
      </c>
      <c r="Q681" s="1071">
        <f t="shared" si="82"/>
        <v>0</v>
      </c>
    </row>
    <row r="682" spans="1:17" x14ac:dyDescent="0.2">
      <c r="A682" s="30"/>
      <c r="B682" s="162"/>
      <c r="C682" s="259"/>
      <c r="D682" s="267"/>
      <c r="E682" s="35"/>
      <c r="F682" s="151"/>
      <c r="G682" s="263">
        <f t="shared" si="81"/>
        <v>0</v>
      </c>
      <c r="H682" s="65"/>
      <c r="I682" s="275">
        <f t="shared" si="77"/>
        <v>0</v>
      </c>
      <c r="J682" s="161"/>
      <c r="K682" s="30"/>
      <c r="L682" s="30"/>
      <c r="M682" s="30"/>
      <c r="N682" s="30"/>
      <c r="O682" s="71">
        <f t="shared" si="78"/>
        <v>0</v>
      </c>
      <c r="P682" s="1070">
        <f t="shared" si="83"/>
        <v>0</v>
      </c>
      <c r="Q682" s="1071">
        <f t="shared" si="82"/>
        <v>0</v>
      </c>
    </row>
    <row r="683" spans="1:17" x14ac:dyDescent="0.2">
      <c r="A683" s="30"/>
      <c r="B683" s="162"/>
      <c r="C683" s="259"/>
      <c r="D683" s="267"/>
      <c r="E683" s="35"/>
      <c r="F683" s="151"/>
      <c r="G683" s="263">
        <f t="shared" si="81"/>
        <v>0</v>
      </c>
      <c r="H683" s="65"/>
      <c r="I683" s="275">
        <f t="shared" si="77"/>
        <v>0</v>
      </c>
      <c r="J683" s="161"/>
      <c r="K683" s="30"/>
      <c r="L683" s="30"/>
      <c r="M683" s="30"/>
      <c r="N683" s="30"/>
      <c r="O683" s="71">
        <f t="shared" si="78"/>
        <v>0</v>
      </c>
      <c r="P683" s="1070">
        <f t="shared" si="83"/>
        <v>0</v>
      </c>
      <c r="Q683" s="1071">
        <f t="shared" si="82"/>
        <v>0</v>
      </c>
    </row>
    <row r="684" spans="1:17" x14ac:dyDescent="0.2">
      <c r="A684" s="30"/>
      <c r="B684" s="162"/>
      <c r="C684" s="259"/>
      <c r="D684" s="267"/>
      <c r="E684" s="35"/>
      <c r="F684" s="151"/>
      <c r="G684" s="263">
        <f t="shared" si="81"/>
        <v>0</v>
      </c>
      <c r="H684" s="65"/>
      <c r="I684" s="275">
        <f t="shared" si="77"/>
        <v>0</v>
      </c>
      <c r="J684" s="161"/>
      <c r="K684" s="30"/>
      <c r="L684" s="30"/>
      <c r="M684" s="30"/>
      <c r="N684" s="30"/>
      <c r="O684" s="71">
        <f t="shared" si="78"/>
        <v>0</v>
      </c>
      <c r="P684" s="1070">
        <f t="shared" si="83"/>
        <v>0</v>
      </c>
      <c r="Q684" s="1071">
        <f t="shared" si="82"/>
        <v>0</v>
      </c>
    </row>
    <row r="685" spans="1:17" x14ac:dyDescent="0.2">
      <c r="A685" s="30"/>
      <c r="B685" s="162"/>
      <c r="C685" s="259"/>
      <c r="D685" s="267"/>
      <c r="E685" s="35"/>
      <c r="F685" s="151"/>
      <c r="G685" s="263">
        <f t="shared" si="81"/>
        <v>0</v>
      </c>
      <c r="H685" s="65"/>
      <c r="I685" s="275">
        <f t="shared" si="77"/>
        <v>0</v>
      </c>
      <c r="J685" s="161"/>
      <c r="K685" s="30"/>
      <c r="L685" s="30"/>
      <c r="M685" s="30"/>
      <c r="N685" s="30"/>
      <c r="O685" s="71">
        <f t="shared" si="78"/>
        <v>0</v>
      </c>
      <c r="P685" s="1070">
        <f t="shared" si="83"/>
        <v>0</v>
      </c>
      <c r="Q685" s="1071">
        <f t="shared" si="82"/>
        <v>0</v>
      </c>
    </row>
    <row r="686" spans="1:17" x14ac:dyDescent="0.2">
      <c r="A686" s="30"/>
      <c r="B686" s="162"/>
      <c r="C686" s="259"/>
      <c r="D686" s="267"/>
      <c r="E686" s="35"/>
      <c r="F686" s="151"/>
      <c r="G686" s="263">
        <f t="shared" si="81"/>
        <v>0</v>
      </c>
      <c r="H686" s="65"/>
      <c r="I686" s="275">
        <f t="shared" si="77"/>
        <v>0</v>
      </c>
      <c r="J686" s="161"/>
      <c r="K686" s="30"/>
      <c r="L686" s="30"/>
      <c r="M686" s="30"/>
      <c r="N686" s="30"/>
      <c r="O686" s="71">
        <f t="shared" si="78"/>
        <v>0</v>
      </c>
      <c r="P686" s="1070">
        <f t="shared" si="83"/>
        <v>0</v>
      </c>
      <c r="Q686" s="1071">
        <f t="shared" si="82"/>
        <v>0</v>
      </c>
    </row>
    <row r="687" spans="1:17" x14ac:dyDescent="0.2">
      <c r="A687" s="30"/>
      <c r="B687" s="162"/>
      <c r="C687" s="259"/>
      <c r="D687" s="267"/>
      <c r="E687" s="35"/>
      <c r="F687" s="151"/>
      <c r="G687" s="263">
        <f t="shared" si="81"/>
        <v>0</v>
      </c>
      <c r="H687" s="65"/>
      <c r="I687" s="275">
        <f t="shared" si="77"/>
        <v>0</v>
      </c>
      <c r="J687" s="161"/>
      <c r="K687" s="30"/>
      <c r="L687" s="30"/>
      <c r="M687" s="30"/>
      <c r="N687" s="30"/>
      <c r="O687" s="71">
        <f t="shared" si="78"/>
        <v>0</v>
      </c>
      <c r="P687" s="1070">
        <f t="shared" si="83"/>
        <v>0</v>
      </c>
      <c r="Q687" s="1071">
        <f t="shared" si="82"/>
        <v>0</v>
      </c>
    </row>
    <row r="688" spans="1:17" x14ac:dyDescent="0.2">
      <c r="A688" s="30"/>
      <c r="B688" s="162"/>
      <c r="C688" s="259"/>
      <c r="D688" s="267"/>
      <c r="E688" s="35"/>
      <c r="F688" s="151"/>
      <c r="G688" s="263">
        <f t="shared" si="81"/>
        <v>0</v>
      </c>
      <c r="H688" s="65"/>
      <c r="I688" s="275">
        <f t="shared" si="77"/>
        <v>0</v>
      </c>
      <c r="J688" s="161"/>
      <c r="K688" s="30"/>
      <c r="L688" s="30"/>
      <c r="M688" s="30"/>
      <c r="N688" s="30"/>
      <c r="O688" s="71">
        <f t="shared" si="78"/>
        <v>0</v>
      </c>
      <c r="P688" s="1070">
        <f t="shared" si="83"/>
        <v>0</v>
      </c>
      <c r="Q688" s="1071">
        <f t="shared" si="82"/>
        <v>0</v>
      </c>
    </row>
    <row r="689" spans="1:17" x14ac:dyDescent="0.2">
      <c r="A689" s="30"/>
      <c r="B689" s="162"/>
      <c r="C689" s="259"/>
      <c r="D689" s="267"/>
      <c r="E689" s="35"/>
      <c r="F689" s="151"/>
      <c r="G689" s="263">
        <f t="shared" si="81"/>
        <v>0</v>
      </c>
      <c r="H689" s="65"/>
      <c r="I689" s="275">
        <f t="shared" si="77"/>
        <v>0</v>
      </c>
      <c r="J689" s="161"/>
      <c r="K689" s="30"/>
      <c r="L689" s="30"/>
      <c r="M689" s="30"/>
      <c r="N689" s="30"/>
      <c r="O689" s="71">
        <f t="shared" si="78"/>
        <v>0</v>
      </c>
      <c r="P689" s="1070">
        <f t="shared" si="83"/>
        <v>0</v>
      </c>
      <c r="Q689" s="1071">
        <f t="shared" si="82"/>
        <v>0</v>
      </c>
    </row>
    <row r="690" spans="1:17" x14ac:dyDescent="0.2">
      <c r="A690" s="30"/>
      <c r="B690" s="162"/>
      <c r="C690" s="259"/>
      <c r="D690" s="267"/>
      <c r="E690" s="35"/>
      <c r="F690" s="151"/>
      <c r="G690" s="263">
        <f t="shared" si="81"/>
        <v>0</v>
      </c>
      <c r="H690" s="65"/>
      <c r="I690" s="275">
        <f t="shared" si="77"/>
        <v>0</v>
      </c>
      <c r="J690" s="161"/>
      <c r="K690" s="30"/>
      <c r="L690" s="30"/>
      <c r="M690" s="30"/>
      <c r="N690" s="30"/>
      <c r="O690" s="71">
        <f t="shared" si="78"/>
        <v>0</v>
      </c>
      <c r="P690" s="1070">
        <f t="shared" si="83"/>
        <v>0</v>
      </c>
      <c r="Q690" s="1071">
        <f t="shared" si="82"/>
        <v>0</v>
      </c>
    </row>
    <row r="691" spans="1:17" x14ac:dyDescent="0.2">
      <c r="A691" s="30"/>
      <c r="B691" s="162"/>
      <c r="C691" s="259"/>
      <c r="D691" s="267"/>
      <c r="E691" s="35"/>
      <c r="F691" s="151"/>
      <c r="G691" s="263">
        <f t="shared" si="81"/>
        <v>0</v>
      </c>
      <c r="H691" s="65"/>
      <c r="I691" s="275">
        <f t="shared" si="77"/>
        <v>0</v>
      </c>
      <c r="J691" s="161"/>
      <c r="K691" s="30"/>
      <c r="L691" s="30"/>
      <c r="M691" s="30"/>
      <c r="N691" s="30"/>
      <c r="O691" s="71">
        <f t="shared" si="78"/>
        <v>0</v>
      </c>
      <c r="P691" s="1070">
        <f t="shared" si="83"/>
        <v>0</v>
      </c>
      <c r="Q691" s="1071">
        <f t="shared" si="82"/>
        <v>0</v>
      </c>
    </row>
    <row r="692" spans="1:17" x14ac:dyDescent="0.2">
      <c r="A692" s="30"/>
      <c r="B692" s="162"/>
      <c r="C692" s="259"/>
      <c r="D692" s="267"/>
      <c r="E692" s="35"/>
      <c r="F692" s="151"/>
      <c r="G692" s="263">
        <f t="shared" si="81"/>
        <v>0</v>
      </c>
      <c r="H692" s="65"/>
      <c r="I692" s="275">
        <f t="shared" si="77"/>
        <v>0</v>
      </c>
      <c r="J692" s="161"/>
      <c r="K692" s="30"/>
      <c r="L692" s="30"/>
      <c r="M692" s="30"/>
      <c r="N692" s="30"/>
      <c r="O692" s="71">
        <f t="shared" si="78"/>
        <v>0</v>
      </c>
      <c r="P692" s="1070">
        <f t="shared" si="83"/>
        <v>0</v>
      </c>
      <c r="Q692" s="1071">
        <f t="shared" si="82"/>
        <v>0</v>
      </c>
    </row>
    <row r="693" spans="1:17" x14ac:dyDescent="0.2">
      <c r="A693" s="30"/>
      <c r="B693" s="162"/>
      <c r="C693" s="259"/>
      <c r="D693" s="267"/>
      <c r="E693" s="35"/>
      <c r="F693" s="151"/>
      <c r="G693" s="263">
        <f t="shared" si="81"/>
        <v>0</v>
      </c>
      <c r="H693" s="65"/>
      <c r="I693" s="275">
        <f t="shared" si="77"/>
        <v>0</v>
      </c>
      <c r="J693" s="161"/>
      <c r="K693" s="30"/>
      <c r="L693" s="30"/>
      <c r="M693" s="30"/>
      <c r="N693" s="30"/>
      <c r="O693" s="71">
        <f t="shared" si="78"/>
        <v>0</v>
      </c>
      <c r="P693" s="1070">
        <f t="shared" si="83"/>
        <v>0</v>
      </c>
      <c r="Q693" s="1071">
        <f t="shared" si="82"/>
        <v>0</v>
      </c>
    </row>
    <row r="694" spans="1:17" x14ac:dyDescent="0.2">
      <c r="A694" s="30"/>
      <c r="B694" s="162"/>
      <c r="C694" s="259"/>
      <c r="D694" s="267"/>
      <c r="E694" s="35"/>
      <c r="F694" s="151"/>
      <c r="G694" s="263">
        <f t="shared" si="81"/>
        <v>0</v>
      </c>
      <c r="H694" s="65"/>
      <c r="I694" s="275">
        <f t="shared" si="77"/>
        <v>0</v>
      </c>
      <c r="J694" s="161"/>
      <c r="K694" s="30"/>
      <c r="L694" s="30"/>
      <c r="M694" s="30"/>
      <c r="N694" s="30"/>
      <c r="O694" s="71">
        <f t="shared" si="78"/>
        <v>0</v>
      </c>
      <c r="P694" s="1070">
        <f t="shared" si="83"/>
        <v>0</v>
      </c>
      <c r="Q694" s="1071">
        <f t="shared" si="82"/>
        <v>0</v>
      </c>
    </row>
    <row r="695" spans="1:17" x14ac:dyDescent="0.2">
      <c r="A695" s="30"/>
      <c r="B695" s="162"/>
      <c r="C695" s="259"/>
      <c r="D695" s="267"/>
      <c r="E695" s="35"/>
      <c r="F695" s="151"/>
      <c r="G695" s="263">
        <f t="shared" si="81"/>
        <v>0</v>
      </c>
      <c r="H695" s="65"/>
      <c r="I695" s="275">
        <f t="shared" si="77"/>
        <v>0</v>
      </c>
      <c r="J695" s="161"/>
      <c r="K695" s="30"/>
      <c r="L695" s="30"/>
      <c r="M695" s="30"/>
      <c r="N695" s="30"/>
      <c r="O695" s="71">
        <f t="shared" si="78"/>
        <v>0</v>
      </c>
      <c r="P695" s="1070">
        <f t="shared" si="83"/>
        <v>0</v>
      </c>
      <c r="Q695" s="1071">
        <f t="shared" si="82"/>
        <v>0</v>
      </c>
    </row>
    <row r="696" spans="1:17" x14ac:dyDescent="0.2">
      <c r="A696" s="30"/>
      <c r="B696" s="162"/>
      <c r="C696" s="259"/>
      <c r="D696" s="267"/>
      <c r="E696" s="35"/>
      <c r="F696" s="151"/>
      <c r="G696" s="263">
        <f t="shared" si="81"/>
        <v>0</v>
      </c>
      <c r="H696" s="65"/>
      <c r="I696" s="275">
        <f t="shared" si="77"/>
        <v>0</v>
      </c>
      <c r="J696" s="161"/>
      <c r="K696" s="30"/>
      <c r="L696" s="30"/>
      <c r="M696" s="30"/>
      <c r="N696" s="30"/>
      <c r="O696" s="71">
        <f t="shared" si="78"/>
        <v>0</v>
      </c>
      <c r="P696" s="1070">
        <f t="shared" si="83"/>
        <v>0</v>
      </c>
      <c r="Q696" s="1071">
        <f t="shared" si="82"/>
        <v>0</v>
      </c>
    </row>
    <row r="697" spans="1:17" ht="13.5" thickBot="1" x14ac:dyDescent="0.25">
      <c r="A697" s="30"/>
      <c r="B697" s="163"/>
      <c r="C697" s="260"/>
      <c r="D697" s="268"/>
      <c r="E697" s="24"/>
      <c r="F697" s="25"/>
      <c r="G697" s="264">
        <f t="shared" si="81"/>
        <v>0</v>
      </c>
      <c r="H697" s="272"/>
      <c r="I697" s="276">
        <f t="shared" si="77"/>
        <v>0</v>
      </c>
      <c r="J697" s="161"/>
      <c r="K697" s="30"/>
      <c r="L697" s="30"/>
      <c r="M697" s="30"/>
      <c r="N697" s="30"/>
      <c r="O697" s="71">
        <f t="shared" si="78"/>
        <v>0</v>
      </c>
      <c r="P697" s="1070">
        <f t="shared" si="83"/>
        <v>0</v>
      </c>
      <c r="Q697" s="1071">
        <f t="shared" si="82"/>
        <v>0</v>
      </c>
    </row>
    <row r="698" spans="1:17" ht="6.75" customHeight="1" thickBot="1" x14ac:dyDescent="0.25">
      <c r="A698" s="30"/>
      <c r="B698" s="155"/>
      <c r="C698" s="155"/>
      <c r="D698" s="155"/>
      <c r="E698" s="155"/>
      <c r="F698" s="155"/>
      <c r="G698" s="155"/>
      <c r="H698" s="155"/>
      <c r="I698" s="155"/>
      <c r="J698" s="155"/>
      <c r="K698" s="30"/>
      <c r="L698" s="30"/>
      <c r="M698" s="30"/>
      <c r="N698" s="30"/>
      <c r="O698" s="812">
        <f>SUM(O646:O697)</f>
        <v>0</v>
      </c>
      <c r="P698" s="1075">
        <f>SUM(P646:P697)</f>
        <v>0</v>
      </c>
      <c r="Q698" s="813">
        <f>SUM(Q646:Q697)</f>
        <v>0</v>
      </c>
    </row>
    <row r="699" spans="1:17" ht="50.1" customHeight="1" x14ac:dyDescent="0.2">
      <c r="A699" s="30"/>
      <c r="B699" s="155"/>
      <c r="C699" s="155"/>
      <c r="D699" s="155"/>
      <c r="E699" s="155"/>
      <c r="F699" s="155"/>
      <c r="G699" s="155"/>
      <c r="H699" s="155"/>
      <c r="I699" s="155"/>
      <c r="J699" s="155"/>
      <c r="K699" s="30"/>
      <c r="L699" s="30"/>
      <c r="M699" s="30"/>
      <c r="N699" s="30"/>
      <c r="O699" s="30"/>
      <c r="P699" s="30"/>
    </row>
    <row r="700" spans="1:17" ht="18" x14ac:dyDescent="0.2">
      <c r="A700" s="1224" t="str">
        <f>UPPER("Patching Summary Table")</f>
        <v>PATCHING SUMMARY TABLE</v>
      </c>
      <c r="B700" s="1224"/>
      <c r="C700" s="1224"/>
      <c r="D700" s="1224"/>
      <c r="E700" s="1224"/>
      <c r="F700" s="1224"/>
      <c r="G700" s="1224"/>
      <c r="H700" s="1224"/>
      <c r="I700" s="1224"/>
      <c r="J700" s="1224"/>
      <c r="K700" s="30"/>
      <c r="L700" s="30"/>
      <c r="M700" s="30"/>
      <c r="N700" s="30"/>
      <c r="O700" s="30"/>
      <c r="P700" s="30"/>
    </row>
    <row r="701" spans="1:17" ht="8.25" customHeight="1" thickBot="1" x14ac:dyDescent="0.25">
      <c r="A701" s="30"/>
      <c r="B701" s="31"/>
      <c r="C701" s="31"/>
      <c r="D701" s="31"/>
      <c r="E701" s="31"/>
      <c r="F701" s="31"/>
      <c r="G701" s="31"/>
      <c r="H701" s="31"/>
      <c r="I701" s="31"/>
      <c r="J701" s="31"/>
      <c r="K701" s="30"/>
      <c r="L701" s="30"/>
      <c r="M701" s="30"/>
      <c r="N701" s="30"/>
      <c r="O701" s="30"/>
      <c r="P701" s="30"/>
    </row>
    <row r="702" spans="1:17" x14ac:dyDescent="0.2">
      <c r="A702" s="30"/>
      <c r="B702" s="1310" t="s">
        <v>2</v>
      </c>
      <c r="C702" s="1319" t="s">
        <v>3</v>
      </c>
      <c r="D702" s="1310" t="s">
        <v>39</v>
      </c>
      <c r="E702" s="1308" t="s">
        <v>4</v>
      </c>
      <c r="F702" s="1223" t="s">
        <v>535</v>
      </c>
      <c r="G702" s="261" t="s">
        <v>129</v>
      </c>
      <c r="H702" s="269" t="s">
        <v>102</v>
      </c>
      <c r="I702" s="152" t="s">
        <v>209</v>
      </c>
      <c r="J702" s="31"/>
      <c r="K702" s="30"/>
      <c r="L702" s="30"/>
      <c r="M702" s="30"/>
      <c r="N702" s="30"/>
      <c r="O702" s="1159" t="s">
        <v>537</v>
      </c>
      <c r="P702" s="1305"/>
      <c r="Q702" s="1306"/>
    </row>
    <row r="703" spans="1:17" ht="13.5" thickBot="1" x14ac:dyDescent="0.25">
      <c r="A703" s="30"/>
      <c r="B703" s="1285"/>
      <c r="C703" s="1320"/>
      <c r="D703" s="1285"/>
      <c r="E703" s="1227"/>
      <c r="F703" s="1242"/>
      <c r="G703" s="262" t="s">
        <v>100</v>
      </c>
      <c r="H703" s="270" t="s">
        <v>100</v>
      </c>
      <c r="I703" s="273" t="s">
        <v>210</v>
      </c>
      <c r="J703" s="31"/>
      <c r="K703" s="30"/>
      <c r="L703" s="30"/>
      <c r="M703" s="30"/>
      <c r="N703" s="30"/>
      <c r="O703" s="41" t="str">
        <f>$Q$41</f>
        <v>Partial</v>
      </c>
      <c r="P703" s="42" t="str">
        <f>$Q$42</f>
        <v>Full ( HMA)</v>
      </c>
      <c r="Q703" s="43" t="str">
        <f>$Q$43</f>
        <v>Full (Composite)</v>
      </c>
    </row>
    <row r="704" spans="1:17" x14ac:dyDescent="0.2">
      <c r="A704" s="30"/>
      <c r="B704" s="159"/>
      <c r="C704" s="258"/>
      <c r="D704" s="265"/>
      <c r="E704" s="160"/>
      <c r="F704" s="266"/>
      <c r="G704" s="263">
        <f>ABS(C704-B704)</f>
        <v>0</v>
      </c>
      <c r="H704" s="271"/>
      <c r="I704" s="274">
        <f t="shared" ref="I704:I755" si="84">ROUNDUP((G704*H704)/9,0)</f>
        <v>0</v>
      </c>
      <c r="J704" s="161"/>
      <c r="K704" s="30"/>
      <c r="L704" s="30"/>
      <c r="M704" s="30"/>
      <c r="N704" s="30"/>
      <c r="O704" s="54">
        <f t="shared" ref="O704:O755" si="85">IF($F704=$Q$41,$I704,0)</f>
        <v>0</v>
      </c>
      <c r="P704" s="1069">
        <f t="shared" ref="P704:P736" si="86">IF($F704=$Q$42,$I704,0)</f>
        <v>0</v>
      </c>
      <c r="Q704" s="811">
        <f t="shared" ref="Q704:Q735" si="87">IF($F704=$Q$43,$I704,0)</f>
        <v>0</v>
      </c>
    </row>
    <row r="705" spans="1:17" x14ac:dyDescent="0.2">
      <c r="A705" s="30"/>
      <c r="B705" s="162"/>
      <c r="C705" s="259"/>
      <c r="D705" s="267"/>
      <c r="E705" s="35"/>
      <c r="F705" s="151"/>
      <c r="G705" s="263">
        <f t="shared" ref="G705:G755" si="88">ABS(C705-B705)</f>
        <v>0</v>
      </c>
      <c r="H705" s="65"/>
      <c r="I705" s="275">
        <f t="shared" si="84"/>
        <v>0</v>
      </c>
      <c r="J705" s="161"/>
      <c r="K705" s="30"/>
      <c r="L705" s="30"/>
      <c r="M705" s="30"/>
      <c r="N705" s="30"/>
      <c r="O705" s="71">
        <f t="shared" si="85"/>
        <v>0</v>
      </c>
      <c r="P705" s="1070">
        <f t="shared" si="86"/>
        <v>0</v>
      </c>
      <c r="Q705" s="1071">
        <f t="shared" si="87"/>
        <v>0</v>
      </c>
    </row>
    <row r="706" spans="1:17" x14ac:dyDescent="0.2">
      <c r="A706" s="30"/>
      <c r="B706" s="162"/>
      <c r="C706" s="259"/>
      <c r="D706" s="267"/>
      <c r="E706" s="35"/>
      <c r="F706" s="151"/>
      <c r="G706" s="263">
        <f t="shared" si="88"/>
        <v>0</v>
      </c>
      <c r="H706" s="65"/>
      <c r="I706" s="275">
        <f t="shared" si="84"/>
        <v>0</v>
      </c>
      <c r="J706" s="161"/>
      <c r="K706" s="30"/>
      <c r="L706" s="30"/>
      <c r="M706" s="30"/>
      <c r="N706" s="30"/>
      <c r="O706" s="71">
        <f t="shared" si="85"/>
        <v>0</v>
      </c>
      <c r="P706" s="1070">
        <f t="shared" si="86"/>
        <v>0</v>
      </c>
      <c r="Q706" s="1071">
        <f t="shared" si="87"/>
        <v>0</v>
      </c>
    </row>
    <row r="707" spans="1:17" x14ac:dyDescent="0.2">
      <c r="A707" s="30"/>
      <c r="B707" s="162"/>
      <c r="C707" s="259"/>
      <c r="D707" s="267"/>
      <c r="E707" s="35"/>
      <c r="F707" s="151"/>
      <c r="G707" s="263">
        <f t="shared" si="88"/>
        <v>0</v>
      </c>
      <c r="H707" s="65"/>
      <c r="I707" s="275">
        <f t="shared" si="84"/>
        <v>0</v>
      </c>
      <c r="J707" s="161"/>
      <c r="K707" s="30"/>
      <c r="L707" s="30"/>
      <c r="M707" s="30"/>
      <c r="N707" s="30"/>
      <c r="O707" s="71">
        <f t="shared" si="85"/>
        <v>0</v>
      </c>
      <c r="P707" s="1070">
        <f t="shared" si="86"/>
        <v>0</v>
      </c>
      <c r="Q707" s="1071">
        <f t="shared" si="87"/>
        <v>0</v>
      </c>
    </row>
    <row r="708" spans="1:17" x14ac:dyDescent="0.2">
      <c r="A708" s="30"/>
      <c r="B708" s="162"/>
      <c r="C708" s="259"/>
      <c r="D708" s="267"/>
      <c r="E708" s="35"/>
      <c r="F708" s="151"/>
      <c r="G708" s="263">
        <f t="shared" si="88"/>
        <v>0</v>
      </c>
      <c r="H708" s="65"/>
      <c r="I708" s="275">
        <f t="shared" si="84"/>
        <v>0</v>
      </c>
      <c r="J708" s="161"/>
      <c r="K708" s="30"/>
      <c r="L708" s="30"/>
      <c r="M708" s="30"/>
      <c r="N708" s="30"/>
      <c r="O708" s="71">
        <f t="shared" si="85"/>
        <v>0</v>
      </c>
      <c r="P708" s="1070">
        <f t="shared" si="86"/>
        <v>0</v>
      </c>
      <c r="Q708" s="1071">
        <f t="shared" si="87"/>
        <v>0</v>
      </c>
    </row>
    <row r="709" spans="1:17" x14ac:dyDescent="0.2">
      <c r="A709" s="30"/>
      <c r="B709" s="162"/>
      <c r="C709" s="259"/>
      <c r="D709" s="267"/>
      <c r="E709" s="35"/>
      <c r="F709" s="151"/>
      <c r="G709" s="263">
        <f t="shared" si="88"/>
        <v>0</v>
      </c>
      <c r="H709" s="65"/>
      <c r="I709" s="275">
        <f t="shared" si="84"/>
        <v>0</v>
      </c>
      <c r="J709" s="161"/>
      <c r="K709" s="30"/>
      <c r="L709" s="30"/>
      <c r="M709" s="30"/>
      <c r="N709" s="30"/>
      <c r="O709" s="71">
        <f t="shared" si="85"/>
        <v>0</v>
      </c>
      <c r="P709" s="1070">
        <f t="shared" si="86"/>
        <v>0</v>
      </c>
      <c r="Q709" s="1071">
        <f t="shared" si="87"/>
        <v>0</v>
      </c>
    </row>
    <row r="710" spans="1:17" x14ac:dyDescent="0.2">
      <c r="A710" s="30"/>
      <c r="B710" s="162"/>
      <c r="C710" s="259"/>
      <c r="D710" s="267"/>
      <c r="E710" s="35"/>
      <c r="F710" s="151"/>
      <c r="G710" s="263">
        <f t="shared" si="88"/>
        <v>0</v>
      </c>
      <c r="H710" s="65"/>
      <c r="I710" s="275">
        <f t="shared" si="84"/>
        <v>0</v>
      </c>
      <c r="J710" s="161"/>
      <c r="K710" s="30"/>
      <c r="L710" s="30"/>
      <c r="M710" s="30"/>
      <c r="N710" s="30"/>
      <c r="O710" s="71">
        <f t="shared" si="85"/>
        <v>0</v>
      </c>
      <c r="P710" s="1070">
        <f t="shared" si="86"/>
        <v>0</v>
      </c>
      <c r="Q710" s="1071">
        <f t="shared" si="87"/>
        <v>0</v>
      </c>
    </row>
    <row r="711" spans="1:17" x14ac:dyDescent="0.2">
      <c r="A711" s="30"/>
      <c r="B711" s="162"/>
      <c r="C711" s="259"/>
      <c r="D711" s="267"/>
      <c r="E711" s="35"/>
      <c r="F711" s="151"/>
      <c r="G711" s="263">
        <f t="shared" si="88"/>
        <v>0</v>
      </c>
      <c r="H711" s="65"/>
      <c r="I711" s="275">
        <f t="shared" si="84"/>
        <v>0</v>
      </c>
      <c r="J711" s="161"/>
      <c r="K711" s="30"/>
      <c r="L711" s="30"/>
      <c r="M711" s="30"/>
      <c r="N711" s="30"/>
      <c r="O711" s="71">
        <f t="shared" si="85"/>
        <v>0</v>
      </c>
      <c r="P711" s="1070">
        <f t="shared" si="86"/>
        <v>0</v>
      </c>
      <c r="Q711" s="1071">
        <f t="shared" si="87"/>
        <v>0</v>
      </c>
    </row>
    <row r="712" spans="1:17" x14ac:dyDescent="0.2">
      <c r="A712" s="30"/>
      <c r="B712" s="162"/>
      <c r="C712" s="259"/>
      <c r="D712" s="267"/>
      <c r="E712" s="35"/>
      <c r="F712" s="151"/>
      <c r="G712" s="263">
        <f t="shared" si="88"/>
        <v>0</v>
      </c>
      <c r="H712" s="65"/>
      <c r="I712" s="275">
        <f t="shared" si="84"/>
        <v>0</v>
      </c>
      <c r="J712" s="161"/>
      <c r="K712" s="30"/>
      <c r="L712" s="30"/>
      <c r="M712" s="30"/>
      <c r="N712" s="30"/>
      <c r="O712" s="71">
        <f t="shared" si="85"/>
        <v>0</v>
      </c>
      <c r="P712" s="1070">
        <f t="shared" si="86"/>
        <v>0</v>
      </c>
      <c r="Q712" s="1071">
        <f t="shared" si="87"/>
        <v>0</v>
      </c>
    </row>
    <row r="713" spans="1:17" x14ac:dyDescent="0.2">
      <c r="A713" s="30"/>
      <c r="B713" s="162"/>
      <c r="C713" s="259"/>
      <c r="D713" s="267"/>
      <c r="E713" s="35"/>
      <c r="F713" s="151"/>
      <c r="G713" s="263">
        <f t="shared" si="88"/>
        <v>0</v>
      </c>
      <c r="H713" s="65"/>
      <c r="I713" s="275">
        <f t="shared" si="84"/>
        <v>0</v>
      </c>
      <c r="J713" s="161"/>
      <c r="K713" s="30"/>
      <c r="L713" s="30"/>
      <c r="M713" s="30"/>
      <c r="N713" s="30"/>
      <c r="O713" s="71">
        <f t="shared" si="85"/>
        <v>0</v>
      </c>
      <c r="P713" s="1070">
        <f t="shared" si="86"/>
        <v>0</v>
      </c>
      <c r="Q713" s="1071">
        <f t="shared" si="87"/>
        <v>0</v>
      </c>
    </row>
    <row r="714" spans="1:17" x14ac:dyDescent="0.2">
      <c r="A714" s="30"/>
      <c r="B714" s="162"/>
      <c r="C714" s="259"/>
      <c r="D714" s="267"/>
      <c r="E714" s="35"/>
      <c r="F714" s="151"/>
      <c r="G714" s="263">
        <f t="shared" si="88"/>
        <v>0</v>
      </c>
      <c r="H714" s="65"/>
      <c r="I714" s="275">
        <f t="shared" si="84"/>
        <v>0</v>
      </c>
      <c r="J714" s="161"/>
      <c r="K714" s="30"/>
      <c r="L714" s="30"/>
      <c r="M714" s="30"/>
      <c r="N714" s="30"/>
      <c r="O714" s="71">
        <f t="shared" si="85"/>
        <v>0</v>
      </c>
      <c r="P714" s="1070">
        <f t="shared" si="86"/>
        <v>0</v>
      </c>
      <c r="Q714" s="1071">
        <f t="shared" si="87"/>
        <v>0</v>
      </c>
    </row>
    <row r="715" spans="1:17" x14ac:dyDescent="0.2">
      <c r="A715" s="30"/>
      <c r="B715" s="162"/>
      <c r="C715" s="259"/>
      <c r="D715" s="267"/>
      <c r="E715" s="35"/>
      <c r="F715" s="151"/>
      <c r="G715" s="263">
        <f t="shared" si="88"/>
        <v>0</v>
      </c>
      <c r="H715" s="65"/>
      <c r="I715" s="275">
        <f t="shared" si="84"/>
        <v>0</v>
      </c>
      <c r="J715" s="161"/>
      <c r="K715" s="30"/>
      <c r="L715" s="30"/>
      <c r="M715" s="30"/>
      <c r="N715" s="30"/>
      <c r="O715" s="71">
        <f t="shared" si="85"/>
        <v>0</v>
      </c>
      <c r="P715" s="1070">
        <f t="shared" si="86"/>
        <v>0</v>
      </c>
      <c r="Q715" s="1071">
        <f t="shared" si="87"/>
        <v>0</v>
      </c>
    </row>
    <row r="716" spans="1:17" x14ac:dyDescent="0.2">
      <c r="A716" s="30"/>
      <c r="B716" s="162"/>
      <c r="C716" s="259"/>
      <c r="D716" s="267"/>
      <c r="E716" s="35"/>
      <c r="F716" s="151"/>
      <c r="G716" s="263">
        <f t="shared" si="88"/>
        <v>0</v>
      </c>
      <c r="H716" s="65"/>
      <c r="I716" s="275">
        <f t="shared" si="84"/>
        <v>0</v>
      </c>
      <c r="J716" s="161"/>
      <c r="K716" s="30"/>
      <c r="L716" s="30"/>
      <c r="M716" s="30"/>
      <c r="N716" s="30"/>
      <c r="O716" s="71">
        <f t="shared" si="85"/>
        <v>0</v>
      </c>
      <c r="P716" s="1070">
        <f t="shared" si="86"/>
        <v>0</v>
      </c>
      <c r="Q716" s="1071">
        <f t="shared" si="87"/>
        <v>0</v>
      </c>
    </row>
    <row r="717" spans="1:17" x14ac:dyDescent="0.2">
      <c r="A717" s="30"/>
      <c r="B717" s="162"/>
      <c r="C717" s="259"/>
      <c r="D717" s="267"/>
      <c r="E717" s="35"/>
      <c r="F717" s="151"/>
      <c r="G717" s="263">
        <f t="shared" si="88"/>
        <v>0</v>
      </c>
      <c r="H717" s="65"/>
      <c r="I717" s="275">
        <f t="shared" si="84"/>
        <v>0</v>
      </c>
      <c r="J717" s="161"/>
      <c r="K717" s="30"/>
      <c r="L717" s="30"/>
      <c r="M717" s="30"/>
      <c r="N717" s="30"/>
      <c r="O717" s="71">
        <f t="shared" si="85"/>
        <v>0</v>
      </c>
      <c r="P717" s="1070">
        <f t="shared" si="86"/>
        <v>0</v>
      </c>
      <c r="Q717" s="1071">
        <f t="shared" si="87"/>
        <v>0</v>
      </c>
    </row>
    <row r="718" spans="1:17" x14ac:dyDescent="0.2">
      <c r="A718" s="30"/>
      <c r="B718" s="162"/>
      <c r="C718" s="259"/>
      <c r="D718" s="267"/>
      <c r="E718" s="35"/>
      <c r="F718" s="151"/>
      <c r="G718" s="263">
        <f t="shared" si="88"/>
        <v>0</v>
      </c>
      <c r="H718" s="65"/>
      <c r="I718" s="275">
        <f t="shared" si="84"/>
        <v>0</v>
      </c>
      <c r="J718" s="161"/>
      <c r="K718" s="30"/>
      <c r="L718" s="30"/>
      <c r="M718" s="30"/>
      <c r="N718" s="30"/>
      <c r="O718" s="71">
        <f t="shared" si="85"/>
        <v>0</v>
      </c>
      <c r="P718" s="1070">
        <f t="shared" si="86"/>
        <v>0</v>
      </c>
      <c r="Q718" s="1071">
        <f t="shared" si="87"/>
        <v>0</v>
      </c>
    </row>
    <row r="719" spans="1:17" x14ac:dyDescent="0.2">
      <c r="A719" s="30"/>
      <c r="B719" s="162"/>
      <c r="C719" s="259"/>
      <c r="D719" s="267"/>
      <c r="E719" s="35"/>
      <c r="F719" s="151"/>
      <c r="G719" s="263">
        <f t="shared" si="88"/>
        <v>0</v>
      </c>
      <c r="H719" s="65"/>
      <c r="I719" s="275">
        <f t="shared" si="84"/>
        <v>0</v>
      </c>
      <c r="J719" s="161"/>
      <c r="K719" s="30"/>
      <c r="L719" s="30"/>
      <c r="M719" s="30"/>
      <c r="N719" s="30"/>
      <c r="O719" s="71">
        <f t="shared" si="85"/>
        <v>0</v>
      </c>
      <c r="P719" s="1070">
        <f t="shared" si="86"/>
        <v>0</v>
      </c>
      <c r="Q719" s="1071">
        <f t="shared" si="87"/>
        <v>0</v>
      </c>
    </row>
    <row r="720" spans="1:17" x14ac:dyDescent="0.2">
      <c r="A720" s="30"/>
      <c r="B720" s="162"/>
      <c r="C720" s="259"/>
      <c r="D720" s="267"/>
      <c r="E720" s="35"/>
      <c r="F720" s="151"/>
      <c r="G720" s="263">
        <f t="shared" si="88"/>
        <v>0</v>
      </c>
      <c r="H720" s="65"/>
      <c r="I720" s="275">
        <f t="shared" si="84"/>
        <v>0</v>
      </c>
      <c r="J720" s="161"/>
      <c r="K720" s="30"/>
      <c r="L720" s="30"/>
      <c r="M720" s="30"/>
      <c r="N720" s="30"/>
      <c r="O720" s="71">
        <f t="shared" si="85"/>
        <v>0</v>
      </c>
      <c r="P720" s="1070">
        <f t="shared" si="86"/>
        <v>0</v>
      </c>
      <c r="Q720" s="1071">
        <f t="shared" si="87"/>
        <v>0</v>
      </c>
    </row>
    <row r="721" spans="1:17" x14ac:dyDescent="0.2">
      <c r="A721" s="30"/>
      <c r="B721" s="162"/>
      <c r="C721" s="259"/>
      <c r="D721" s="267"/>
      <c r="E721" s="35"/>
      <c r="F721" s="151"/>
      <c r="G721" s="263">
        <f t="shared" si="88"/>
        <v>0</v>
      </c>
      <c r="H721" s="65"/>
      <c r="I721" s="275">
        <f t="shared" si="84"/>
        <v>0</v>
      </c>
      <c r="J721" s="161"/>
      <c r="K721" s="30"/>
      <c r="L721" s="30"/>
      <c r="M721" s="30"/>
      <c r="N721" s="30"/>
      <c r="O721" s="71">
        <f t="shared" si="85"/>
        <v>0</v>
      </c>
      <c r="P721" s="1070">
        <f t="shared" si="86"/>
        <v>0</v>
      </c>
      <c r="Q721" s="1071">
        <f t="shared" si="87"/>
        <v>0</v>
      </c>
    </row>
    <row r="722" spans="1:17" x14ac:dyDescent="0.2">
      <c r="A722" s="30"/>
      <c r="B722" s="162"/>
      <c r="C722" s="259"/>
      <c r="D722" s="267"/>
      <c r="E722" s="35"/>
      <c r="F722" s="151"/>
      <c r="G722" s="263">
        <f t="shared" si="88"/>
        <v>0</v>
      </c>
      <c r="H722" s="65"/>
      <c r="I722" s="275">
        <f t="shared" si="84"/>
        <v>0</v>
      </c>
      <c r="J722" s="161"/>
      <c r="K722" s="30"/>
      <c r="L722" s="30"/>
      <c r="M722" s="30"/>
      <c r="N722" s="30"/>
      <c r="O722" s="71">
        <f t="shared" si="85"/>
        <v>0</v>
      </c>
      <c r="P722" s="1070">
        <f t="shared" si="86"/>
        <v>0</v>
      </c>
      <c r="Q722" s="1071">
        <f t="shared" si="87"/>
        <v>0</v>
      </c>
    </row>
    <row r="723" spans="1:17" x14ac:dyDescent="0.2">
      <c r="A723" s="30"/>
      <c r="B723" s="162"/>
      <c r="C723" s="259"/>
      <c r="D723" s="267"/>
      <c r="E723" s="35"/>
      <c r="F723" s="151"/>
      <c r="G723" s="263">
        <f t="shared" si="88"/>
        <v>0</v>
      </c>
      <c r="H723" s="65"/>
      <c r="I723" s="275">
        <f t="shared" si="84"/>
        <v>0</v>
      </c>
      <c r="J723" s="161"/>
      <c r="K723" s="30"/>
      <c r="L723" s="30"/>
      <c r="M723" s="30"/>
      <c r="N723" s="30"/>
      <c r="O723" s="71">
        <f t="shared" si="85"/>
        <v>0</v>
      </c>
      <c r="P723" s="1070">
        <f t="shared" si="86"/>
        <v>0</v>
      </c>
      <c r="Q723" s="1071">
        <f t="shared" si="87"/>
        <v>0</v>
      </c>
    </row>
    <row r="724" spans="1:17" x14ac:dyDescent="0.2">
      <c r="A724" s="30"/>
      <c r="B724" s="162"/>
      <c r="C724" s="259"/>
      <c r="D724" s="267"/>
      <c r="E724" s="35"/>
      <c r="F724" s="151"/>
      <c r="G724" s="263">
        <f t="shared" si="88"/>
        <v>0</v>
      </c>
      <c r="H724" s="65"/>
      <c r="I724" s="275">
        <f t="shared" si="84"/>
        <v>0</v>
      </c>
      <c r="J724" s="161"/>
      <c r="K724" s="30"/>
      <c r="L724" s="30"/>
      <c r="M724" s="30"/>
      <c r="N724" s="30"/>
      <c r="O724" s="71">
        <f t="shared" si="85"/>
        <v>0</v>
      </c>
      <c r="P724" s="1070">
        <f t="shared" si="86"/>
        <v>0</v>
      </c>
      <c r="Q724" s="1071">
        <f t="shared" si="87"/>
        <v>0</v>
      </c>
    </row>
    <row r="725" spans="1:17" x14ac:dyDescent="0.2">
      <c r="A725" s="30"/>
      <c r="B725" s="162"/>
      <c r="C725" s="259"/>
      <c r="D725" s="267"/>
      <c r="E725" s="35"/>
      <c r="F725" s="151"/>
      <c r="G725" s="263">
        <f t="shared" si="88"/>
        <v>0</v>
      </c>
      <c r="H725" s="65"/>
      <c r="I725" s="275">
        <f t="shared" si="84"/>
        <v>0</v>
      </c>
      <c r="J725" s="161"/>
      <c r="K725" s="30"/>
      <c r="L725" s="30"/>
      <c r="M725" s="30"/>
      <c r="N725" s="30"/>
      <c r="O725" s="71">
        <f t="shared" si="85"/>
        <v>0</v>
      </c>
      <c r="P725" s="1070">
        <f t="shared" si="86"/>
        <v>0</v>
      </c>
      <c r="Q725" s="1071">
        <f t="shared" si="87"/>
        <v>0</v>
      </c>
    </row>
    <row r="726" spans="1:17" x14ac:dyDescent="0.2">
      <c r="A726" s="30"/>
      <c r="B726" s="162"/>
      <c r="C726" s="259"/>
      <c r="D726" s="267"/>
      <c r="E726" s="35"/>
      <c r="F726" s="151"/>
      <c r="G726" s="263">
        <f t="shared" si="88"/>
        <v>0</v>
      </c>
      <c r="H726" s="65"/>
      <c r="I726" s="275">
        <f t="shared" si="84"/>
        <v>0</v>
      </c>
      <c r="J726" s="161"/>
      <c r="K726" s="30"/>
      <c r="L726" s="30"/>
      <c r="M726" s="30"/>
      <c r="N726" s="30"/>
      <c r="O726" s="71">
        <f t="shared" si="85"/>
        <v>0</v>
      </c>
      <c r="P726" s="1070">
        <f t="shared" si="86"/>
        <v>0</v>
      </c>
      <c r="Q726" s="1071">
        <f t="shared" si="87"/>
        <v>0</v>
      </c>
    </row>
    <row r="727" spans="1:17" x14ac:dyDescent="0.2">
      <c r="A727" s="30"/>
      <c r="B727" s="162"/>
      <c r="C727" s="259"/>
      <c r="D727" s="267"/>
      <c r="E727" s="35"/>
      <c r="F727" s="151"/>
      <c r="G727" s="263">
        <f t="shared" si="88"/>
        <v>0</v>
      </c>
      <c r="H727" s="65"/>
      <c r="I727" s="275">
        <f t="shared" si="84"/>
        <v>0</v>
      </c>
      <c r="J727" s="161"/>
      <c r="K727" s="30"/>
      <c r="L727" s="30"/>
      <c r="M727" s="30"/>
      <c r="N727" s="30"/>
      <c r="O727" s="71">
        <f t="shared" si="85"/>
        <v>0</v>
      </c>
      <c r="P727" s="1070">
        <f t="shared" si="86"/>
        <v>0</v>
      </c>
      <c r="Q727" s="1071">
        <f t="shared" si="87"/>
        <v>0</v>
      </c>
    </row>
    <row r="728" spans="1:17" x14ac:dyDescent="0.2">
      <c r="A728" s="30"/>
      <c r="B728" s="162"/>
      <c r="C728" s="259"/>
      <c r="D728" s="267"/>
      <c r="E728" s="35"/>
      <c r="F728" s="151"/>
      <c r="G728" s="263">
        <f t="shared" si="88"/>
        <v>0</v>
      </c>
      <c r="H728" s="65"/>
      <c r="I728" s="275">
        <f t="shared" si="84"/>
        <v>0</v>
      </c>
      <c r="J728" s="161"/>
      <c r="K728" s="30"/>
      <c r="L728" s="30"/>
      <c r="M728" s="30"/>
      <c r="N728" s="30"/>
      <c r="O728" s="71">
        <f t="shared" si="85"/>
        <v>0</v>
      </c>
      <c r="P728" s="1070">
        <f t="shared" si="86"/>
        <v>0</v>
      </c>
      <c r="Q728" s="1071">
        <f t="shared" si="87"/>
        <v>0</v>
      </c>
    </row>
    <row r="729" spans="1:17" x14ac:dyDescent="0.2">
      <c r="A729" s="30"/>
      <c r="B729" s="162"/>
      <c r="C729" s="259"/>
      <c r="D729" s="267"/>
      <c r="E729" s="35"/>
      <c r="F729" s="151"/>
      <c r="G729" s="263">
        <f t="shared" si="88"/>
        <v>0</v>
      </c>
      <c r="H729" s="65"/>
      <c r="I729" s="275">
        <f t="shared" si="84"/>
        <v>0</v>
      </c>
      <c r="J729" s="161"/>
      <c r="K729" s="30"/>
      <c r="L729" s="30"/>
      <c r="M729" s="30"/>
      <c r="N729" s="30"/>
      <c r="O729" s="71">
        <f t="shared" si="85"/>
        <v>0</v>
      </c>
      <c r="P729" s="1070">
        <f t="shared" si="86"/>
        <v>0</v>
      </c>
      <c r="Q729" s="1071">
        <f t="shared" si="87"/>
        <v>0</v>
      </c>
    </row>
    <row r="730" spans="1:17" x14ac:dyDescent="0.2">
      <c r="A730" s="30"/>
      <c r="B730" s="162"/>
      <c r="C730" s="259"/>
      <c r="D730" s="267"/>
      <c r="E730" s="35"/>
      <c r="F730" s="151"/>
      <c r="G730" s="263">
        <f t="shared" si="88"/>
        <v>0</v>
      </c>
      <c r="H730" s="65"/>
      <c r="I730" s="275">
        <f t="shared" si="84"/>
        <v>0</v>
      </c>
      <c r="J730" s="161"/>
      <c r="K730" s="30"/>
      <c r="L730" s="30"/>
      <c r="M730" s="30"/>
      <c r="N730" s="30"/>
      <c r="O730" s="71">
        <f t="shared" si="85"/>
        <v>0</v>
      </c>
      <c r="P730" s="1070">
        <f t="shared" si="86"/>
        <v>0</v>
      </c>
      <c r="Q730" s="1071">
        <f t="shared" si="87"/>
        <v>0</v>
      </c>
    </row>
    <row r="731" spans="1:17" x14ac:dyDescent="0.2">
      <c r="A731" s="30"/>
      <c r="B731" s="162"/>
      <c r="C731" s="259"/>
      <c r="D731" s="267"/>
      <c r="E731" s="35"/>
      <c r="F731" s="151"/>
      <c r="G731" s="263">
        <f t="shared" si="88"/>
        <v>0</v>
      </c>
      <c r="H731" s="65"/>
      <c r="I731" s="275">
        <f t="shared" si="84"/>
        <v>0</v>
      </c>
      <c r="J731" s="161"/>
      <c r="K731" s="30"/>
      <c r="L731" s="30"/>
      <c r="M731" s="30"/>
      <c r="N731" s="30"/>
      <c r="O731" s="71">
        <f t="shared" si="85"/>
        <v>0</v>
      </c>
      <c r="P731" s="1070">
        <f t="shared" si="86"/>
        <v>0</v>
      </c>
      <c r="Q731" s="1071">
        <f t="shared" si="87"/>
        <v>0</v>
      </c>
    </row>
    <row r="732" spans="1:17" x14ac:dyDescent="0.2">
      <c r="A732" s="30"/>
      <c r="B732" s="162"/>
      <c r="C732" s="259"/>
      <c r="D732" s="267"/>
      <c r="E732" s="35"/>
      <c r="F732" s="151"/>
      <c r="G732" s="263">
        <f t="shared" si="88"/>
        <v>0</v>
      </c>
      <c r="H732" s="65"/>
      <c r="I732" s="275">
        <f t="shared" si="84"/>
        <v>0</v>
      </c>
      <c r="J732" s="161"/>
      <c r="K732" s="30"/>
      <c r="L732" s="30"/>
      <c r="M732" s="30"/>
      <c r="N732" s="30"/>
      <c r="O732" s="71">
        <f t="shared" si="85"/>
        <v>0</v>
      </c>
      <c r="P732" s="1070">
        <f t="shared" si="86"/>
        <v>0</v>
      </c>
      <c r="Q732" s="1071">
        <f t="shared" si="87"/>
        <v>0</v>
      </c>
    </row>
    <row r="733" spans="1:17" x14ac:dyDescent="0.2">
      <c r="A733" s="30"/>
      <c r="B733" s="162"/>
      <c r="C733" s="259"/>
      <c r="D733" s="267"/>
      <c r="E733" s="35"/>
      <c r="F733" s="151"/>
      <c r="G733" s="263">
        <f t="shared" si="88"/>
        <v>0</v>
      </c>
      <c r="H733" s="65"/>
      <c r="I733" s="275">
        <f t="shared" si="84"/>
        <v>0</v>
      </c>
      <c r="J733" s="161"/>
      <c r="K733" s="30"/>
      <c r="L733" s="30"/>
      <c r="M733" s="30"/>
      <c r="N733" s="30"/>
      <c r="O733" s="71">
        <f t="shared" si="85"/>
        <v>0</v>
      </c>
      <c r="P733" s="1070">
        <f t="shared" si="86"/>
        <v>0</v>
      </c>
      <c r="Q733" s="1071">
        <f t="shared" si="87"/>
        <v>0</v>
      </c>
    </row>
    <row r="734" spans="1:17" x14ac:dyDescent="0.2">
      <c r="A734" s="30"/>
      <c r="B734" s="162"/>
      <c r="C734" s="259"/>
      <c r="D734" s="267"/>
      <c r="E734" s="35"/>
      <c r="F734" s="151"/>
      <c r="G734" s="263">
        <f t="shared" si="88"/>
        <v>0</v>
      </c>
      <c r="H734" s="65"/>
      <c r="I734" s="275">
        <f t="shared" si="84"/>
        <v>0</v>
      </c>
      <c r="J734" s="161"/>
      <c r="K734" s="30"/>
      <c r="L734" s="30"/>
      <c r="M734" s="30"/>
      <c r="N734" s="30"/>
      <c r="O734" s="71">
        <f t="shared" si="85"/>
        <v>0</v>
      </c>
      <c r="P734" s="1070">
        <f t="shared" si="86"/>
        <v>0</v>
      </c>
      <c r="Q734" s="1071">
        <f t="shared" si="87"/>
        <v>0</v>
      </c>
    </row>
    <row r="735" spans="1:17" x14ac:dyDescent="0.2">
      <c r="A735" s="30"/>
      <c r="B735" s="162"/>
      <c r="C735" s="259"/>
      <c r="D735" s="267"/>
      <c r="E735" s="35"/>
      <c r="F735" s="151"/>
      <c r="G735" s="263">
        <f t="shared" si="88"/>
        <v>0</v>
      </c>
      <c r="H735" s="65"/>
      <c r="I735" s="275">
        <f t="shared" si="84"/>
        <v>0</v>
      </c>
      <c r="J735" s="161"/>
      <c r="K735" s="30"/>
      <c r="L735" s="30"/>
      <c r="M735" s="30"/>
      <c r="N735" s="30"/>
      <c r="O735" s="71">
        <f t="shared" si="85"/>
        <v>0</v>
      </c>
      <c r="P735" s="1070">
        <f t="shared" si="86"/>
        <v>0</v>
      </c>
      <c r="Q735" s="1071">
        <f t="shared" si="87"/>
        <v>0</v>
      </c>
    </row>
    <row r="736" spans="1:17" x14ac:dyDescent="0.2">
      <c r="A736" s="30"/>
      <c r="B736" s="162"/>
      <c r="C736" s="259"/>
      <c r="D736" s="267"/>
      <c r="E736" s="35"/>
      <c r="F736" s="151"/>
      <c r="G736" s="263">
        <f t="shared" si="88"/>
        <v>0</v>
      </c>
      <c r="H736" s="65"/>
      <c r="I736" s="275">
        <f t="shared" si="84"/>
        <v>0</v>
      </c>
      <c r="J736" s="161"/>
      <c r="K736" s="30"/>
      <c r="L736" s="30"/>
      <c r="M736" s="30"/>
      <c r="N736" s="30"/>
      <c r="O736" s="71">
        <f t="shared" si="85"/>
        <v>0</v>
      </c>
      <c r="P736" s="1070">
        <f t="shared" si="86"/>
        <v>0</v>
      </c>
      <c r="Q736" s="1071">
        <f t="shared" ref="Q736:Q755" si="89">IF($F736=$Q$43,$I736,0)</f>
        <v>0</v>
      </c>
    </row>
    <row r="737" spans="1:17" x14ac:dyDescent="0.2">
      <c r="A737" s="30"/>
      <c r="B737" s="162"/>
      <c r="C737" s="259"/>
      <c r="D737" s="267"/>
      <c r="E737" s="35"/>
      <c r="F737" s="151"/>
      <c r="G737" s="263">
        <f t="shared" si="88"/>
        <v>0</v>
      </c>
      <c r="H737" s="65"/>
      <c r="I737" s="275">
        <f t="shared" si="84"/>
        <v>0</v>
      </c>
      <c r="J737" s="161"/>
      <c r="K737" s="30"/>
      <c r="L737" s="30"/>
      <c r="M737" s="30"/>
      <c r="N737" s="30"/>
      <c r="O737" s="71">
        <f t="shared" si="85"/>
        <v>0</v>
      </c>
      <c r="P737" s="1070">
        <f t="shared" ref="P737:P755" si="90">IF($F737=$Q$42,$I737,0)</f>
        <v>0</v>
      </c>
      <c r="Q737" s="1071">
        <f t="shared" si="89"/>
        <v>0</v>
      </c>
    </row>
    <row r="738" spans="1:17" x14ac:dyDescent="0.2">
      <c r="A738" s="30"/>
      <c r="B738" s="162"/>
      <c r="C738" s="259"/>
      <c r="D738" s="267"/>
      <c r="E738" s="35"/>
      <c r="F738" s="151"/>
      <c r="G738" s="263">
        <f t="shared" si="88"/>
        <v>0</v>
      </c>
      <c r="H738" s="65"/>
      <c r="I738" s="275">
        <f t="shared" si="84"/>
        <v>0</v>
      </c>
      <c r="J738" s="161"/>
      <c r="K738" s="30"/>
      <c r="L738" s="30"/>
      <c r="M738" s="30"/>
      <c r="N738" s="30"/>
      <c r="O738" s="71">
        <f t="shared" si="85"/>
        <v>0</v>
      </c>
      <c r="P738" s="1070">
        <f t="shared" si="90"/>
        <v>0</v>
      </c>
      <c r="Q738" s="1071">
        <f t="shared" si="89"/>
        <v>0</v>
      </c>
    </row>
    <row r="739" spans="1:17" x14ac:dyDescent="0.2">
      <c r="A739" s="30"/>
      <c r="B739" s="162"/>
      <c r="C739" s="259"/>
      <c r="D739" s="267"/>
      <c r="E739" s="35"/>
      <c r="F739" s="151"/>
      <c r="G739" s="263">
        <f t="shared" si="88"/>
        <v>0</v>
      </c>
      <c r="H739" s="65"/>
      <c r="I739" s="275">
        <f t="shared" si="84"/>
        <v>0</v>
      </c>
      <c r="J739" s="161"/>
      <c r="K739" s="30"/>
      <c r="L739" s="30"/>
      <c r="M739" s="30"/>
      <c r="N739" s="30"/>
      <c r="O739" s="71">
        <f t="shared" si="85"/>
        <v>0</v>
      </c>
      <c r="P739" s="1070">
        <f t="shared" si="90"/>
        <v>0</v>
      </c>
      <c r="Q739" s="1071">
        <f t="shared" si="89"/>
        <v>0</v>
      </c>
    </row>
    <row r="740" spans="1:17" x14ac:dyDescent="0.2">
      <c r="A740" s="30"/>
      <c r="B740" s="162"/>
      <c r="C740" s="259"/>
      <c r="D740" s="267"/>
      <c r="E740" s="35"/>
      <c r="F740" s="151"/>
      <c r="G740" s="263">
        <f t="shared" si="88"/>
        <v>0</v>
      </c>
      <c r="H740" s="65"/>
      <c r="I740" s="275">
        <f t="shared" si="84"/>
        <v>0</v>
      </c>
      <c r="J740" s="161"/>
      <c r="K740" s="30"/>
      <c r="L740" s="30"/>
      <c r="M740" s="30"/>
      <c r="N740" s="30"/>
      <c r="O740" s="71">
        <f t="shared" si="85"/>
        <v>0</v>
      </c>
      <c r="P740" s="1070">
        <f t="shared" si="90"/>
        <v>0</v>
      </c>
      <c r="Q740" s="1071">
        <f t="shared" si="89"/>
        <v>0</v>
      </c>
    </row>
    <row r="741" spans="1:17" x14ac:dyDescent="0.2">
      <c r="A741" s="30"/>
      <c r="B741" s="162"/>
      <c r="C741" s="259"/>
      <c r="D741" s="267"/>
      <c r="E741" s="35"/>
      <c r="F741" s="151"/>
      <c r="G741" s="263">
        <f t="shared" si="88"/>
        <v>0</v>
      </c>
      <c r="H741" s="65"/>
      <c r="I741" s="275">
        <f t="shared" si="84"/>
        <v>0</v>
      </c>
      <c r="J741" s="161"/>
      <c r="K741" s="30"/>
      <c r="L741" s="30"/>
      <c r="M741" s="30"/>
      <c r="N741" s="30"/>
      <c r="O741" s="71">
        <f t="shared" si="85"/>
        <v>0</v>
      </c>
      <c r="P741" s="1070">
        <f t="shared" si="90"/>
        <v>0</v>
      </c>
      <c r="Q741" s="1071">
        <f t="shared" si="89"/>
        <v>0</v>
      </c>
    </row>
    <row r="742" spans="1:17" x14ac:dyDescent="0.2">
      <c r="A742" s="30"/>
      <c r="B742" s="162"/>
      <c r="C742" s="259"/>
      <c r="D742" s="267"/>
      <c r="E742" s="35"/>
      <c r="F742" s="151"/>
      <c r="G742" s="263">
        <f t="shared" si="88"/>
        <v>0</v>
      </c>
      <c r="H742" s="65"/>
      <c r="I742" s="275">
        <f t="shared" si="84"/>
        <v>0</v>
      </c>
      <c r="J742" s="161"/>
      <c r="K742" s="30"/>
      <c r="L742" s="30"/>
      <c r="M742" s="30"/>
      <c r="N742" s="30"/>
      <c r="O742" s="71">
        <f t="shared" si="85"/>
        <v>0</v>
      </c>
      <c r="P742" s="1070">
        <f t="shared" si="90"/>
        <v>0</v>
      </c>
      <c r="Q742" s="1071">
        <f t="shared" si="89"/>
        <v>0</v>
      </c>
    </row>
    <row r="743" spans="1:17" x14ac:dyDescent="0.2">
      <c r="A743" s="30"/>
      <c r="B743" s="162"/>
      <c r="C743" s="259"/>
      <c r="D743" s="267"/>
      <c r="E743" s="35"/>
      <c r="F743" s="151"/>
      <c r="G743" s="263">
        <f t="shared" si="88"/>
        <v>0</v>
      </c>
      <c r="H743" s="65"/>
      <c r="I743" s="275">
        <f t="shared" si="84"/>
        <v>0</v>
      </c>
      <c r="J743" s="161"/>
      <c r="K743" s="30"/>
      <c r="L743" s="30"/>
      <c r="M743" s="30"/>
      <c r="N743" s="30"/>
      <c r="O743" s="71">
        <f t="shared" si="85"/>
        <v>0</v>
      </c>
      <c r="P743" s="1070">
        <f t="shared" si="90"/>
        <v>0</v>
      </c>
      <c r="Q743" s="1071">
        <f t="shared" si="89"/>
        <v>0</v>
      </c>
    </row>
    <row r="744" spans="1:17" x14ac:dyDescent="0.2">
      <c r="A744" s="30"/>
      <c r="B744" s="162"/>
      <c r="C744" s="259"/>
      <c r="D744" s="267"/>
      <c r="E744" s="35"/>
      <c r="F744" s="151"/>
      <c r="G744" s="263">
        <f t="shared" si="88"/>
        <v>0</v>
      </c>
      <c r="H744" s="65"/>
      <c r="I744" s="275">
        <f t="shared" si="84"/>
        <v>0</v>
      </c>
      <c r="J744" s="161"/>
      <c r="K744" s="30"/>
      <c r="L744" s="30"/>
      <c r="M744" s="30"/>
      <c r="N744" s="30"/>
      <c r="O744" s="71">
        <f t="shared" si="85"/>
        <v>0</v>
      </c>
      <c r="P744" s="1070">
        <f t="shared" si="90"/>
        <v>0</v>
      </c>
      <c r="Q744" s="1071">
        <f t="shared" si="89"/>
        <v>0</v>
      </c>
    </row>
    <row r="745" spans="1:17" x14ac:dyDescent="0.2">
      <c r="A745" s="30"/>
      <c r="B745" s="162"/>
      <c r="C745" s="259"/>
      <c r="D745" s="267"/>
      <c r="E745" s="35"/>
      <c r="F745" s="151"/>
      <c r="G745" s="263">
        <f t="shared" si="88"/>
        <v>0</v>
      </c>
      <c r="H745" s="65"/>
      <c r="I745" s="275">
        <f t="shared" si="84"/>
        <v>0</v>
      </c>
      <c r="J745" s="161"/>
      <c r="K745" s="30"/>
      <c r="L745" s="30"/>
      <c r="M745" s="30"/>
      <c r="N745" s="30"/>
      <c r="O745" s="71">
        <f t="shared" si="85"/>
        <v>0</v>
      </c>
      <c r="P745" s="1070">
        <f t="shared" si="90"/>
        <v>0</v>
      </c>
      <c r="Q745" s="1071">
        <f t="shared" si="89"/>
        <v>0</v>
      </c>
    </row>
    <row r="746" spans="1:17" x14ac:dyDescent="0.2">
      <c r="A746" s="30"/>
      <c r="B746" s="162"/>
      <c r="C746" s="259"/>
      <c r="D746" s="267"/>
      <c r="E746" s="35"/>
      <c r="F746" s="151"/>
      <c r="G746" s="263">
        <f t="shared" si="88"/>
        <v>0</v>
      </c>
      <c r="H746" s="65"/>
      <c r="I746" s="275">
        <f t="shared" si="84"/>
        <v>0</v>
      </c>
      <c r="J746" s="161"/>
      <c r="K746" s="30"/>
      <c r="L746" s="30"/>
      <c r="M746" s="30"/>
      <c r="N746" s="30"/>
      <c r="O746" s="71">
        <f t="shared" si="85"/>
        <v>0</v>
      </c>
      <c r="P746" s="1070">
        <f t="shared" si="90"/>
        <v>0</v>
      </c>
      <c r="Q746" s="1071">
        <f t="shared" si="89"/>
        <v>0</v>
      </c>
    </row>
    <row r="747" spans="1:17" x14ac:dyDescent="0.2">
      <c r="A747" s="30"/>
      <c r="B747" s="162"/>
      <c r="C747" s="259"/>
      <c r="D747" s="267"/>
      <c r="E747" s="35"/>
      <c r="F747" s="151"/>
      <c r="G747" s="263">
        <f t="shared" si="88"/>
        <v>0</v>
      </c>
      <c r="H747" s="65"/>
      <c r="I747" s="275">
        <f t="shared" si="84"/>
        <v>0</v>
      </c>
      <c r="J747" s="161"/>
      <c r="K747" s="30"/>
      <c r="L747" s="30"/>
      <c r="M747" s="30"/>
      <c r="N747" s="30"/>
      <c r="O747" s="71">
        <f t="shared" si="85"/>
        <v>0</v>
      </c>
      <c r="P747" s="1070">
        <f t="shared" si="90"/>
        <v>0</v>
      </c>
      <c r="Q747" s="1071">
        <f t="shared" si="89"/>
        <v>0</v>
      </c>
    </row>
    <row r="748" spans="1:17" x14ac:dyDescent="0.2">
      <c r="A748" s="30"/>
      <c r="B748" s="162"/>
      <c r="C748" s="259"/>
      <c r="D748" s="267"/>
      <c r="E748" s="35"/>
      <c r="F748" s="151"/>
      <c r="G748" s="263">
        <f t="shared" si="88"/>
        <v>0</v>
      </c>
      <c r="H748" s="65"/>
      <c r="I748" s="275">
        <f t="shared" si="84"/>
        <v>0</v>
      </c>
      <c r="J748" s="161"/>
      <c r="K748" s="30"/>
      <c r="L748" s="30"/>
      <c r="M748" s="30"/>
      <c r="N748" s="30"/>
      <c r="O748" s="71">
        <f t="shared" si="85"/>
        <v>0</v>
      </c>
      <c r="P748" s="1070">
        <f t="shared" si="90"/>
        <v>0</v>
      </c>
      <c r="Q748" s="1071">
        <f t="shared" si="89"/>
        <v>0</v>
      </c>
    </row>
    <row r="749" spans="1:17" x14ac:dyDescent="0.2">
      <c r="A749" s="30"/>
      <c r="B749" s="162"/>
      <c r="C749" s="259"/>
      <c r="D749" s="267"/>
      <c r="E749" s="35"/>
      <c r="F749" s="151"/>
      <c r="G749" s="263">
        <f t="shared" si="88"/>
        <v>0</v>
      </c>
      <c r="H749" s="65"/>
      <c r="I749" s="275">
        <f t="shared" si="84"/>
        <v>0</v>
      </c>
      <c r="J749" s="161"/>
      <c r="K749" s="30"/>
      <c r="L749" s="30"/>
      <c r="M749" s="30"/>
      <c r="N749" s="30"/>
      <c r="O749" s="71">
        <f t="shared" si="85"/>
        <v>0</v>
      </c>
      <c r="P749" s="1070">
        <f t="shared" si="90"/>
        <v>0</v>
      </c>
      <c r="Q749" s="1071">
        <f t="shared" si="89"/>
        <v>0</v>
      </c>
    </row>
    <row r="750" spans="1:17" x14ac:dyDescent="0.2">
      <c r="A750" s="30"/>
      <c r="B750" s="162"/>
      <c r="C750" s="259"/>
      <c r="D750" s="267"/>
      <c r="E750" s="35"/>
      <c r="F750" s="151"/>
      <c r="G750" s="263">
        <f t="shared" si="88"/>
        <v>0</v>
      </c>
      <c r="H750" s="65"/>
      <c r="I750" s="275">
        <f t="shared" si="84"/>
        <v>0</v>
      </c>
      <c r="J750" s="161"/>
      <c r="K750" s="30"/>
      <c r="L750" s="30"/>
      <c r="M750" s="30"/>
      <c r="N750" s="30"/>
      <c r="O750" s="71">
        <f t="shared" si="85"/>
        <v>0</v>
      </c>
      <c r="P750" s="1070">
        <f t="shared" si="90"/>
        <v>0</v>
      </c>
      <c r="Q750" s="1071">
        <f t="shared" si="89"/>
        <v>0</v>
      </c>
    </row>
    <row r="751" spans="1:17" x14ac:dyDescent="0.2">
      <c r="A751" s="30"/>
      <c r="B751" s="162"/>
      <c r="C751" s="259"/>
      <c r="D751" s="267"/>
      <c r="E751" s="35"/>
      <c r="F751" s="151"/>
      <c r="G751" s="263">
        <f t="shared" si="88"/>
        <v>0</v>
      </c>
      <c r="H751" s="65"/>
      <c r="I751" s="275">
        <f t="shared" si="84"/>
        <v>0</v>
      </c>
      <c r="J751" s="161"/>
      <c r="K751" s="30"/>
      <c r="L751" s="30"/>
      <c r="M751" s="30"/>
      <c r="N751" s="30"/>
      <c r="O751" s="71">
        <f t="shared" si="85"/>
        <v>0</v>
      </c>
      <c r="P751" s="1070">
        <f t="shared" si="90"/>
        <v>0</v>
      </c>
      <c r="Q751" s="1071">
        <f t="shared" si="89"/>
        <v>0</v>
      </c>
    </row>
    <row r="752" spans="1:17" x14ac:dyDescent="0.2">
      <c r="A752" s="30"/>
      <c r="B752" s="162"/>
      <c r="C752" s="259"/>
      <c r="D752" s="267"/>
      <c r="E752" s="35"/>
      <c r="F752" s="151"/>
      <c r="G752" s="263">
        <f t="shared" si="88"/>
        <v>0</v>
      </c>
      <c r="H752" s="65"/>
      <c r="I752" s="275">
        <f t="shared" si="84"/>
        <v>0</v>
      </c>
      <c r="J752" s="161"/>
      <c r="K752" s="30"/>
      <c r="L752" s="30"/>
      <c r="M752" s="30"/>
      <c r="N752" s="30"/>
      <c r="O752" s="71">
        <f t="shared" si="85"/>
        <v>0</v>
      </c>
      <c r="P752" s="1070">
        <f t="shared" si="90"/>
        <v>0</v>
      </c>
      <c r="Q752" s="1071">
        <f t="shared" si="89"/>
        <v>0</v>
      </c>
    </row>
    <row r="753" spans="1:17" x14ac:dyDescent="0.2">
      <c r="A753" s="30"/>
      <c r="B753" s="162"/>
      <c r="C753" s="259"/>
      <c r="D753" s="267"/>
      <c r="E753" s="35"/>
      <c r="F753" s="151"/>
      <c r="G753" s="263">
        <f t="shared" si="88"/>
        <v>0</v>
      </c>
      <c r="H753" s="65"/>
      <c r="I753" s="275">
        <f t="shared" si="84"/>
        <v>0</v>
      </c>
      <c r="J753" s="161"/>
      <c r="K753" s="30"/>
      <c r="L753" s="30"/>
      <c r="M753" s="30"/>
      <c r="N753" s="30"/>
      <c r="O753" s="71">
        <f t="shared" si="85"/>
        <v>0</v>
      </c>
      <c r="P753" s="1070">
        <f t="shared" si="90"/>
        <v>0</v>
      </c>
      <c r="Q753" s="1071">
        <f t="shared" si="89"/>
        <v>0</v>
      </c>
    </row>
    <row r="754" spans="1:17" x14ac:dyDescent="0.2">
      <c r="A754" s="30"/>
      <c r="B754" s="162"/>
      <c r="C754" s="259"/>
      <c r="D754" s="267"/>
      <c r="E754" s="35"/>
      <c r="F754" s="151"/>
      <c r="G754" s="263">
        <f t="shared" si="88"/>
        <v>0</v>
      </c>
      <c r="H754" s="65"/>
      <c r="I754" s="275">
        <f t="shared" si="84"/>
        <v>0</v>
      </c>
      <c r="J754" s="161"/>
      <c r="K754" s="30"/>
      <c r="L754" s="30"/>
      <c r="M754" s="30"/>
      <c r="N754" s="30"/>
      <c r="O754" s="71">
        <f t="shared" si="85"/>
        <v>0</v>
      </c>
      <c r="P754" s="1070">
        <f t="shared" si="90"/>
        <v>0</v>
      </c>
      <c r="Q754" s="1071">
        <f t="shared" si="89"/>
        <v>0</v>
      </c>
    </row>
    <row r="755" spans="1:17" ht="13.5" thickBot="1" x14ac:dyDescent="0.25">
      <c r="A755" s="30"/>
      <c r="B755" s="163"/>
      <c r="C755" s="260"/>
      <c r="D755" s="268"/>
      <c r="E755" s="24"/>
      <c r="F755" s="25"/>
      <c r="G755" s="264">
        <f t="shared" si="88"/>
        <v>0</v>
      </c>
      <c r="H755" s="272"/>
      <c r="I755" s="276">
        <f t="shared" si="84"/>
        <v>0</v>
      </c>
      <c r="J755" s="161"/>
      <c r="K755" s="30"/>
      <c r="L755" s="30"/>
      <c r="M755" s="30"/>
      <c r="N755" s="30"/>
      <c r="O755" s="71">
        <f t="shared" si="85"/>
        <v>0</v>
      </c>
      <c r="P755" s="1070">
        <f t="shared" si="90"/>
        <v>0</v>
      </c>
      <c r="Q755" s="1071">
        <f t="shared" si="89"/>
        <v>0</v>
      </c>
    </row>
    <row r="756" spans="1:17" ht="6.75" customHeight="1" thickBot="1" x14ac:dyDescent="0.25">
      <c r="A756" s="30"/>
      <c r="B756" s="155"/>
      <c r="C756" s="155"/>
      <c r="D756" s="155"/>
      <c r="E756" s="155"/>
      <c r="F756" s="155"/>
      <c r="G756" s="155"/>
      <c r="H756" s="155"/>
      <c r="I756" s="155"/>
      <c r="J756" s="155"/>
      <c r="K756" s="30"/>
      <c r="L756" s="30"/>
      <c r="M756" s="30"/>
      <c r="N756" s="30"/>
      <c r="O756" s="812">
        <f>SUM(O704:O755)</f>
        <v>0</v>
      </c>
      <c r="P756" s="1075">
        <f>SUM(P704:P755)</f>
        <v>0</v>
      </c>
      <c r="Q756" s="813">
        <f>SUM(Q704:Q755)</f>
        <v>0</v>
      </c>
    </row>
    <row r="757" spans="1:17" ht="50.1" customHeight="1" x14ac:dyDescent="0.2">
      <c r="L757" s="30"/>
      <c r="M757" s="30"/>
      <c r="N757" s="30"/>
    </row>
    <row r="758" spans="1:17" ht="18" x14ac:dyDescent="0.2">
      <c r="A758" s="1224" t="str">
        <f>UPPER("Patching Summary Table")</f>
        <v>PATCHING SUMMARY TABLE</v>
      </c>
      <c r="B758" s="1224"/>
      <c r="C758" s="1224"/>
      <c r="D758" s="1224"/>
      <c r="E758" s="1224"/>
      <c r="F758" s="1224"/>
      <c r="G758" s="1224"/>
      <c r="H758" s="1224"/>
      <c r="I758" s="1224"/>
      <c r="J758" s="1224"/>
      <c r="K758" s="30"/>
      <c r="L758" s="30"/>
      <c r="M758" s="30"/>
      <c r="N758" s="30"/>
      <c r="O758" s="30"/>
      <c r="P758" s="30"/>
    </row>
    <row r="759" spans="1:17" ht="8.25" customHeight="1" thickBot="1" x14ac:dyDescent="0.25">
      <c r="A759" s="30"/>
      <c r="B759" s="31"/>
      <c r="C759" s="31"/>
      <c r="D759" s="31"/>
      <c r="E759" s="31"/>
      <c r="F759" s="31"/>
      <c r="G759" s="31"/>
      <c r="H759" s="31"/>
      <c r="I759" s="31"/>
      <c r="J759" s="31"/>
      <c r="K759" s="30"/>
      <c r="O759" s="30"/>
      <c r="P759" s="30"/>
    </row>
    <row r="760" spans="1:17" x14ac:dyDescent="0.2">
      <c r="A760" s="30"/>
      <c r="B760" s="1310" t="s">
        <v>2</v>
      </c>
      <c r="C760" s="1319" t="s">
        <v>3</v>
      </c>
      <c r="D760" s="1310" t="s">
        <v>39</v>
      </c>
      <c r="E760" s="1308" t="s">
        <v>4</v>
      </c>
      <c r="F760" s="1223" t="s">
        <v>535</v>
      </c>
      <c r="G760" s="261" t="s">
        <v>129</v>
      </c>
      <c r="H760" s="269" t="s">
        <v>102</v>
      </c>
      <c r="I760" s="152" t="s">
        <v>209</v>
      </c>
      <c r="J760" s="31"/>
      <c r="K760" s="30"/>
      <c r="L760" s="30"/>
      <c r="M760" s="30"/>
      <c r="N760" s="30"/>
      <c r="O760" s="1159" t="s">
        <v>537</v>
      </c>
      <c r="P760" s="1305"/>
      <c r="Q760" s="1306"/>
    </row>
    <row r="761" spans="1:17" ht="13.5" thickBot="1" x14ac:dyDescent="0.25">
      <c r="A761" s="30"/>
      <c r="B761" s="1285"/>
      <c r="C761" s="1320"/>
      <c r="D761" s="1285"/>
      <c r="E761" s="1227"/>
      <c r="F761" s="1242"/>
      <c r="G761" s="262" t="s">
        <v>100</v>
      </c>
      <c r="H761" s="270" t="s">
        <v>100</v>
      </c>
      <c r="I761" s="273" t="s">
        <v>210</v>
      </c>
      <c r="J761" s="31"/>
      <c r="K761" s="30"/>
      <c r="L761" s="30"/>
      <c r="M761" s="30"/>
      <c r="N761" s="30"/>
      <c r="O761" s="41" t="str">
        <f>$Q$41</f>
        <v>Partial</v>
      </c>
      <c r="P761" s="42" t="str">
        <f>$Q$42</f>
        <v>Full ( HMA)</v>
      </c>
      <c r="Q761" s="43" t="str">
        <f>$Q$43</f>
        <v>Full (Composite)</v>
      </c>
    </row>
    <row r="762" spans="1:17" x14ac:dyDescent="0.2">
      <c r="A762" s="30"/>
      <c r="B762" s="159"/>
      <c r="C762" s="258"/>
      <c r="D762" s="265"/>
      <c r="E762" s="160"/>
      <c r="F762" s="266"/>
      <c r="G762" s="263">
        <f>ABS(C762-B762)</f>
        <v>0</v>
      </c>
      <c r="H762" s="271"/>
      <c r="I762" s="274">
        <f t="shared" ref="I762:I813" si="91">ROUNDUP((G762*H762)/9,0)</f>
        <v>0</v>
      </c>
      <c r="J762" s="161"/>
      <c r="K762" s="30"/>
      <c r="L762" s="30"/>
      <c r="M762" s="30"/>
      <c r="N762" s="30"/>
      <c r="O762" s="54">
        <f t="shared" ref="O762:O813" si="92">IF($F762=$Q$41,$I762,0)</f>
        <v>0</v>
      </c>
      <c r="P762" s="1069">
        <f t="shared" ref="P762:P794" si="93">IF($F762=$Q$42,$I762,0)</f>
        <v>0</v>
      </c>
      <c r="Q762" s="811">
        <f t="shared" ref="Q762:Q793" si="94">IF($F762=$Q$43,$I762,0)</f>
        <v>0</v>
      </c>
    </row>
    <row r="763" spans="1:17" x14ac:dyDescent="0.2">
      <c r="A763" s="30"/>
      <c r="B763" s="162"/>
      <c r="C763" s="259"/>
      <c r="D763" s="267"/>
      <c r="E763" s="35"/>
      <c r="F763" s="151"/>
      <c r="G763" s="263">
        <f t="shared" ref="G763:G813" si="95">ABS(C763-B763)</f>
        <v>0</v>
      </c>
      <c r="H763" s="65"/>
      <c r="I763" s="275">
        <f t="shared" si="91"/>
        <v>0</v>
      </c>
      <c r="J763" s="161"/>
      <c r="K763" s="30"/>
      <c r="L763" s="30"/>
      <c r="M763" s="30"/>
      <c r="N763" s="30"/>
      <c r="O763" s="71">
        <f t="shared" si="92"/>
        <v>0</v>
      </c>
      <c r="P763" s="1070">
        <f t="shared" si="93"/>
        <v>0</v>
      </c>
      <c r="Q763" s="1071">
        <f t="shared" si="94"/>
        <v>0</v>
      </c>
    </row>
    <row r="764" spans="1:17" x14ac:dyDescent="0.2">
      <c r="A764" s="30"/>
      <c r="B764" s="162"/>
      <c r="C764" s="259"/>
      <c r="D764" s="267"/>
      <c r="E764" s="35"/>
      <c r="F764" s="151"/>
      <c r="G764" s="263">
        <f t="shared" si="95"/>
        <v>0</v>
      </c>
      <c r="H764" s="65"/>
      <c r="I764" s="275">
        <f t="shared" si="91"/>
        <v>0</v>
      </c>
      <c r="J764" s="161"/>
      <c r="K764" s="30"/>
      <c r="L764" s="30"/>
      <c r="M764" s="30"/>
      <c r="N764" s="30"/>
      <c r="O764" s="71">
        <f t="shared" si="92"/>
        <v>0</v>
      </c>
      <c r="P764" s="1070">
        <f t="shared" si="93"/>
        <v>0</v>
      </c>
      <c r="Q764" s="1071">
        <f t="shared" si="94"/>
        <v>0</v>
      </c>
    </row>
    <row r="765" spans="1:17" x14ac:dyDescent="0.2">
      <c r="A765" s="30"/>
      <c r="B765" s="162"/>
      <c r="C765" s="259"/>
      <c r="D765" s="267"/>
      <c r="E765" s="35"/>
      <c r="F765" s="151"/>
      <c r="G765" s="263">
        <f t="shared" si="95"/>
        <v>0</v>
      </c>
      <c r="H765" s="65"/>
      <c r="I765" s="275">
        <f t="shared" si="91"/>
        <v>0</v>
      </c>
      <c r="J765" s="161"/>
      <c r="K765" s="30"/>
      <c r="L765" s="30"/>
      <c r="M765" s="30"/>
      <c r="N765" s="30"/>
      <c r="O765" s="71">
        <f t="shared" si="92"/>
        <v>0</v>
      </c>
      <c r="P765" s="1070">
        <f t="shared" si="93"/>
        <v>0</v>
      </c>
      <c r="Q765" s="1071">
        <f t="shared" si="94"/>
        <v>0</v>
      </c>
    </row>
    <row r="766" spans="1:17" x14ac:dyDescent="0.2">
      <c r="A766" s="30"/>
      <c r="B766" s="162"/>
      <c r="C766" s="259"/>
      <c r="D766" s="267"/>
      <c r="E766" s="35"/>
      <c r="F766" s="151"/>
      <c r="G766" s="263">
        <f t="shared" si="95"/>
        <v>0</v>
      </c>
      <c r="H766" s="65"/>
      <c r="I766" s="275">
        <f t="shared" si="91"/>
        <v>0</v>
      </c>
      <c r="J766" s="161"/>
      <c r="K766" s="30"/>
      <c r="L766" s="30"/>
      <c r="M766" s="30"/>
      <c r="N766" s="30"/>
      <c r="O766" s="71">
        <f t="shared" si="92"/>
        <v>0</v>
      </c>
      <c r="P766" s="1070">
        <f t="shared" si="93"/>
        <v>0</v>
      </c>
      <c r="Q766" s="1071">
        <f t="shared" si="94"/>
        <v>0</v>
      </c>
    </row>
    <row r="767" spans="1:17" x14ac:dyDescent="0.2">
      <c r="A767" s="30"/>
      <c r="B767" s="162"/>
      <c r="C767" s="259"/>
      <c r="D767" s="267"/>
      <c r="E767" s="35"/>
      <c r="F767" s="151"/>
      <c r="G767" s="263">
        <f t="shared" si="95"/>
        <v>0</v>
      </c>
      <c r="H767" s="65"/>
      <c r="I767" s="275">
        <f t="shared" si="91"/>
        <v>0</v>
      </c>
      <c r="J767" s="161"/>
      <c r="K767" s="30"/>
      <c r="L767" s="30"/>
      <c r="M767" s="30"/>
      <c r="N767" s="30"/>
      <c r="O767" s="71">
        <f t="shared" si="92"/>
        <v>0</v>
      </c>
      <c r="P767" s="1070">
        <f t="shared" si="93"/>
        <v>0</v>
      </c>
      <c r="Q767" s="1071">
        <f t="shared" si="94"/>
        <v>0</v>
      </c>
    </row>
    <row r="768" spans="1:17" x14ac:dyDescent="0.2">
      <c r="A768" s="30"/>
      <c r="B768" s="162"/>
      <c r="C768" s="259"/>
      <c r="D768" s="267"/>
      <c r="E768" s="35"/>
      <c r="F768" s="151"/>
      <c r="G768" s="263">
        <f t="shared" si="95"/>
        <v>0</v>
      </c>
      <c r="H768" s="65"/>
      <c r="I768" s="275">
        <f t="shared" si="91"/>
        <v>0</v>
      </c>
      <c r="J768" s="161"/>
      <c r="K768" s="30"/>
      <c r="L768" s="30"/>
      <c r="M768" s="30"/>
      <c r="N768" s="30"/>
      <c r="O768" s="71">
        <f t="shared" si="92"/>
        <v>0</v>
      </c>
      <c r="P768" s="1070">
        <f t="shared" si="93"/>
        <v>0</v>
      </c>
      <c r="Q768" s="1071">
        <f t="shared" si="94"/>
        <v>0</v>
      </c>
    </row>
    <row r="769" spans="1:17" x14ac:dyDescent="0.2">
      <c r="A769" s="30"/>
      <c r="B769" s="162"/>
      <c r="C769" s="259"/>
      <c r="D769" s="267"/>
      <c r="E769" s="35"/>
      <c r="F769" s="151"/>
      <c r="G769" s="263">
        <f t="shared" si="95"/>
        <v>0</v>
      </c>
      <c r="H769" s="65"/>
      <c r="I769" s="275">
        <f t="shared" si="91"/>
        <v>0</v>
      </c>
      <c r="J769" s="161"/>
      <c r="K769" s="30"/>
      <c r="L769" s="30"/>
      <c r="M769" s="30"/>
      <c r="N769" s="30"/>
      <c r="O769" s="71">
        <f t="shared" si="92"/>
        <v>0</v>
      </c>
      <c r="P769" s="1070">
        <f t="shared" si="93"/>
        <v>0</v>
      </c>
      <c r="Q769" s="1071">
        <f t="shared" si="94"/>
        <v>0</v>
      </c>
    </row>
    <row r="770" spans="1:17" x14ac:dyDescent="0.2">
      <c r="A770" s="30"/>
      <c r="B770" s="162"/>
      <c r="C770" s="259"/>
      <c r="D770" s="267"/>
      <c r="E770" s="35"/>
      <c r="F770" s="151"/>
      <c r="G770" s="263">
        <f t="shared" si="95"/>
        <v>0</v>
      </c>
      <c r="H770" s="65"/>
      <c r="I770" s="275">
        <f t="shared" si="91"/>
        <v>0</v>
      </c>
      <c r="J770" s="161"/>
      <c r="K770" s="30"/>
      <c r="L770" s="30"/>
      <c r="M770" s="30"/>
      <c r="N770" s="30"/>
      <c r="O770" s="71">
        <f t="shared" si="92"/>
        <v>0</v>
      </c>
      <c r="P770" s="1070">
        <f t="shared" si="93"/>
        <v>0</v>
      </c>
      <c r="Q770" s="1071">
        <f t="shared" si="94"/>
        <v>0</v>
      </c>
    </row>
    <row r="771" spans="1:17" x14ac:dyDescent="0.2">
      <c r="A771" s="30"/>
      <c r="B771" s="162"/>
      <c r="C771" s="259"/>
      <c r="D771" s="267"/>
      <c r="E771" s="35"/>
      <c r="F771" s="151"/>
      <c r="G771" s="263">
        <f t="shared" si="95"/>
        <v>0</v>
      </c>
      <c r="H771" s="65"/>
      <c r="I771" s="275">
        <f t="shared" si="91"/>
        <v>0</v>
      </c>
      <c r="J771" s="161"/>
      <c r="K771" s="30"/>
      <c r="L771" s="30"/>
      <c r="M771" s="30"/>
      <c r="N771" s="30"/>
      <c r="O771" s="71">
        <f t="shared" si="92"/>
        <v>0</v>
      </c>
      <c r="P771" s="1070">
        <f t="shared" si="93"/>
        <v>0</v>
      </c>
      <c r="Q771" s="1071">
        <f t="shared" si="94"/>
        <v>0</v>
      </c>
    </row>
    <row r="772" spans="1:17" x14ac:dyDescent="0.2">
      <c r="A772" s="30"/>
      <c r="B772" s="162"/>
      <c r="C772" s="259"/>
      <c r="D772" s="267"/>
      <c r="E772" s="35"/>
      <c r="F772" s="151"/>
      <c r="G772" s="263">
        <f t="shared" si="95"/>
        <v>0</v>
      </c>
      <c r="H772" s="65"/>
      <c r="I772" s="275">
        <f t="shared" si="91"/>
        <v>0</v>
      </c>
      <c r="J772" s="161"/>
      <c r="K772" s="30"/>
      <c r="L772" s="30"/>
      <c r="M772" s="30"/>
      <c r="N772" s="30"/>
      <c r="O772" s="71">
        <f t="shared" si="92"/>
        <v>0</v>
      </c>
      <c r="P772" s="1070">
        <f t="shared" si="93"/>
        <v>0</v>
      </c>
      <c r="Q772" s="1071">
        <f t="shared" si="94"/>
        <v>0</v>
      </c>
    </row>
    <row r="773" spans="1:17" x14ac:dyDescent="0.2">
      <c r="A773" s="30"/>
      <c r="B773" s="162"/>
      <c r="C773" s="259"/>
      <c r="D773" s="267"/>
      <c r="E773" s="35"/>
      <c r="F773" s="151"/>
      <c r="G773" s="263">
        <f t="shared" si="95"/>
        <v>0</v>
      </c>
      <c r="H773" s="65"/>
      <c r="I773" s="275">
        <f t="shared" si="91"/>
        <v>0</v>
      </c>
      <c r="J773" s="161"/>
      <c r="K773" s="30"/>
      <c r="L773" s="30"/>
      <c r="M773" s="30"/>
      <c r="N773" s="30"/>
      <c r="O773" s="71">
        <f t="shared" si="92"/>
        <v>0</v>
      </c>
      <c r="P773" s="1070">
        <f t="shared" si="93"/>
        <v>0</v>
      </c>
      <c r="Q773" s="1071">
        <f t="shared" si="94"/>
        <v>0</v>
      </c>
    </row>
    <row r="774" spans="1:17" x14ac:dyDescent="0.2">
      <c r="A774" s="30"/>
      <c r="B774" s="162"/>
      <c r="C774" s="259"/>
      <c r="D774" s="267"/>
      <c r="E774" s="35"/>
      <c r="F774" s="151"/>
      <c r="G774" s="263">
        <f t="shared" si="95"/>
        <v>0</v>
      </c>
      <c r="H774" s="65"/>
      <c r="I774" s="275">
        <f t="shared" si="91"/>
        <v>0</v>
      </c>
      <c r="J774" s="161"/>
      <c r="K774" s="30"/>
      <c r="L774" s="30"/>
      <c r="M774" s="30"/>
      <c r="N774" s="30"/>
      <c r="O774" s="71">
        <f t="shared" si="92"/>
        <v>0</v>
      </c>
      <c r="P774" s="1070">
        <f t="shared" si="93"/>
        <v>0</v>
      </c>
      <c r="Q774" s="1071">
        <f t="shared" si="94"/>
        <v>0</v>
      </c>
    </row>
    <row r="775" spans="1:17" x14ac:dyDescent="0.2">
      <c r="A775" s="30"/>
      <c r="B775" s="162"/>
      <c r="C775" s="259"/>
      <c r="D775" s="267"/>
      <c r="E775" s="35"/>
      <c r="F775" s="151"/>
      <c r="G775" s="263">
        <f t="shared" si="95"/>
        <v>0</v>
      </c>
      <c r="H775" s="65"/>
      <c r="I775" s="275">
        <f t="shared" si="91"/>
        <v>0</v>
      </c>
      <c r="J775" s="161"/>
      <c r="K775" s="30"/>
      <c r="L775" s="30"/>
      <c r="M775" s="30"/>
      <c r="N775" s="30"/>
      <c r="O775" s="71">
        <f t="shared" si="92"/>
        <v>0</v>
      </c>
      <c r="P775" s="1070">
        <f t="shared" si="93"/>
        <v>0</v>
      </c>
      <c r="Q775" s="1071">
        <f t="shared" si="94"/>
        <v>0</v>
      </c>
    </row>
    <row r="776" spans="1:17" x14ac:dyDescent="0.2">
      <c r="A776" s="30"/>
      <c r="B776" s="162"/>
      <c r="C776" s="259"/>
      <c r="D776" s="267"/>
      <c r="E776" s="35"/>
      <c r="F776" s="151"/>
      <c r="G776" s="263">
        <f t="shared" si="95"/>
        <v>0</v>
      </c>
      <c r="H776" s="65"/>
      <c r="I776" s="275">
        <f t="shared" si="91"/>
        <v>0</v>
      </c>
      <c r="J776" s="161"/>
      <c r="K776" s="30"/>
      <c r="L776" s="30"/>
      <c r="M776" s="30"/>
      <c r="N776" s="30"/>
      <c r="O776" s="71">
        <f t="shared" si="92"/>
        <v>0</v>
      </c>
      <c r="P776" s="1070">
        <f t="shared" si="93"/>
        <v>0</v>
      </c>
      <c r="Q776" s="1071">
        <f t="shared" si="94"/>
        <v>0</v>
      </c>
    </row>
    <row r="777" spans="1:17" x14ac:dyDescent="0.2">
      <c r="A777" s="30"/>
      <c r="B777" s="162"/>
      <c r="C777" s="259"/>
      <c r="D777" s="267"/>
      <c r="E777" s="35"/>
      <c r="F777" s="151"/>
      <c r="G777" s="263">
        <f t="shared" si="95"/>
        <v>0</v>
      </c>
      <c r="H777" s="65"/>
      <c r="I777" s="275">
        <f t="shared" si="91"/>
        <v>0</v>
      </c>
      <c r="J777" s="161"/>
      <c r="K777" s="30"/>
      <c r="L777" s="30"/>
      <c r="M777" s="30"/>
      <c r="N777" s="30"/>
      <c r="O777" s="71">
        <f t="shared" si="92"/>
        <v>0</v>
      </c>
      <c r="P777" s="1070">
        <f t="shared" si="93"/>
        <v>0</v>
      </c>
      <c r="Q777" s="1071">
        <f t="shared" si="94"/>
        <v>0</v>
      </c>
    </row>
    <row r="778" spans="1:17" x14ac:dyDescent="0.2">
      <c r="A778" s="30"/>
      <c r="B778" s="162"/>
      <c r="C778" s="259"/>
      <c r="D778" s="267"/>
      <c r="E778" s="35"/>
      <c r="F778" s="151"/>
      <c r="G778" s="263">
        <f t="shared" si="95"/>
        <v>0</v>
      </c>
      <c r="H778" s="65"/>
      <c r="I778" s="275">
        <f t="shared" si="91"/>
        <v>0</v>
      </c>
      <c r="J778" s="161"/>
      <c r="K778" s="30"/>
      <c r="L778" s="30"/>
      <c r="M778" s="30"/>
      <c r="N778" s="30"/>
      <c r="O778" s="71">
        <f t="shared" si="92"/>
        <v>0</v>
      </c>
      <c r="P778" s="1070">
        <f t="shared" si="93"/>
        <v>0</v>
      </c>
      <c r="Q778" s="1071">
        <f t="shared" si="94"/>
        <v>0</v>
      </c>
    </row>
    <row r="779" spans="1:17" x14ac:dyDescent="0.2">
      <c r="A779" s="30"/>
      <c r="B779" s="162"/>
      <c r="C779" s="259"/>
      <c r="D779" s="267"/>
      <c r="E779" s="35"/>
      <c r="F779" s="151"/>
      <c r="G779" s="263">
        <f t="shared" si="95"/>
        <v>0</v>
      </c>
      <c r="H779" s="65"/>
      <c r="I779" s="275">
        <f t="shared" si="91"/>
        <v>0</v>
      </c>
      <c r="J779" s="161"/>
      <c r="K779" s="30"/>
      <c r="L779" s="30"/>
      <c r="M779" s="30"/>
      <c r="N779" s="30"/>
      <c r="O779" s="71">
        <f t="shared" si="92"/>
        <v>0</v>
      </c>
      <c r="P779" s="1070">
        <f t="shared" si="93"/>
        <v>0</v>
      </c>
      <c r="Q779" s="1071">
        <f t="shared" si="94"/>
        <v>0</v>
      </c>
    </row>
    <row r="780" spans="1:17" x14ac:dyDescent="0.2">
      <c r="A780" s="30"/>
      <c r="B780" s="162"/>
      <c r="C780" s="259"/>
      <c r="D780" s="267"/>
      <c r="E780" s="35"/>
      <c r="F780" s="151"/>
      <c r="G780" s="263">
        <f t="shared" si="95"/>
        <v>0</v>
      </c>
      <c r="H780" s="65"/>
      <c r="I780" s="275">
        <f t="shared" si="91"/>
        <v>0</v>
      </c>
      <c r="J780" s="161"/>
      <c r="K780" s="30"/>
      <c r="L780" s="30"/>
      <c r="M780" s="30"/>
      <c r="N780" s="30"/>
      <c r="O780" s="71">
        <f t="shared" si="92"/>
        <v>0</v>
      </c>
      <c r="P780" s="1070">
        <f t="shared" si="93"/>
        <v>0</v>
      </c>
      <c r="Q780" s="1071">
        <f t="shared" si="94"/>
        <v>0</v>
      </c>
    </row>
    <row r="781" spans="1:17" x14ac:dyDescent="0.2">
      <c r="A781" s="30"/>
      <c r="B781" s="162"/>
      <c r="C781" s="259"/>
      <c r="D781" s="267"/>
      <c r="E781" s="35"/>
      <c r="F781" s="151"/>
      <c r="G781" s="263">
        <f t="shared" si="95"/>
        <v>0</v>
      </c>
      <c r="H781" s="65"/>
      <c r="I781" s="275">
        <f t="shared" si="91"/>
        <v>0</v>
      </c>
      <c r="J781" s="161"/>
      <c r="K781" s="30"/>
      <c r="L781" s="30"/>
      <c r="M781" s="30"/>
      <c r="N781" s="30"/>
      <c r="O781" s="71">
        <f t="shared" si="92"/>
        <v>0</v>
      </c>
      <c r="P781" s="1070">
        <f t="shared" si="93"/>
        <v>0</v>
      </c>
      <c r="Q781" s="1071">
        <f t="shared" si="94"/>
        <v>0</v>
      </c>
    </row>
    <row r="782" spans="1:17" x14ac:dyDescent="0.2">
      <c r="A782" s="30"/>
      <c r="B782" s="162"/>
      <c r="C782" s="259"/>
      <c r="D782" s="267"/>
      <c r="E782" s="35"/>
      <c r="F782" s="151"/>
      <c r="G782" s="263">
        <f t="shared" si="95"/>
        <v>0</v>
      </c>
      <c r="H782" s="65"/>
      <c r="I782" s="275">
        <f t="shared" si="91"/>
        <v>0</v>
      </c>
      <c r="J782" s="161"/>
      <c r="K782" s="30"/>
      <c r="L782" s="30"/>
      <c r="M782" s="30"/>
      <c r="N782" s="30"/>
      <c r="O782" s="71">
        <f t="shared" si="92"/>
        <v>0</v>
      </c>
      <c r="P782" s="1070">
        <f t="shared" si="93"/>
        <v>0</v>
      </c>
      <c r="Q782" s="1071">
        <f t="shared" si="94"/>
        <v>0</v>
      </c>
    </row>
    <row r="783" spans="1:17" x14ac:dyDescent="0.2">
      <c r="A783" s="30"/>
      <c r="B783" s="162"/>
      <c r="C783" s="259"/>
      <c r="D783" s="267"/>
      <c r="E783" s="35"/>
      <c r="F783" s="151"/>
      <c r="G783" s="263">
        <f t="shared" si="95"/>
        <v>0</v>
      </c>
      <c r="H783" s="65"/>
      <c r="I783" s="275">
        <f t="shared" si="91"/>
        <v>0</v>
      </c>
      <c r="J783" s="161"/>
      <c r="K783" s="30"/>
      <c r="L783" s="30"/>
      <c r="M783" s="30"/>
      <c r="N783" s="30"/>
      <c r="O783" s="71">
        <f t="shared" si="92"/>
        <v>0</v>
      </c>
      <c r="P783" s="1070">
        <f t="shared" si="93"/>
        <v>0</v>
      </c>
      <c r="Q783" s="1071">
        <f t="shared" si="94"/>
        <v>0</v>
      </c>
    </row>
    <row r="784" spans="1:17" x14ac:dyDescent="0.2">
      <c r="A784" s="30"/>
      <c r="B784" s="162"/>
      <c r="C784" s="259"/>
      <c r="D784" s="267"/>
      <c r="E784" s="35"/>
      <c r="F784" s="151"/>
      <c r="G784" s="263">
        <f t="shared" si="95"/>
        <v>0</v>
      </c>
      <c r="H784" s="65"/>
      <c r="I784" s="275">
        <f t="shared" si="91"/>
        <v>0</v>
      </c>
      <c r="J784" s="161"/>
      <c r="K784" s="30"/>
      <c r="L784" s="30"/>
      <c r="M784" s="30"/>
      <c r="N784" s="30"/>
      <c r="O784" s="71">
        <f t="shared" si="92"/>
        <v>0</v>
      </c>
      <c r="P784" s="1070">
        <f t="shared" si="93"/>
        <v>0</v>
      </c>
      <c r="Q784" s="1071">
        <f t="shared" si="94"/>
        <v>0</v>
      </c>
    </row>
    <row r="785" spans="1:17" x14ac:dyDescent="0.2">
      <c r="A785" s="30"/>
      <c r="B785" s="162"/>
      <c r="C785" s="259"/>
      <c r="D785" s="267"/>
      <c r="E785" s="35"/>
      <c r="F785" s="151"/>
      <c r="G785" s="263">
        <f t="shared" si="95"/>
        <v>0</v>
      </c>
      <c r="H785" s="65"/>
      <c r="I785" s="275">
        <f t="shared" si="91"/>
        <v>0</v>
      </c>
      <c r="J785" s="161"/>
      <c r="K785" s="30"/>
      <c r="L785" s="30"/>
      <c r="M785" s="30"/>
      <c r="N785" s="30"/>
      <c r="O785" s="71">
        <f t="shared" si="92"/>
        <v>0</v>
      </c>
      <c r="P785" s="1070">
        <f t="shared" si="93"/>
        <v>0</v>
      </c>
      <c r="Q785" s="1071">
        <f t="shared" si="94"/>
        <v>0</v>
      </c>
    </row>
    <row r="786" spans="1:17" x14ac:dyDescent="0.2">
      <c r="A786" s="30"/>
      <c r="B786" s="162"/>
      <c r="C786" s="259"/>
      <c r="D786" s="267"/>
      <c r="E786" s="35"/>
      <c r="F786" s="151"/>
      <c r="G786" s="263">
        <f t="shared" si="95"/>
        <v>0</v>
      </c>
      <c r="H786" s="65"/>
      <c r="I786" s="275">
        <f t="shared" si="91"/>
        <v>0</v>
      </c>
      <c r="J786" s="161"/>
      <c r="K786" s="30"/>
      <c r="L786" s="30"/>
      <c r="M786" s="30"/>
      <c r="N786" s="30"/>
      <c r="O786" s="71">
        <f t="shared" si="92"/>
        <v>0</v>
      </c>
      <c r="P786" s="1070">
        <f t="shared" si="93"/>
        <v>0</v>
      </c>
      <c r="Q786" s="1071">
        <f t="shared" si="94"/>
        <v>0</v>
      </c>
    </row>
    <row r="787" spans="1:17" x14ac:dyDescent="0.2">
      <c r="A787" s="30"/>
      <c r="B787" s="162"/>
      <c r="C787" s="259"/>
      <c r="D787" s="267"/>
      <c r="E787" s="35"/>
      <c r="F787" s="151"/>
      <c r="G787" s="263">
        <f t="shared" si="95"/>
        <v>0</v>
      </c>
      <c r="H787" s="65"/>
      <c r="I787" s="275">
        <f t="shared" si="91"/>
        <v>0</v>
      </c>
      <c r="J787" s="161"/>
      <c r="K787" s="30"/>
      <c r="L787" s="30"/>
      <c r="M787" s="30"/>
      <c r="N787" s="30"/>
      <c r="O787" s="71">
        <f t="shared" si="92"/>
        <v>0</v>
      </c>
      <c r="P787" s="1070">
        <f t="shared" si="93"/>
        <v>0</v>
      </c>
      <c r="Q787" s="1071">
        <f t="shared" si="94"/>
        <v>0</v>
      </c>
    </row>
    <row r="788" spans="1:17" x14ac:dyDescent="0.2">
      <c r="A788" s="30"/>
      <c r="B788" s="162"/>
      <c r="C788" s="259"/>
      <c r="D788" s="267"/>
      <c r="E788" s="35"/>
      <c r="F788" s="151"/>
      <c r="G788" s="263">
        <f t="shared" si="95"/>
        <v>0</v>
      </c>
      <c r="H788" s="65"/>
      <c r="I788" s="275">
        <f t="shared" si="91"/>
        <v>0</v>
      </c>
      <c r="J788" s="161"/>
      <c r="K788" s="30"/>
      <c r="L788" s="30"/>
      <c r="M788" s="30"/>
      <c r="N788" s="30"/>
      <c r="O788" s="71">
        <f t="shared" si="92"/>
        <v>0</v>
      </c>
      <c r="P788" s="1070">
        <f t="shared" si="93"/>
        <v>0</v>
      </c>
      <c r="Q788" s="1071">
        <f t="shared" si="94"/>
        <v>0</v>
      </c>
    </row>
    <row r="789" spans="1:17" x14ac:dyDescent="0.2">
      <c r="A789" s="30"/>
      <c r="B789" s="162"/>
      <c r="C789" s="259"/>
      <c r="D789" s="267"/>
      <c r="E789" s="35"/>
      <c r="F789" s="151"/>
      <c r="G789" s="263">
        <f t="shared" si="95"/>
        <v>0</v>
      </c>
      <c r="H789" s="65"/>
      <c r="I789" s="275">
        <f t="shared" si="91"/>
        <v>0</v>
      </c>
      <c r="J789" s="161"/>
      <c r="K789" s="30"/>
      <c r="L789" s="30"/>
      <c r="M789" s="30"/>
      <c r="N789" s="30"/>
      <c r="O789" s="71">
        <f t="shared" si="92"/>
        <v>0</v>
      </c>
      <c r="P789" s="1070">
        <f t="shared" si="93"/>
        <v>0</v>
      </c>
      <c r="Q789" s="1071">
        <f t="shared" si="94"/>
        <v>0</v>
      </c>
    </row>
    <row r="790" spans="1:17" x14ac:dyDescent="0.2">
      <c r="A790" s="30"/>
      <c r="B790" s="162"/>
      <c r="C790" s="259"/>
      <c r="D790" s="267"/>
      <c r="E790" s="35"/>
      <c r="F790" s="151"/>
      <c r="G790" s="263">
        <f t="shared" si="95"/>
        <v>0</v>
      </c>
      <c r="H790" s="65"/>
      <c r="I790" s="275">
        <f t="shared" si="91"/>
        <v>0</v>
      </c>
      <c r="J790" s="161"/>
      <c r="K790" s="30"/>
      <c r="L790" s="30"/>
      <c r="M790" s="30"/>
      <c r="N790" s="30"/>
      <c r="O790" s="71">
        <f t="shared" si="92"/>
        <v>0</v>
      </c>
      <c r="P790" s="1070">
        <f t="shared" si="93"/>
        <v>0</v>
      </c>
      <c r="Q790" s="1071">
        <f t="shared" si="94"/>
        <v>0</v>
      </c>
    </row>
    <row r="791" spans="1:17" x14ac:dyDescent="0.2">
      <c r="A791" s="30"/>
      <c r="B791" s="162"/>
      <c r="C791" s="259"/>
      <c r="D791" s="267"/>
      <c r="E791" s="35"/>
      <c r="F791" s="151"/>
      <c r="G791" s="263">
        <f t="shared" si="95"/>
        <v>0</v>
      </c>
      <c r="H791" s="65"/>
      <c r="I791" s="275">
        <f t="shared" si="91"/>
        <v>0</v>
      </c>
      <c r="J791" s="161"/>
      <c r="K791" s="30"/>
      <c r="L791" s="30"/>
      <c r="M791" s="30"/>
      <c r="N791" s="30"/>
      <c r="O791" s="71">
        <f t="shared" si="92"/>
        <v>0</v>
      </c>
      <c r="P791" s="1070">
        <f t="shared" si="93"/>
        <v>0</v>
      </c>
      <c r="Q791" s="1071">
        <f t="shared" si="94"/>
        <v>0</v>
      </c>
    </row>
    <row r="792" spans="1:17" x14ac:dyDescent="0.2">
      <c r="A792" s="30"/>
      <c r="B792" s="162"/>
      <c r="C792" s="259"/>
      <c r="D792" s="267"/>
      <c r="E792" s="35"/>
      <c r="F792" s="151"/>
      <c r="G792" s="263">
        <f t="shared" si="95"/>
        <v>0</v>
      </c>
      <c r="H792" s="65"/>
      <c r="I792" s="275">
        <f t="shared" si="91"/>
        <v>0</v>
      </c>
      <c r="J792" s="161"/>
      <c r="K792" s="30"/>
      <c r="L792" s="30"/>
      <c r="M792" s="30"/>
      <c r="N792" s="30"/>
      <c r="O792" s="71">
        <f t="shared" si="92"/>
        <v>0</v>
      </c>
      <c r="P792" s="1070">
        <f t="shared" si="93"/>
        <v>0</v>
      </c>
      <c r="Q792" s="1071">
        <f t="shared" si="94"/>
        <v>0</v>
      </c>
    </row>
    <row r="793" spans="1:17" x14ac:dyDescent="0.2">
      <c r="A793" s="30"/>
      <c r="B793" s="162"/>
      <c r="C793" s="259"/>
      <c r="D793" s="267"/>
      <c r="E793" s="35"/>
      <c r="F793" s="151"/>
      <c r="G793" s="263">
        <f t="shared" si="95"/>
        <v>0</v>
      </c>
      <c r="H793" s="65"/>
      <c r="I793" s="275">
        <f t="shared" si="91"/>
        <v>0</v>
      </c>
      <c r="J793" s="161"/>
      <c r="K793" s="30"/>
      <c r="L793" s="30"/>
      <c r="M793" s="30"/>
      <c r="N793" s="30"/>
      <c r="O793" s="71">
        <f t="shared" si="92"/>
        <v>0</v>
      </c>
      <c r="P793" s="1070">
        <f t="shared" si="93"/>
        <v>0</v>
      </c>
      <c r="Q793" s="1071">
        <f t="shared" si="94"/>
        <v>0</v>
      </c>
    </row>
    <row r="794" spans="1:17" x14ac:dyDescent="0.2">
      <c r="A794" s="30"/>
      <c r="B794" s="162"/>
      <c r="C794" s="259"/>
      <c r="D794" s="267"/>
      <c r="E794" s="35"/>
      <c r="F794" s="151"/>
      <c r="G794" s="263">
        <f t="shared" si="95"/>
        <v>0</v>
      </c>
      <c r="H794" s="65"/>
      <c r="I794" s="275">
        <f t="shared" si="91"/>
        <v>0</v>
      </c>
      <c r="J794" s="161"/>
      <c r="K794" s="30"/>
      <c r="L794" s="30"/>
      <c r="M794" s="30"/>
      <c r="N794" s="30"/>
      <c r="O794" s="71">
        <f t="shared" si="92"/>
        <v>0</v>
      </c>
      <c r="P794" s="1070">
        <f t="shared" si="93"/>
        <v>0</v>
      </c>
      <c r="Q794" s="1071">
        <f t="shared" ref="Q794:Q813" si="96">IF($F794=$Q$43,$I794,0)</f>
        <v>0</v>
      </c>
    </row>
    <row r="795" spans="1:17" x14ac:dyDescent="0.2">
      <c r="A795" s="30"/>
      <c r="B795" s="162"/>
      <c r="C795" s="259"/>
      <c r="D795" s="267"/>
      <c r="E795" s="35"/>
      <c r="F795" s="151"/>
      <c r="G795" s="263">
        <f t="shared" si="95"/>
        <v>0</v>
      </c>
      <c r="H795" s="65"/>
      <c r="I795" s="275">
        <f t="shared" si="91"/>
        <v>0</v>
      </c>
      <c r="J795" s="161"/>
      <c r="K795" s="30"/>
      <c r="L795" s="30"/>
      <c r="M795" s="30"/>
      <c r="N795" s="30"/>
      <c r="O795" s="71">
        <f t="shared" si="92"/>
        <v>0</v>
      </c>
      <c r="P795" s="1070">
        <f t="shared" ref="P795:P813" si="97">IF($F795=$Q$42,$I795,0)</f>
        <v>0</v>
      </c>
      <c r="Q795" s="1071">
        <f t="shared" si="96"/>
        <v>0</v>
      </c>
    </row>
    <row r="796" spans="1:17" x14ac:dyDescent="0.2">
      <c r="A796" s="30"/>
      <c r="B796" s="162"/>
      <c r="C796" s="259"/>
      <c r="D796" s="267"/>
      <c r="E796" s="35"/>
      <c r="F796" s="151"/>
      <c r="G796" s="263">
        <f t="shared" si="95"/>
        <v>0</v>
      </c>
      <c r="H796" s="65"/>
      <c r="I796" s="275">
        <f t="shared" si="91"/>
        <v>0</v>
      </c>
      <c r="J796" s="161"/>
      <c r="K796" s="30"/>
      <c r="L796" s="30"/>
      <c r="M796" s="30"/>
      <c r="N796" s="30"/>
      <c r="O796" s="71">
        <f t="shared" si="92"/>
        <v>0</v>
      </c>
      <c r="P796" s="1070">
        <f t="shared" si="97"/>
        <v>0</v>
      </c>
      <c r="Q796" s="1071">
        <f t="shared" si="96"/>
        <v>0</v>
      </c>
    </row>
    <row r="797" spans="1:17" x14ac:dyDescent="0.2">
      <c r="A797" s="30"/>
      <c r="B797" s="162"/>
      <c r="C797" s="259"/>
      <c r="D797" s="267"/>
      <c r="E797" s="35"/>
      <c r="F797" s="151"/>
      <c r="G797" s="263">
        <f t="shared" si="95"/>
        <v>0</v>
      </c>
      <c r="H797" s="65"/>
      <c r="I797" s="275">
        <f t="shared" si="91"/>
        <v>0</v>
      </c>
      <c r="J797" s="161"/>
      <c r="K797" s="30"/>
      <c r="L797" s="30"/>
      <c r="M797" s="30"/>
      <c r="N797" s="30"/>
      <c r="O797" s="71">
        <f t="shared" si="92"/>
        <v>0</v>
      </c>
      <c r="P797" s="1070">
        <f t="shared" si="97"/>
        <v>0</v>
      </c>
      <c r="Q797" s="1071">
        <f t="shared" si="96"/>
        <v>0</v>
      </c>
    </row>
    <row r="798" spans="1:17" x14ac:dyDescent="0.2">
      <c r="A798" s="30"/>
      <c r="B798" s="162"/>
      <c r="C798" s="259"/>
      <c r="D798" s="267"/>
      <c r="E798" s="35"/>
      <c r="F798" s="151"/>
      <c r="G798" s="263">
        <f t="shared" si="95"/>
        <v>0</v>
      </c>
      <c r="H798" s="65"/>
      <c r="I798" s="275">
        <f t="shared" si="91"/>
        <v>0</v>
      </c>
      <c r="J798" s="161"/>
      <c r="K798" s="30"/>
      <c r="L798" s="30"/>
      <c r="M798" s="30"/>
      <c r="N798" s="30"/>
      <c r="O798" s="71">
        <f t="shared" si="92"/>
        <v>0</v>
      </c>
      <c r="P798" s="1070">
        <f t="shared" si="97"/>
        <v>0</v>
      </c>
      <c r="Q798" s="1071">
        <f t="shared" si="96"/>
        <v>0</v>
      </c>
    </row>
    <row r="799" spans="1:17" x14ac:dyDescent="0.2">
      <c r="A799" s="30"/>
      <c r="B799" s="162"/>
      <c r="C799" s="259"/>
      <c r="D799" s="267"/>
      <c r="E799" s="35"/>
      <c r="F799" s="151"/>
      <c r="G799" s="263">
        <f t="shared" si="95"/>
        <v>0</v>
      </c>
      <c r="H799" s="65"/>
      <c r="I799" s="275">
        <f t="shared" si="91"/>
        <v>0</v>
      </c>
      <c r="J799" s="161"/>
      <c r="K799" s="30"/>
      <c r="L799" s="30"/>
      <c r="M799" s="30"/>
      <c r="N799" s="30"/>
      <c r="O799" s="71">
        <f t="shared" si="92"/>
        <v>0</v>
      </c>
      <c r="P799" s="1070">
        <f t="shared" si="97"/>
        <v>0</v>
      </c>
      <c r="Q799" s="1071">
        <f t="shared" si="96"/>
        <v>0</v>
      </c>
    </row>
    <row r="800" spans="1:17" x14ac:dyDescent="0.2">
      <c r="A800" s="30"/>
      <c r="B800" s="162"/>
      <c r="C800" s="259"/>
      <c r="D800" s="267"/>
      <c r="E800" s="35"/>
      <c r="F800" s="151"/>
      <c r="G800" s="263">
        <f t="shared" si="95"/>
        <v>0</v>
      </c>
      <c r="H800" s="65"/>
      <c r="I800" s="275">
        <f t="shared" si="91"/>
        <v>0</v>
      </c>
      <c r="J800" s="161"/>
      <c r="K800" s="30"/>
      <c r="L800" s="30"/>
      <c r="M800" s="30"/>
      <c r="N800" s="30"/>
      <c r="O800" s="71">
        <f t="shared" si="92"/>
        <v>0</v>
      </c>
      <c r="P800" s="1070">
        <f t="shared" si="97"/>
        <v>0</v>
      </c>
      <c r="Q800" s="1071">
        <f t="shared" si="96"/>
        <v>0</v>
      </c>
    </row>
    <row r="801" spans="1:17" x14ac:dyDescent="0.2">
      <c r="A801" s="30"/>
      <c r="B801" s="162"/>
      <c r="C801" s="259"/>
      <c r="D801" s="267"/>
      <c r="E801" s="35"/>
      <c r="F801" s="151"/>
      <c r="G801" s="263">
        <f t="shared" si="95"/>
        <v>0</v>
      </c>
      <c r="H801" s="65"/>
      <c r="I801" s="275">
        <f t="shared" si="91"/>
        <v>0</v>
      </c>
      <c r="J801" s="161"/>
      <c r="K801" s="30"/>
      <c r="L801" s="30"/>
      <c r="M801" s="30"/>
      <c r="N801" s="30"/>
      <c r="O801" s="71">
        <f t="shared" si="92"/>
        <v>0</v>
      </c>
      <c r="P801" s="1070">
        <f t="shared" si="97"/>
        <v>0</v>
      </c>
      <c r="Q801" s="1071">
        <f t="shared" si="96"/>
        <v>0</v>
      </c>
    </row>
    <row r="802" spans="1:17" x14ac:dyDescent="0.2">
      <c r="A802" s="30"/>
      <c r="B802" s="162"/>
      <c r="C802" s="259"/>
      <c r="D802" s="267"/>
      <c r="E802" s="35"/>
      <c r="F802" s="151"/>
      <c r="G802" s="263">
        <f t="shared" si="95"/>
        <v>0</v>
      </c>
      <c r="H802" s="65"/>
      <c r="I802" s="275">
        <f t="shared" si="91"/>
        <v>0</v>
      </c>
      <c r="J802" s="161"/>
      <c r="K802" s="30"/>
      <c r="L802" s="30"/>
      <c r="M802" s="30"/>
      <c r="N802" s="30"/>
      <c r="O802" s="71">
        <f t="shared" si="92"/>
        <v>0</v>
      </c>
      <c r="P802" s="1070">
        <f t="shared" si="97"/>
        <v>0</v>
      </c>
      <c r="Q802" s="1071">
        <f t="shared" si="96"/>
        <v>0</v>
      </c>
    </row>
    <row r="803" spans="1:17" x14ac:dyDescent="0.2">
      <c r="A803" s="30"/>
      <c r="B803" s="162"/>
      <c r="C803" s="259"/>
      <c r="D803" s="267"/>
      <c r="E803" s="35"/>
      <c r="F803" s="151"/>
      <c r="G803" s="263">
        <f t="shared" si="95"/>
        <v>0</v>
      </c>
      <c r="H803" s="65"/>
      <c r="I803" s="275">
        <f t="shared" si="91"/>
        <v>0</v>
      </c>
      <c r="J803" s="161"/>
      <c r="K803" s="30"/>
      <c r="L803" s="30"/>
      <c r="M803" s="30"/>
      <c r="N803" s="30"/>
      <c r="O803" s="71">
        <f t="shared" si="92"/>
        <v>0</v>
      </c>
      <c r="P803" s="1070">
        <f t="shared" si="97"/>
        <v>0</v>
      </c>
      <c r="Q803" s="1071">
        <f t="shared" si="96"/>
        <v>0</v>
      </c>
    </row>
    <row r="804" spans="1:17" x14ac:dyDescent="0.2">
      <c r="A804" s="30"/>
      <c r="B804" s="162"/>
      <c r="C804" s="259"/>
      <c r="D804" s="267"/>
      <c r="E804" s="35"/>
      <c r="F804" s="151"/>
      <c r="G804" s="263">
        <f t="shared" si="95"/>
        <v>0</v>
      </c>
      <c r="H804" s="65"/>
      <c r="I804" s="275">
        <f t="shared" si="91"/>
        <v>0</v>
      </c>
      <c r="J804" s="161"/>
      <c r="K804" s="30"/>
      <c r="L804" s="30"/>
      <c r="M804" s="30"/>
      <c r="N804" s="30"/>
      <c r="O804" s="71">
        <f t="shared" si="92"/>
        <v>0</v>
      </c>
      <c r="P804" s="1070">
        <f t="shared" si="97"/>
        <v>0</v>
      </c>
      <c r="Q804" s="1071">
        <f t="shared" si="96"/>
        <v>0</v>
      </c>
    </row>
    <row r="805" spans="1:17" x14ac:dyDescent="0.2">
      <c r="A805" s="30"/>
      <c r="B805" s="162"/>
      <c r="C805" s="259"/>
      <c r="D805" s="267"/>
      <c r="E805" s="35"/>
      <c r="F805" s="151"/>
      <c r="G805" s="263">
        <f t="shared" si="95"/>
        <v>0</v>
      </c>
      <c r="H805" s="65"/>
      <c r="I805" s="275">
        <f t="shared" si="91"/>
        <v>0</v>
      </c>
      <c r="J805" s="161"/>
      <c r="K805" s="30"/>
      <c r="L805" s="30"/>
      <c r="M805" s="30"/>
      <c r="N805" s="30"/>
      <c r="O805" s="71">
        <f t="shared" si="92"/>
        <v>0</v>
      </c>
      <c r="P805" s="1070">
        <f t="shared" si="97"/>
        <v>0</v>
      </c>
      <c r="Q805" s="1071">
        <f t="shared" si="96"/>
        <v>0</v>
      </c>
    </row>
    <row r="806" spans="1:17" x14ac:dyDescent="0.2">
      <c r="A806" s="30"/>
      <c r="B806" s="162"/>
      <c r="C806" s="259"/>
      <c r="D806" s="267"/>
      <c r="E806" s="35"/>
      <c r="F806" s="151"/>
      <c r="G806" s="263">
        <f t="shared" si="95"/>
        <v>0</v>
      </c>
      <c r="H806" s="65"/>
      <c r="I806" s="275">
        <f t="shared" si="91"/>
        <v>0</v>
      </c>
      <c r="J806" s="161"/>
      <c r="K806" s="30"/>
      <c r="L806" s="30"/>
      <c r="M806" s="30"/>
      <c r="N806" s="30"/>
      <c r="O806" s="71">
        <f t="shared" si="92"/>
        <v>0</v>
      </c>
      <c r="P806" s="1070">
        <f t="shared" si="97"/>
        <v>0</v>
      </c>
      <c r="Q806" s="1071">
        <f t="shared" si="96"/>
        <v>0</v>
      </c>
    </row>
    <row r="807" spans="1:17" x14ac:dyDescent="0.2">
      <c r="A807" s="30"/>
      <c r="B807" s="162"/>
      <c r="C807" s="259"/>
      <c r="D807" s="267"/>
      <c r="E807" s="35"/>
      <c r="F807" s="151"/>
      <c r="G807" s="263">
        <f t="shared" si="95"/>
        <v>0</v>
      </c>
      <c r="H807" s="65"/>
      <c r="I807" s="275">
        <f t="shared" si="91"/>
        <v>0</v>
      </c>
      <c r="J807" s="161"/>
      <c r="K807" s="30"/>
      <c r="L807" s="30"/>
      <c r="M807" s="30"/>
      <c r="N807" s="30"/>
      <c r="O807" s="71">
        <f t="shared" si="92"/>
        <v>0</v>
      </c>
      <c r="P807" s="1070">
        <f t="shared" si="97"/>
        <v>0</v>
      </c>
      <c r="Q807" s="1071">
        <f t="shared" si="96"/>
        <v>0</v>
      </c>
    </row>
    <row r="808" spans="1:17" x14ac:dyDescent="0.2">
      <c r="A808" s="30"/>
      <c r="B808" s="162"/>
      <c r="C808" s="259"/>
      <c r="D808" s="267"/>
      <c r="E808" s="35"/>
      <c r="F808" s="151"/>
      <c r="G808" s="263">
        <f t="shared" si="95"/>
        <v>0</v>
      </c>
      <c r="H808" s="65"/>
      <c r="I808" s="275">
        <f t="shared" si="91"/>
        <v>0</v>
      </c>
      <c r="J808" s="161"/>
      <c r="K808" s="30"/>
      <c r="L808" s="30"/>
      <c r="M808" s="30"/>
      <c r="N808" s="30"/>
      <c r="O808" s="71">
        <f t="shared" si="92"/>
        <v>0</v>
      </c>
      <c r="P808" s="1070">
        <f t="shared" si="97"/>
        <v>0</v>
      </c>
      <c r="Q808" s="1071">
        <f t="shared" si="96"/>
        <v>0</v>
      </c>
    </row>
    <row r="809" spans="1:17" x14ac:dyDescent="0.2">
      <c r="A809" s="30"/>
      <c r="B809" s="162"/>
      <c r="C809" s="259"/>
      <c r="D809" s="267"/>
      <c r="E809" s="35"/>
      <c r="F809" s="151"/>
      <c r="G809" s="263">
        <f t="shared" si="95"/>
        <v>0</v>
      </c>
      <c r="H809" s="65"/>
      <c r="I809" s="275">
        <f t="shared" si="91"/>
        <v>0</v>
      </c>
      <c r="J809" s="161"/>
      <c r="K809" s="30"/>
      <c r="L809" s="30"/>
      <c r="M809" s="30"/>
      <c r="N809" s="30"/>
      <c r="O809" s="71">
        <f t="shared" si="92"/>
        <v>0</v>
      </c>
      <c r="P809" s="1070">
        <f t="shared" si="97"/>
        <v>0</v>
      </c>
      <c r="Q809" s="1071">
        <f t="shared" si="96"/>
        <v>0</v>
      </c>
    </row>
    <row r="810" spans="1:17" x14ac:dyDescent="0.2">
      <c r="A810" s="30"/>
      <c r="B810" s="162"/>
      <c r="C810" s="259"/>
      <c r="D810" s="267"/>
      <c r="E810" s="35"/>
      <c r="F810" s="151"/>
      <c r="G810" s="263">
        <f t="shared" si="95"/>
        <v>0</v>
      </c>
      <c r="H810" s="65"/>
      <c r="I810" s="275">
        <f t="shared" si="91"/>
        <v>0</v>
      </c>
      <c r="J810" s="161"/>
      <c r="K810" s="30"/>
      <c r="L810" s="30"/>
      <c r="M810" s="30"/>
      <c r="N810" s="30"/>
      <c r="O810" s="71">
        <f t="shared" si="92"/>
        <v>0</v>
      </c>
      <c r="P810" s="1070">
        <f t="shared" si="97"/>
        <v>0</v>
      </c>
      <c r="Q810" s="1071">
        <f t="shared" si="96"/>
        <v>0</v>
      </c>
    </row>
    <row r="811" spans="1:17" x14ac:dyDescent="0.2">
      <c r="A811" s="30"/>
      <c r="B811" s="162"/>
      <c r="C811" s="259"/>
      <c r="D811" s="267"/>
      <c r="E811" s="35"/>
      <c r="F811" s="151"/>
      <c r="G811" s="263">
        <f t="shared" si="95"/>
        <v>0</v>
      </c>
      <c r="H811" s="65"/>
      <c r="I811" s="275">
        <f t="shared" si="91"/>
        <v>0</v>
      </c>
      <c r="J811" s="161"/>
      <c r="K811" s="30"/>
      <c r="L811" s="30"/>
      <c r="M811" s="30"/>
      <c r="N811" s="30"/>
      <c r="O811" s="71">
        <f t="shared" si="92"/>
        <v>0</v>
      </c>
      <c r="P811" s="1070">
        <f t="shared" si="97"/>
        <v>0</v>
      </c>
      <c r="Q811" s="1071">
        <f t="shared" si="96"/>
        <v>0</v>
      </c>
    </row>
    <row r="812" spans="1:17" x14ac:dyDescent="0.2">
      <c r="A812" s="30"/>
      <c r="B812" s="162"/>
      <c r="C812" s="259"/>
      <c r="D812" s="267"/>
      <c r="E812" s="35"/>
      <c r="F812" s="151"/>
      <c r="G812" s="263">
        <f t="shared" si="95"/>
        <v>0</v>
      </c>
      <c r="H812" s="65"/>
      <c r="I812" s="275">
        <f t="shared" si="91"/>
        <v>0</v>
      </c>
      <c r="J812" s="161"/>
      <c r="K812" s="30"/>
      <c r="L812" s="30"/>
      <c r="M812" s="30"/>
      <c r="N812" s="30"/>
      <c r="O812" s="71">
        <f t="shared" si="92"/>
        <v>0</v>
      </c>
      <c r="P812" s="1070">
        <f t="shared" si="97"/>
        <v>0</v>
      </c>
      <c r="Q812" s="1071">
        <f t="shared" si="96"/>
        <v>0</v>
      </c>
    </row>
    <row r="813" spans="1:17" ht="13.5" thickBot="1" x14ac:dyDescent="0.25">
      <c r="A813" s="30"/>
      <c r="B813" s="163"/>
      <c r="C813" s="260"/>
      <c r="D813" s="268"/>
      <c r="E813" s="24"/>
      <c r="F813" s="25"/>
      <c r="G813" s="264">
        <f t="shared" si="95"/>
        <v>0</v>
      </c>
      <c r="H813" s="272"/>
      <c r="I813" s="276">
        <f t="shared" si="91"/>
        <v>0</v>
      </c>
      <c r="J813" s="161"/>
      <c r="K813" s="30"/>
      <c r="L813" s="30"/>
      <c r="M813" s="30"/>
      <c r="N813" s="30"/>
      <c r="O813" s="71">
        <f t="shared" si="92"/>
        <v>0</v>
      </c>
      <c r="P813" s="1070">
        <f t="shared" si="97"/>
        <v>0</v>
      </c>
      <c r="Q813" s="1071">
        <f t="shared" si="96"/>
        <v>0</v>
      </c>
    </row>
    <row r="814" spans="1:17" ht="6.75" customHeight="1" thickBot="1" x14ac:dyDescent="0.25">
      <c r="A814" s="30"/>
      <c r="B814" s="155"/>
      <c r="C814" s="155"/>
      <c r="D814" s="155"/>
      <c r="E814" s="155"/>
      <c r="F814" s="155"/>
      <c r="G814" s="155"/>
      <c r="H814" s="155"/>
      <c r="I814" s="155"/>
      <c r="J814" s="155"/>
      <c r="K814" s="30"/>
      <c r="L814" s="30"/>
      <c r="M814" s="30"/>
      <c r="N814" s="30"/>
      <c r="O814" s="812">
        <f>SUM(O762:O813)</f>
        <v>0</v>
      </c>
      <c r="P814" s="1075">
        <f>SUM(P762:P813)</f>
        <v>0</v>
      </c>
      <c r="Q814" s="813">
        <f>SUM(Q762:Q813)</f>
        <v>0</v>
      </c>
    </row>
    <row r="815" spans="1:17" ht="50.1" customHeight="1" x14ac:dyDescent="0.2">
      <c r="A815" s="30"/>
      <c r="B815" s="155"/>
      <c r="C815" s="155"/>
      <c r="D815" s="155"/>
      <c r="E815" s="155"/>
      <c r="F815" s="155"/>
      <c r="G815" s="155"/>
      <c r="H815" s="155"/>
      <c r="I815" s="155"/>
      <c r="J815" s="155"/>
      <c r="K815" s="30"/>
      <c r="L815" s="30"/>
      <c r="M815" s="30"/>
      <c r="N815" s="30"/>
      <c r="O815" s="30"/>
      <c r="P815" s="30"/>
    </row>
    <row r="816" spans="1:17" ht="18" x14ac:dyDescent="0.2">
      <c r="A816" s="1224" t="str">
        <f>UPPER("Patching Summary Table")</f>
        <v>PATCHING SUMMARY TABLE</v>
      </c>
      <c r="B816" s="1224"/>
      <c r="C816" s="1224"/>
      <c r="D816" s="1224"/>
      <c r="E816" s="1224"/>
      <c r="F816" s="1224"/>
      <c r="G816" s="1224"/>
      <c r="H816" s="1224"/>
      <c r="I816" s="1224"/>
      <c r="J816" s="1224"/>
      <c r="K816" s="30"/>
      <c r="L816" s="30"/>
      <c r="M816" s="30"/>
      <c r="N816" s="30"/>
      <c r="O816" s="30"/>
      <c r="P816" s="30"/>
    </row>
    <row r="817" spans="1:17" ht="8.25" customHeight="1" thickBot="1" x14ac:dyDescent="0.25">
      <c r="A817" s="30"/>
      <c r="B817" s="31"/>
      <c r="C817" s="31"/>
      <c r="D817" s="31"/>
      <c r="E817" s="31"/>
      <c r="F817" s="31"/>
      <c r="G817" s="31"/>
      <c r="H817" s="31"/>
      <c r="I817" s="31"/>
      <c r="J817" s="31"/>
      <c r="K817" s="30"/>
      <c r="L817" s="30"/>
      <c r="M817" s="30"/>
      <c r="N817" s="30"/>
      <c r="O817" s="30"/>
      <c r="P817" s="30"/>
    </row>
    <row r="818" spans="1:17" x14ac:dyDescent="0.2">
      <c r="A818" s="30"/>
      <c r="B818" s="1310" t="s">
        <v>2</v>
      </c>
      <c r="C818" s="1319" t="s">
        <v>3</v>
      </c>
      <c r="D818" s="1310" t="s">
        <v>39</v>
      </c>
      <c r="E818" s="1308" t="s">
        <v>4</v>
      </c>
      <c r="F818" s="1223" t="s">
        <v>535</v>
      </c>
      <c r="G818" s="261" t="s">
        <v>129</v>
      </c>
      <c r="H818" s="269" t="s">
        <v>102</v>
      </c>
      <c r="I818" s="152" t="s">
        <v>209</v>
      </c>
      <c r="J818" s="31"/>
      <c r="K818" s="30"/>
      <c r="L818" s="30"/>
      <c r="M818" s="30"/>
      <c r="N818" s="30"/>
      <c r="O818" s="1159" t="s">
        <v>537</v>
      </c>
      <c r="P818" s="1305"/>
      <c r="Q818" s="1306"/>
    </row>
    <row r="819" spans="1:17" ht="13.5" thickBot="1" x14ac:dyDescent="0.25">
      <c r="A819" s="30"/>
      <c r="B819" s="1285"/>
      <c r="C819" s="1320"/>
      <c r="D819" s="1285"/>
      <c r="E819" s="1227"/>
      <c r="F819" s="1242"/>
      <c r="G819" s="262" t="s">
        <v>100</v>
      </c>
      <c r="H819" s="270" t="s">
        <v>100</v>
      </c>
      <c r="I819" s="273" t="s">
        <v>210</v>
      </c>
      <c r="J819" s="31"/>
      <c r="K819" s="30"/>
      <c r="L819" s="30"/>
      <c r="M819" s="30"/>
      <c r="N819" s="30"/>
      <c r="O819" s="41" t="str">
        <f>$Q$41</f>
        <v>Partial</v>
      </c>
      <c r="P819" s="42" t="str">
        <f>$Q$42</f>
        <v>Full ( HMA)</v>
      </c>
      <c r="Q819" s="43" t="str">
        <f>$Q$43</f>
        <v>Full (Composite)</v>
      </c>
    </row>
    <row r="820" spans="1:17" x14ac:dyDescent="0.2">
      <c r="A820" s="30"/>
      <c r="B820" s="159"/>
      <c r="C820" s="258"/>
      <c r="D820" s="265"/>
      <c r="E820" s="160"/>
      <c r="F820" s="266"/>
      <c r="G820" s="263">
        <f>ABS(C820-B820)</f>
        <v>0</v>
      </c>
      <c r="H820" s="271"/>
      <c r="I820" s="274">
        <f t="shared" ref="I820:I871" si="98">ROUNDUP((G820*H820)/9,0)</f>
        <v>0</v>
      </c>
      <c r="J820" s="161"/>
      <c r="K820" s="30"/>
      <c r="L820" s="30"/>
      <c r="M820" s="30"/>
      <c r="N820" s="30"/>
      <c r="O820" s="54">
        <f t="shared" ref="O820:O871" si="99">IF($F820=$Q$41,$I820,0)</f>
        <v>0</v>
      </c>
      <c r="P820" s="1069">
        <f t="shared" ref="P820:P852" si="100">IF($F820=$Q$42,$I820,0)</f>
        <v>0</v>
      </c>
      <c r="Q820" s="811">
        <f t="shared" ref="Q820:Q851" si="101">IF($F820=$Q$43,$I820,0)</f>
        <v>0</v>
      </c>
    </row>
    <row r="821" spans="1:17" x14ac:dyDescent="0.2">
      <c r="A821" s="30"/>
      <c r="B821" s="162"/>
      <c r="C821" s="259"/>
      <c r="D821" s="267"/>
      <c r="E821" s="35"/>
      <c r="F821" s="151"/>
      <c r="G821" s="263">
        <f t="shared" ref="G821:G871" si="102">ABS(C821-B821)</f>
        <v>0</v>
      </c>
      <c r="H821" s="65"/>
      <c r="I821" s="275">
        <f t="shared" si="98"/>
        <v>0</v>
      </c>
      <c r="J821" s="161"/>
      <c r="K821" s="30"/>
      <c r="L821" s="30"/>
      <c r="M821" s="30"/>
      <c r="N821" s="30"/>
      <c r="O821" s="71">
        <f t="shared" si="99"/>
        <v>0</v>
      </c>
      <c r="P821" s="1070">
        <f t="shared" si="100"/>
        <v>0</v>
      </c>
      <c r="Q821" s="1071">
        <f t="shared" si="101"/>
        <v>0</v>
      </c>
    </row>
    <row r="822" spans="1:17" x14ac:dyDescent="0.2">
      <c r="A822" s="30"/>
      <c r="B822" s="162"/>
      <c r="C822" s="259"/>
      <c r="D822" s="267"/>
      <c r="E822" s="35"/>
      <c r="F822" s="151"/>
      <c r="G822" s="263">
        <f t="shared" si="102"/>
        <v>0</v>
      </c>
      <c r="H822" s="65"/>
      <c r="I822" s="275">
        <f t="shared" si="98"/>
        <v>0</v>
      </c>
      <c r="J822" s="161"/>
      <c r="K822" s="30"/>
      <c r="L822" s="30"/>
      <c r="M822" s="30"/>
      <c r="N822" s="30"/>
      <c r="O822" s="71">
        <f t="shared" si="99"/>
        <v>0</v>
      </c>
      <c r="P822" s="1070">
        <f t="shared" si="100"/>
        <v>0</v>
      </c>
      <c r="Q822" s="1071">
        <f t="shared" si="101"/>
        <v>0</v>
      </c>
    </row>
    <row r="823" spans="1:17" x14ac:dyDescent="0.2">
      <c r="A823" s="30"/>
      <c r="B823" s="162"/>
      <c r="C823" s="259"/>
      <c r="D823" s="267"/>
      <c r="E823" s="35"/>
      <c r="F823" s="151"/>
      <c r="G823" s="263">
        <f t="shared" si="102"/>
        <v>0</v>
      </c>
      <c r="H823" s="65"/>
      <c r="I823" s="275">
        <f t="shared" si="98"/>
        <v>0</v>
      </c>
      <c r="J823" s="161"/>
      <c r="K823" s="30"/>
      <c r="L823" s="30"/>
      <c r="M823" s="30"/>
      <c r="N823" s="30"/>
      <c r="O823" s="71">
        <f t="shared" si="99"/>
        <v>0</v>
      </c>
      <c r="P823" s="1070">
        <f t="shared" si="100"/>
        <v>0</v>
      </c>
      <c r="Q823" s="1071">
        <f t="shared" si="101"/>
        <v>0</v>
      </c>
    </row>
    <row r="824" spans="1:17" x14ac:dyDescent="0.2">
      <c r="A824" s="30"/>
      <c r="B824" s="162"/>
      <c r="C824" s="259"/>
      <c r="D824" s="267"/>
      <c r="E824" s="35"/>
      <c r="F824" s="151"/>
      <c r="G824" s="263">
        <f t="shared" si="102"/>
        <v>0</v>
      </c>
      <c r="H824" s="65"/>
      <c r="I824" s="275">
        <f t="shared" si="98"/>
        <v>0</v>
      </c>
      <c r="J824" s="161"/>
      <c r="K824" s="30"/>
      <c r="L824" s="30"/>
      <c r="M824" s="30"/>
      <c r="N824" s="30"/>
      <c r="O824" s="71">
        <f t="shared" si="99"/>
        <v>0</v>
      </c>
      <c r="P824" s="1070">
        <f t="shared" si="100"/>
        <v>0</v>
      </c>
      <c r="Q824" s="1071">
        <f t="shared" si="101"/>
        <v>0</v>
      </c>
    </row>
    <row r="825" spans="1:17" x14ac:dyDescent="0.2">
      <c r="A825" s="30"/>
      <c r="B825" s="162"/>
      <c r="C825" s="259"/>
      <c r="D825" s="267"/>
      <c r="E825" s="35"/>
      <c r="F825" s="151"/>
      <c r="G825" s="263">
        <f t="shared" si="102"/>
        <v>0</v>
      </c>
      <c r="H825" s="65"/>
      <c r="I825" s="275">
        <f t="shared" si="98"/>
        <v>0</v>
      </c>
      <c r="J825" s="161"/>
      <c r="K825" s="30"/>
      <c r="L825" s="30"/>
      <c r="M825" s="30"/>
      <c r="N825" s="30"/>
      <c r="O825" s="71">
        <f t="shared" si="99"/>
        <v>0</v>
      </c>
      <c r="P825" s="1070">
        <f t="shared" si="100"/>
        <v>0</v>
      </c>
      <c r="Q825" s="1071">
        <f t="shared" si="101"/>
        <v>0</v>
      </c>
    </row>
    <row r="826" spans="1:17" x14ac:dyDescent="0.2">
      <c r="A826" s="30"/>
      <c r="B826" s="162"/>
      <c r="C826" s="259"/>
      <c r="D826" s="267"/>
      <c r="E826" s="35"/>
      <c r="F826" s="151"/>
      <c r="G826" s="263">
        <f t="shared" si="102"/>
        <v>0</v>
      </c>
      <c r="H826" s="65"/>
      <c r="I826" s="275">
        <f t="shared" si="98"/>
        <v>0</v>
      </c>
      <c r="J826" s="161"/>
      <c r="K826" s="30"/>
      <c r="L826" s="30"/>
      <c r="M826" s="30"/>
      <c r="N826" s="30"/>
      <c r="O826" s="71">
        <f t="shared" si="99"/>
        <v>0</v>
      </c>
      <c r="P826" s="1070">
        <f t="shared" si="100"/>
        <v>0</v>
      </c>
      <c r="Q826" s="1071">
        <f t="shared" si="101"/>
        <v>0</v>
      </c>
    </row>
    <row r="827" spans="1:17" x14ac:dyDescent="0.2">
      <c r="A827" s="30"/>
      <c r="B827" s="162"/>
      <c r="C827" s="259"/>
      <c r="D827" s="267"/>
      <c r="E827" s="35"/>
      <c r="F827" s="151"/>
      <c r="G827" s="263">
        <f t="shared" si="102"/>
        <v>0</v>
      </c>
      <c r="H827" s="65"/>
      <c r="I827" s="275">
        <f t="shared" si="98"/>
        <v>0</v>
      </c>
      <c r="J827" s="161"/>
      <c r="K827" s="30"/>
      <c r="L827" s="30"/>
      <c r="M827" s="30"/>
      <c r="N827" s="30"/>
      <c r="O827" s="71">
        <f t="shared" si="99"/>
        <v>0</v>
      </c>
      <c r="P827" s="1070">
        <f t="shared" si="100"/>
        <v>0</v>
      </c>
      <c r="Q827" s="1071">
        <f t="shared" si="101"/>
        <v>0</v>
      </c>
    </row>
    <row r="828" spans="1:17" x14ac:dyDescent="0.2">
      <c r="A828" s="30"/>
      <c r="B828" s="162"/>
      <c r="C828" s="259"/>
      <c r="D828" s="267"/>
      <c r="E828" s="35"/>
      <c r="F828" s="151"/>
      <c r="G828" s="263">
        <f t="shared" si="102"/>
        <v>0</v>
      </c>
      <c r="H828" s="65"/>
      <c r="I828" s="275">
        <f t="shared" si="98"/>
        <v>0</v>
      </c>
      <c r="J828" s="161"/>
      <c r="K828" s="30"/>
      <c r="L828" s="30"/>
      <c r="M828" s="30"/>
      <c r="N828" s="30"/>
      <c r="O828" s="71">
        <f t="shared" si="99"/>
        <v>0</v>
      </c>
      <c r="P828" s="1070">
        <f t="shared" si="100"/>
        <v>0</v>
      </c>
      <c r="Q828" s="1071">
        <f t="shared" si="101"/>
        <v>0</v>
      </c>
    </row>
    <row r="829" spans="1:17" x14ac:dyDescent="0.2">
      <c r="A829" s="30"/>
      <c r="B829" s="162"/>
      <c r="C829" s="259"/>
      <c r="D829" s="267"/>
      <c r="E829" s="35"/>
      <c r="F829" s="151"/>
      <c r="G829" s="263">
        <f t="shared" si="102"/>
        <v>0</v>
      </c>
      <c r="H829" s="65"/>
      <c r="I829" s="275">
        <f t="shared" si="98"/>
        <v>0</v>
      </c>
      <c r="J829" s="161"/>
      <c r="K829" s="30"/>
      <c r="L829" s="30"/>
      <c r="M829" s="30"/>
      <c r="N829" s="30"/>
      <c r="O829" s="71">
        <f t="shared" si="99"/>
        <v>0</v>
      </c>
      <c r="P829" s="1070">
        <f t="shared" si="100"/>
        <v>0</v>
      </c>
      <c r="Q829" s="1071">
        <f t="shared" si="101"/>
        <v>0</v>
      </c>
    </row>
    <row r="830" spans="1:17" x14ac:dyDescent="0.2">
      <c r="A830" s="30"/>
      <c r="B830" s="162"/>
      <c r="C830" s="259"/>
      <c r="D830" s="267"/>
      <c r="E830" s="35"/>
      <c r="F830" s="151"/>
      <c r="G830" s="263">
        <f t="shared" si="102"/>
        <v>0</v>
      </c>
      <c r="H830" s="65"/>
      <c r="I830" s="275">
        <f t="shared" si="98"/>
        <v>0</v>
      </c>
      <c r="J830" s="161"/>
      <c r="K830" s="30"/>
      <c r="L830" s="30"/>
      <c r="M830" s="30"/>
      <c r="N830" s="30"/>
      <c r="O830" s="71">
        <f t="shared" si="99"/>
        <v>0</v>
      </c>
      <c r="P830" s="1070">
        <f t="shared" si="100"/>
        <v>0</v>
      </c>
      <c r="Q830" s="1071">
        <f t="shared" si="101"/>
        <v>0</v>
      </c>
    </row>
    <row r="831" spans="1:17" x14ac:dyDescent="0.2">
      <c r="A831" s="30"/>
      <c r="B831" s="162"/>
      <c r="C831" s="259"/>
      <c r="D831" s="267"/>
      <c r="E831" s="35"/>
      <c r="F831" s="151"/>
      <c r="G831" s="263">
        <f t="shared" si="102"/>
        <v>0</v>
      </c>
      <c r="H831" s="65"/>
      <c r="I831" s="275">
        <f t="shared" si="98"/>
        <v>0</v>
      </c>
      <c r="J831" s="161"/>
      <c r="K831" s="30"/>
      <c r="L831" s="30"/>
      <c r="M831" s="30"/>
      <c r="N831" s="30"/>
      <c r="O831" s="71">
        <f t="shared" si="99"/>
        <v>0</v>
      </c>
      <c r="P831" s="1070">
        <f t="shared" si="100"/>
        <v>0</v>
      </c>
      <c r="Q831" s="1071">
        <f t="shared" si="101"/>
        <v>0</v>
      </c>
    </row>
    <row r="832" spans="1:17" x14ac:dyDescent="0.2">
      <c r="A832" s="30"/>
      <c r="B832" s="162"/>
      <c r="C832" s="259"/>
      <c r="D832" s="267"/>
      <c r="E832" s="35"/>
      <c r="F832" s="151"/>
      <c r="G832" s="263">
        <f t="shared" si="102"/>
        <v>0</v>
      </c>
      <c r="H832" s="65"/>
      <c r="I832" s="275">
        <f t="shared" si="98"/>
        <v>0</v>
      </c>
      <c r="J832" s="161"/>
      <c r="K832" s="30"/>
      <c r="L832" s="30"/>
      <c r="M832" s="30"/>
      <c r="N832" s="30"/>
      <c r="O832" s="71">
        <f t="shared" si="99"/>
        <v>0</v>
      </c>
      <c r="P832" s="1070">
        <f t="shared" si="100"/>
        <v>0</v>
      </c>
      <c r="Q832" s="1071">
        <f t="shared" si="101"/>
        <v>0</v>
      </c>
    </row>
    <row r="833" spans="1:17" x14ac:dyDescent="0.2">
      <c r="A833" s="30"/>
      <c r="B833" s="162"/>
      <c r="C833" s="259"/>
      <c r="D833" s="267"/>
      <c r="E833" s="35"/>
      <c r="F833" s="151"/>
      <c r="G833" s="263">
        <f t="shared" si="102"/>
        <v>0</v>
      </c>
      <c r="H833" s="65"/>
      <c r="I833" s="275">
        <f t="shared" si="98"/>
        <v>0</v>
      </c>
      <c r="J833" s="161"/>
      <c r="K833" s="30"/>
      <c r="L833" s="30"/>
      <c r="M833" s="30"/>
      <c r="N833" s="30"/>
      <c r="O833" s="71">
        <f t="shared" si="99"/>
        <v>0</v>
      </c>
      <c r="P833" s="1070">
        <f t="shared" si="100"/>
        <v>0</v>
      </c>
      <c r="Q833" s="1071">
        <f t="shared" si="101"/>
        <v>0</v>
      </c>
    </row>
    <row r="834" spans="1:17" x14ac:dyDescent="0.2">
      <c r="A834" s="30"/>
      <c r="B834" s="162"/>
      <c r="C834" s="259"/>
      <c r="D834" s="267"/>
      <c r="E834" s="35"/>
      <c r="F834" s="151"/>
      <c r="G834" s="263">
        <f t="shared" si="102"/>
        <v>0</v>
      </c>
      <c r="H834" s="65"/>
      <c r="I834" s="275">
        <f t="shared" si="98"/>
        <v>0</v>
      </c>
      <c r="J834" s="161"/>
      <c r="K834" s="30"/>
      <c r="L834" s="30"/>
      <c r="M834" s="30"/>
      <c r="N834" s="30"/>
      <c r="O834" s="71">
        <f t="shared" si="99"/>
        <v>0</v>
      </c>
      <c r="P834" s="1070">
        <f t="shared" si="100"/>
        <v>0</v>
      </c>
      <c r="Q834" s="1071">
        <f t="shared" si="101"/>
        <v>0</v>
      </c>
    </row>
    <row r="835" spans="1:17" x14ac:dyDescent="0.2">
      <c r="A835" s="30"/>
      <c r="B835" s="162"/>
      <c r="C835" s="259"/>
      <c r="D835" s="267"/>
      <c r="E835" s="35"/>
      <c r="F835" s="151"/>
      <c r="G835" s="263">
        <f t="shared" si="102"/>
        <v>0</v>
      </c>
      <c r="H835" s="65"/>
      <c r="I835" s="275">
        <f t="shared" si="98"/>
        <v>0</v>
      </c>
      <c r="J835" s="161"/>
      <c r="K835" s="30"/>
      <c r="L835" s="30"/>
      <c r="M835" s="30"/>
      <c r="N835" s="30"/>
      <c r="O835" s="71">
        <f t="shared" si="99"/>
        <v>0</v>
      </c>
      <c r="P835" s="1070">
        <f t="shared" si="100"/>
        <v>0</v>
      </c>
      <c r="Q835" s="1071">
        <f t="shared" si="101"/>
        <v>0</v>
      </c>
    </row>
    <row r="836" spans="1:17" x14ac:dyDescent="0.2">
      <c r="A836" s="30"/>
      <c r="B836" s="162"/>
      <c r="C836" s="259"/>
      <c r="D836" s="267"/>
      <c r="E836" s="35"/>
      <c r="F836" s="151"/>
      <c r="G836" s="263">
        <f t="shared" si="102"/>
        <v>0</v>
      </c>
      <c r="H836" s="65"/>
      <c r="I836" s="275">
        <f t="shared" si="98"/>
        <v>0</v>
      </c>
      <c r="J836" s="161"/>
      <c r="K836" s="30"/>
      <c r="L836" s="30"/>
      <c r="M836" s="30"/>
      <c r="N836" s="30"/>
      <c r="O836" s="71">
        <f t="shared" si="99"/>
        <v>0</v>
      </c>
      <c r="P836" s="1070">
        <f t="shared" si="100"/>
        <v>0</v>
      </c>
      <c r="Q836" s="1071">
        <f t="shared" si="101"/>
        <v>0</v>
      </c>
    </row>
    <row r="837" spans="1:17" x14ac:dyDescent="0.2">
      <c r="A837" s="30"/>
      <c r="B837" s="162"/>
      <c r="C837" s="259"/>
      <c r="D837" s="267"/>
      <c r="E837" s="35"/>
      <c r="F837" s="151"/>
      <c r="G837" s="263">
        <f t="shared" si="102"/>
        <v>0</v>
      </c>
      <c r="H837" s="65"/>
      <c r="I837" s="275">
        <f t="shared" si="98"/>
        <v>0</v>
      </c>
      <c r="J837" s="161"/>
      <c r="K837" s="30"/>
      <c r="L837" s="30"/>
      <c r="M837" s="30"/>
      <c r="N837" s="30"/>
      <c r="O837" s="71">
        <f t="shared" si="99"/>
        <v>0</v>
      </c>
      <c r="P837" s="1070">
        <f t="shared" si="100"/>
        <v>0</v>
      </c>
      <c r="Q837" s="1071">
        <f t="shared" si="101"/>
        <v>0</v>
      </c>
    </row>
    <row r="838" spans="1:17" x14ac:dyDescent="0.2">
      <c r="A838" s="30"/>
      <c r="B838" s="162"/>
      <c r="C838" s="259"/>
      <c r="D838" s="267"/>
      <c r="E838" s="35"/>
      <c r="F838" s="151"/>
      <c r="G838" s="263">
        <f t="shared" si="102"/>
        <v>0</v>
      </c>
      <c r="H838" s="65"/>
      <c r="I838" s="275">
        <f t="shared" si="98"/>
        <v>0</v>
      </c>
      <c r="J838" s="161"/>
      <c r="K838" s="30"/>
      <c r="L838" s="30"/>
      <c r="M838" s="30"/>
      <c r="N838" s="30"/>
      <c r="O838" s="71">
        <f t="shared" si="99"/>
        <v>0</v>
      </c>
      <c r="P838" s="1070">
        <f t="shared" si="100"/>
        <v>0</v>
      </c>
      <c r="Q838" s="1071">
        <f t="shared" si="101"/>
        <v>0</v>
      </c>
    </row>
    <row r="839" spans="1:17" x14ac:dyDescent="0.2">
      <c r="A839" s="30"/>
      <c r="B839" s="162"/>
      <c r="C839" s="259"/>
      <c r="D839" s="267"/>
      <c r="E839" s="35"/>
      <c r="F839" s="151"/>
      <c r="G839" s="263">
        <f t="shared" si="102"/>
        <v>0</v>
      </c>
      <c r="H839" s="65"/>
      <c r="I839" s="275">
        <f t="shared" si="98"/>
        <v>0</v>
      </c>
      <c r="J839" s="161"/>
      <c r="K839" s="30"/>
      <c r="L839" s="30"/>
      <c r="M839" s="30"/>
      <c r="N839" s="30"/>
      <c r="O839" s="71">
        <f t="shared" si="99"/>
        <v>0</v>
      </c>
      <c r="P839" s="1070">
        <f t="shared" si="100"/>
        <v>0</v>
      </c>
      <c r="Q839" s="1071">
        <f t="shared" si="101"/>
        <v>0</v>
      </c>
    </row>
    <row r="840" spans="1:17" x14ac:dyDescent="0.2">
      <c r="A840" s="30"/>
      <c r="B840" s="162"/>
      <c r="C840" s="259"/>
      <c r="D840" s="267"/>
      <c r="E840" s="35"/>
      <c r="F840" s="151"/>
      <c r="G840" s="263">
        <f t="shared" si="102"/>
        <v>0</v>
      </c>
      <c r="H840" s="65"/>
      <c r="I840" s="275">
        <f t="shared" si="98"/>
        <v>0</v>
      </c>
      <c r="J840" s="161"/>
      <c r="K840" s="30"/>
      <c r="L840" s="30"/>
      <c r="M840" s="30"/>
      <c r="N840" s="30"/>
      <c r="O840" s="71">
        <f t="shared" si="99"/>
        <v>0</v>
      </c>
      <c r="P840" s="1070">
        <f t="shared" si="100"/>
        <v>0</v>
      </c>
      <c r="Q840" s="1071">
        <f t="shared" si="101"/>
        <v>0</v>
      </c>
    </row>
    <row r="841" spans="1:17" x14ac:dyDescent="0.2">
      <c r="A841" s="30"/>
      <c r="B841" s="162"/>
      <c r="C841" s="259"/>
      <c r="D841" s="267"/>
      <c r="E841" s="35"/>
      <c r="F841" s="151"/>
      <c r="G841" s="263">
        <f t="shared" si="102"/>
        <v>0</v>
      </c>
      <c r="H841" s="65"/>
      <c r="I841" s="275">
        <f t="shared" si="98"/>
        <v>0</v>
      </c>
      <c r="J841" s="161"/>
      <c r="K841" s="30"/>
      <c r="L841" s="30"/>
      <c r="M841" s="30"/>
      <c r="N841" s="30"/>
      <c r="O841" s="71">
        <f t="shared" si="99"/>
        <v>0</v>
      </c>
      <c r="P841" s="1070">
        <f t="shared" si="100"/>
        <v>0</v>
      </c>
      <c r="Q841" s="1071">
        <f t="shared" si="101"/>
        <v>0</v>
      </c>
    </row>
    <row r="842" spans="1:17" x14ac:dyDescent="0.2">
      <c r="A842" s="30"/>
      <c r="B842" s="162"/>
      <c r="C842" s="259"/>
      <c r="D842" s="267"/>
      <c r="E842" s="35"/>
      <c r="F842" s="151"/>
      <c r="G842" s="263">
        <f t="shared" si="102"/>
        <v>0</v>
      </c>
      <c r="H842" s="65"/>
      <c r="I842" s="275">
        <f t="shared" si="98"/>
        <v>0</v>
      </c>
      <c r="J842" s="161"/>
      <c r="K842" s="30"/>
      <c r="L842" s="30"/>
      <c r="M842" s="30"/>
      <c r="N842" s="30"/>
      <c r="O842" s="71">
        <f t="shared" si="99"/>
        <v>0</v>
      </c>
      <c r="P842" s="1070">
        <f t="shared" si="100"/>
        <v>0</v>
      </c>
      <c r="Q842" s="1071">
        <f t="shared" si="101"/>
        <v>0</v>
      </c>
    </row>
    <row r="843" spans="1:17" x14ac:dyDescent="0.2">
      <c r="A843" s="30"/>
      <c r="B843" s="162"/>
      <c r="C843" s="259"/>
      <c r="D843" s="267"/>
      <c r="E843" s="35"/>
      <c r="F843" s="151"/>
      <c r="G843" s="263">
        <f t="shared" si="102"/>
        <v>0</v>
      </c>
      <c r="H843" s="65"/>
      <c r="I843" s="275">
        <f t="shared" si="98"/>
        <v>0</v>
      </c>
      <c r="J843" s="161"/>
      <c r="K843" s="30"/>
      <c r="L843" s="30"/>
      <c r="M843" s="30"/>
      <c r="N843" s="30"/>
      <c r="O843" s="71">
        <f t="shared" si="99"/>
        <v>0</v>
      </c>
      <c r="P843" s="1070">
        <f t="shared" si="100"/>
        <v>0</v>
      </c>
      <c r="Q843" s="1071">
        <f t="shared" si="101"/>
        <v>0</v>
      </c>
    </row>
    <row r="844" spans="1:17" x14ac:dyDescent="0.2">
      <c r="A844" s="30"/>
      <c r="B844" s="162"/>
      <c r="C844" s="259"/>
      <c r="D844" s="267"/>
      <c r="E844" s="35"/>
      <c r="F844" s="151"/>
      <c r="G844" s="263">
        <f t="shared" si="102"/>
        <v>0</v>
      </c>
      <c r="H844" s="65"/>
      <c r="I844" s="275">
        <f t="shared" si="98"/>
        <v>0</v>
      </c>
      <c r="J844" s="161"/>
      <c r="K844" s="30"/>
      <c r="L844" s="30"/>
      <c r="M844" s="30"/>
      <c r="N844" s="30"/>
      <c r="O844" s="71">
        <f t="shared" si="99"/>
        <v>0</v>
      </c>
      <c r="P844" s="1070">
        <f t="shared" si="100"/>
        <v>0</v>
      </c>
      <c r="Q844" s="1071">
        <f t="shared" si="101"/>
        <v>0</v>
      </c>
    </row>
    <row r="845" spans="1:17" x14ac:dyDescent="0.2">
      <c r="A845" s="30"/>
      <c r="B845" s="162"/>
      <c r="C845" s="259"/>
      <c r="D845" s="267"/>
      <c r="E845" s="35"/>
      <c r="F845" s="151"/>
      <c r="G845" s="263">
        <f t="shared" si="102"/>
        <v>0</v>
      </c>
      <c r="H845" s="65"/>
      <c r="I845" s="275">
        <f t="shared" si="98"/>
        <v>0</v>
      </c>
      <c r="J845" s="161"/>
      <c r="K845" s="30"/>
      <c r="L845" s="30"/>
      <c r="M845" s="30"/>
      <c r="N845" s="30"/>
      <c r="O845" s="71">
        <f t="shared" si="99"/>
        <v>0</v>
      </c>
      <c r="P845" s="1070">
        <f t="shared" si="100"/>
        <v>0</v>
      </c>
      <c r="Q845" s="1071">
        <f t="shared" si="101"/>
        <v>0</v>
      </c>
    </row>
    <row r="846" spans="1:17" x14ac:dyDescent="0.2">
      <c r="A846" s="30"/>
      <c r="B846" s="162"/>
      <c r="C846" s="259"/>
      <c r="D846" s="267"/>
      <c r="E846" s="35"/>
      <c r="F846" s="151"/>
      <c r="G846" s="263">
        <f t="shared" si="102"/>
        <v>0</v>
      </c>
      <c r="H846" s="65"/>
      <c r="I846" s="275">
        <f t="shared" si="98"/>
        <v>0</v>
      </c>
      <c r="J846" s="161"/>
      <c r="K846" s="30"/>
      <c r="L846" s="30"/>
      <c r="M846" s="30"/>
      <c r="N846" s="30"/>
      <c r="O846" s="71">
        <f t="shared" si="99"/>
        <v>0</v>
      </c>
      <c r="P846" s="1070">
        <f t="shared" si="100"/>
        <v>0</v>
      </c>
      <c r="Q846" s="1071">
        <f t="shared" si="101"/>
        <v>0</v>
      </c>
    </row>
    <row r="847" spans="1:17" x14ac:dyDescent="0.2">
      <c r="A847" s="30"/>
      <c r="B847" s="162"/>
      <c r="C847" s="259"/>
      <c r="D847" s="267"/>
      <c r="E847" s="35"/>
      <c r="F847" s="151"/>
      <c r="G847" s="263">
        <f t="shared" si="102"/>
        <v>0</v>
      </c>
      <c r="H847" s="65"/>
      <c r="I847" s="275">
        <f t="shared" si="98"/>
        <v>0</v>
      </c>
      <c r="J847" s="161"/>
      <c r="K847" s="30"/>
      <c r="L847" s="30"/>
      <c r="M847" s="30"/>
      <c r="N847" s="30"/>
      <c r="O847" s="71">
        <f t="shared" si="99"/>
        <v>0</v>
      </c>
      <c r="P847" s="1070">
        <f t="shared" si="100"/>
        <v>0</v>
      </c>
      <c r="Q847" s="1071">
        <f t="shared" si="101"/>
        <v>0</v>
      </c>
    </row>
    <row r="848" spans="1:17" x14ac:dyDescent="0.2">
      <c r="A848" s="30"/>
      <c r="B848" s="162"/>
      <c r="C848" s="259"/>
      <c r="D848" s="267"/>
      <c r="E848" s="35"/>
      <c r="F848" s="151"/>
      <c r="G848" s="263">
        <f t="shared" si="102"/>
        <v>0</v>
      </c>
      <c r="H848" s="65"/>
      <c r="I848" s="275">
        <f t="shared" si="98"/>
        <v>0</v>
      </c>
      <c r="J848" s="161"/>
      <c r="K848" s="30"/>
      <c r="L848" s="30"/>
      <c r="M848" s="30"/>
      <c r="N848" s="30"/>
      <c r="O848" s="71">
        <f t="shared" si="99"/>
        <v>0</v>
      </c>
      <c r="P848" s="1070">
        <f t="shared" si="100"/>
        <v>0</v>
      </c>
      <c r="Q848" s="1071">
        <f t="shared" si="101"/>
        <v>0</v>
      </c>
    </row>
    <row r="849" spans="1:17" x14ac:dyDescent="0.2">
      <c r="A849" s="30"/>
      <c r="B849" s="162"/>
      <c r="C849" s="259"/>
      <c r="D849" s="267"/>
      <c r="E849" s="35"/>
      <c r="F849" s="151"/>
      <c r="G849" s="263">
        <f t="shared" si="102"/>
        <v>0</v>
      </c>
      <c r="H849" s="65"/>
      <c r="I849" s="275">
        <f t="shared" si="98"/>
        <v>0</v>
      </c>
      <c r="J849" s="161"/>
      <c r="K849" s="30"/>
      <c r="L849" s="30"/>
      <c r="M849" s="30"/>
      <c r="N849" s="30"/>
      <c r="O849" s="71">
        <f t="shared" si="99"/>
        <v>0</v>
      </c>
      <c r="P849" s="1070">
        <f t="shared" si="100"/>
        <v>0</v>
      </c>
      <c r="Q849" s="1071">
        <f t="shared" si="101"/>
        <v>0</v>
      </c>
    </row>
    <row r="850" spans="1:17" x14ac:dyDescent="0.2">
      <c r="A850" s="30"/>
      <c r="B850" s="162"/>
      <c r="C850" s="259"/>
      <c r="D850" s="267"/>
      <c r="E850" s="35"/>
      <c r="F850" s="151"/>
      <c r="G850" s="263">
        <f t="shared" si="102"/>
        <v>0</v>
      </c>
      <c r="H850" s="65"/>
      <c r="I850" s="275">
        <f t="shared" si="98"/>
        <v>0</v>
      </c>
      <c r="J850" s="161"/>
      <c r="K850" s="30"/>
      <c r="L850" s="30"/>
      <c r="M850" s="30"/>
      <c r="N850" s="30"/>
      <c r="O850" s="71">
        <f t="shared" si="99"/>
        <v>0</v>
      </c>
      <c r="P850" s="1070">
        <f t="shared" si="100"/>
        <v>0</v>
      </c>
      <c r="Q850" s="1071">
        <f t="shared" si="101"/>
        <v>0</v>
      </c>
    </row>
    <row r="851" spans="1:17" x14ac:dyDescent="0.2">
      <c r="A851" s="30"/>
      <c r="B851" s="162"/>
      <c r="C851" s="259"/>
      <c r="D851" s="267"/>
      <c r="E851" s="35"/>
      <c r="F851" s="151"/>
      <c r="G851" s="263">
        <f t="shared" si="102"/>
        <v>0</v>
      </c>
      <c r="H851" s="65"/>
      <c r="I851" s="275">
        <f t="shared" si="98"/>
        <v>0</v>
      </c>
      <c r="J851" s="161"/>
      <c r="K851" s="30"/>
      <c r="L851" s="30"/>
      <c r="M851" s="30"/>
      <c r="N851" s="30"/>
      <c r="O851" s="71">
        <f t="shared" si="99"/>
        <v>0</v>
      </c>
      <c r="P851" s="1070">
        <f t="shared" si="100"/>
        <v>0</v>
      </c>
      <c r="Q851" s="1071">
        <f t="shared" si="101"/>
        <v>0</v>
      </c>
    </row>
    <row r="852" spans="1:17" x14ac:dyDescent="0.2">
      <c r="A852" s="30"/>
      <c r="B852" s="162"/>
      <c r="C852" s="259"/>
      <c r="D852" s="267"/>
      <c r="E852" s="35"/>
      <c r="F852" s="151"/>
      <c r="G852" s="263">
        <f t="shared" si="102"/>
        <v>0</v>
      </c>
      <c r="H852" s="65"/>
      <c r="I852" s="275">
        <f t="shared" si="98"/>
        <v>0</v>
      </c>
      <c r="J852" s="161"/>
      <c r="K852" s="30"/>
      <c r="L852" s="30"/>
      <c r="M852" s="30"/>
      <c r="N852" s="30"/>
      <c r="O852" s="71">
        <f t="shared" si="99"/>
        <v>0</v>
      </c>
      <c r="P852" s="1070">
        <f t="shared" si="100"/>
        <v>0</v>
      </c>
      <c r="Q852" s="1071">
        <f t="shared" ref="Q852:Q871" si="103">IF($F852=$Q$43,$I852,0)</f>
        <v>0</v>
      </c>
    </row>
    <row r="853" spans="1:17" x14ac:dyDescent="0.2">
      <c r="A853" s="30"/>
      <c r="B853" s="162"/>
      <c r="C853" s="259"/>
      <c r="D853" s="267"/>
      <c r="E853" s="35"/>
      <c r="F853" s="151"/>
      <c r="G853" s="263">
        <f t="shared" si="102"/>
        <v>0</v>
      </c>
      <c r="H853" s="65"/>
      <c r="I853" s="275">
        <f t="shared" si="98"/>
        <v>0</v>
      </c>
      <c r="J853" s="161"/>
      <c r="K853" s="30"/>
      <c r="L853" s="30"/>
      <c r="M853" s="30"/>
      <c r="N853" s="30"/>
      <c r="O853" s="71">
        <f t="shared" si="99"/>
        <v>0</v>
      </c>
      <c r="P853" s="1070">
        <f t="shared" ref="P853:P871" si="104">IF($F853=$Q$42,$I853,0)</f>
        <v>0</v>
      </c>
      <c r="Q853" s="1071">
        <f t="shared" si="103"/>
        <v>0</v>
      </c>
    </row>
    <row r="854" spans="1:17" x14ac:dyDescent="0.2">
      <c r="A854" s="30"/>
      <c r="B854" s="162"/>
      <c r="C854" s="259"/>
      <c r="D854" s="267"/>
      <c r="E854" s="35"/>
      <c r="F854" s="151"/>
      <c r="G854" s="263">
        <f t="shared" si="102"/>
        <v>0</v>
      </c>
      <c r="H854" s="65"/>
      <c r="I854" s="275">
        <f t="shared" si="98"/>
        <v>0</v>
      </c>
      <c r="J854" s="161"/>
      <c r="K854" s="30"/>
      <c r="L854" s="30"/>
      <c r="M854" s="30"/>
      <c r="N854" s="30"/>
      <c r="O854" s="71">
        <f t="shared" si="99"/>
        <v>0</v>
      </c>
      <c r="P854" s="1070">
        <f t="shared" si="104"/>
        <v>0</v>
      </c>
      <c r="Q854" s="1071">
        <f t="shared" si="103"/>
        <v>0</v>
      </c>
    </row>
    <row r="855" spans="1:17" x14ac:dyDescent="0.2">
      <c r="A855" s="30"/>
      <c r="B855" s="162"/>
      <c r="C855" s="259"/>
      <c r="D855" s="267"/>
      <c r="E855" s="35"/>
      <c r="F855" s="151"/>
      <c r="G855" s="263">
        <f t="shared" si="102"/>
        <v>0</v>
      </c>
      <c r="H855" s="65"/>
      <c r="I855" s="275">
        <f t="shared" si="98"/>
        <v>0</v>
      </c>
      <c r="J855" s="161"/>
      <c r="K855" s="30"/>
      <c r="L855" s="30"/>
      <c r="M855" s="30"/>
      <c r="N855" s="30"/>
      <c r="O855" s="71">
        <f t="shared" si="99"/>
        <v>0</v>
      </c>
      <c r="P855" s="1070">
        <f t="shared" si="104"/>
        <v>0</v>
      </c>
      <c r="Q855" s="1071">
        <f t="shared" si="103"/>
        <v>0</v>
      </c>
    </row>
    <row r="856" spans="1:17" x14ac:dyDescent="0.2">
      <c r="A856" s="30"/>
      <c r="B856" s="162"/>
      <c r="C856" s="259"/>
      <c r="D856" s="267"/>
      <c r="E856" s="35"/>
      <c r="F856" s="151"/>
      <c r="G856" s="263">
        <f t="shared" si="102"/>
        <v>0</v>
      </c>
      <c r="H856" s="65"/>
      <c r="I856" s="275">
        <f t="shared" si="98"/>
        <v>0</v>
      </c>
      <c r="J856" s="161"/>
      <c r="K856" s="30"/>
      <c r="L856" s="30"/>
      <c r="M856" s="30"/>
      <c r="N856" s="30"/>
      <c r="O856" s="71">
        <f t="shared" si="99"/>
        <v>0</v>
      </c>
      <c r="P856" s="1070">
        <f t="shared" si="104"/>
        <v>0</v>
      </c>
      <c r="Q856" s="1071">
        <f t="shared" si="103"/>
        <v>0</v>
      </c>
    </row>
    <row r="857" spans="1:17" x14ac:dyDescent="0.2">
      <c r="A857" s="30"/>
      <c r="B857" s="162"/>
      <c r="C857" s="259"/>
      <c r="D857" s="267"/>
      <c r="E857" s="35"/>
      <c r="F857" s="151"/>
      <c r="G857" s="263">
        <f t="shared" si="102"/>
        <v>0</v>
      </c>
      <c r="H857" s="65"/>
      <c r="I857" s="275">
        <f t="shared" si="98"/>
        <v>0</v>
      </c>
      <c r="J857" s="161"/>
      <c r="K857" s="30"/>
      <c r="L857" s="30"/>
      <c r="M857" s="30"/>
      <c r="N857" s="30"/>
      <c r="O857" s="71">
        <f t="shared" si="99"/>
        <v>0</v>
      </c>
      <c r="P857" s="1070">
        <f t="shared" si="104"/>
        <v>0</v>
      </c>
      <c r="Q857" s="1071">
        <f t="shared" si="103"/>
        <v>0</v>
      </c>
    </row>
    <row r="858" spans="1:17" x14ac:dyDescent="0.2">
      <c r="A858" s="30"/>
      <c r="B858" s="162"/>
      <c r="C858" s="259"/>
      <c r="D858" s="267"/>
      <c r="E858" s="35"/>
      <c r="F858" s="151"/>
      <c r="G858" s="263">
        <f t="shared" si="102"/>
        <v>0</v>
      </c>
      <c r="H858" s="65"/>
      <c r="I858" s="275">
        <f t="shared" si="98"/>
        <v>0</v>
      </c>
      <c r="J858" s="161"/>
      <c r="K858" s="30"/>
      <c r="L858" s="30"/>
      <c r="M858" s="30"/>
      <c r="N858" s="30"/>
      <c r="O858" s="71">
        <f t="shared" si="99"/>
        <v>0</v>
      </c>
      <c r="P858" s="1070">
        <f t="shared" si="104"/>
        <v>0</v>
      </c>
      <c r="Q858" s="1071">
        <f t="shared" si="103"/>
        <v>0</v>
      </c>
    </row>
    <row r="859" spans="1:17" x14ac:dyDescent="0.2">
      <c r="A859" s="30"/>
      <c r="B859" s="162"/>
      <c r="C859" s="259"/>
      <c r="D859" s="267"/>
      <c r="E859" s="35"/>
      <c r="F859" s="151"/>
      <c r="G859" s="263">
        <f t="shared" si="102"/>
        <v>0</v>
      </c>
      <c r="H859" s="65"/>
      <c r="I859" s="275">
        <f t="shared" si="98"/>
        <v>0</v>
      </c>
      <c r="J859" s="161"/>
      <c r="K859" s="30"/>
      <c r="L859" s="30"/>
      <c r="M859" s="30"/>
      <c r="N859" s="30"/>
      <c r="O859" s="71">
        <f t="shared" si="99"/>
        <v>0</v>
      </c>
      <c r="P859" s="1070">
        <f t="shared" si="104"/>
        <v>0</v>
      </c>
      <c r="Q859" s="1071">
        <f t="shared" si="103"/>
        <v>0</v>
      </c>
    </row>
    <row r="860" spans="1:17" x14ac:dyDescent="0.2">
      <c r="A860" s="30"/>
      <c r="B860" s="162"/>
      <c r="C860" s="259"/>
      <c r="D860" s="267"/>
      <c r="E860" s="35"/>
      <c r="F860" s="151"/>
      <c r="G860" s="263">
        <f t="shared" si="102"/>
        <v>0</v>
      </c>
      <c r="H860" s="65"/>
      <c r="I860" s="275">
        <f t="shared" si="98"/>
        <v>0</v>
      </c>
      <c r="J860" s="161"/>
      <c r="K860" s="30"/>
      <c r="L860" s="30"/>
      <c r="M860" s="30"/>
      <c r="N860" s="30"/>
      <c r="O860" s="71">
        <f t="shared" si="99"/>
        <v>0</v>
      </c>
      <c r="P860" s="1070">
        <f t="shared" si="104"/>
        <v>0</v>
      </c>
      <c r="Q860" s="1071">
        <f t="shared" si="103"/>
        <v>0</v>
      </c>
    </row>
    <row r="861" spans="1:17" x14ac:dyDescent="0.2">
      <c r="A861" s="30"/>
      <c r="B861" s="162"/>
      <c r="C861" s="259"/>
      <c r="D861" s="267"/>
      <c r="E861" s="35"/>
      <c r="F861" s="151"/>
      <c r="G861" s="263">
        <f t="shared" si="102"/>
        <v>0</v>
      </c>
      <c r="H861" s="65"/>
      <c r="I861" s="275">
        <f t="shared" si="98"/>
        <v>0</v>
      </c>
      <c r="J861" s="161"/>
      <c r="K861" s="30"/>
      <c r="L861" s="30"/>
      <c r="M861" s="30"/>
      <c r="N861" s="30"/>
      <c r="O861" s="71">
        <f t="shared" si="99"/>
        <v>0</v>
      </c>
      <c r="P861" s="1070">
        <f t="shared" si="104"/>
        <v>0</v>
      </c>
      <c r="Q861" s="1071">
        <f t="shared" si="103"/>
        <v>0</v>
      </c>
    </row>
    <row r="862" spans="1:17" x14ac:dyDescent="0.2">
      <c r="A862" s="30"/>
      <c r="B862" s="162"/>
      <c r="C862" s="259"/>
      <c r="D862" s="267"/>
      <c r="E862" s="35"/>
      <c r="F862" s="151"/>
      <c r="G862" s="263">
        <f t="shared" si="102"/>
        <v>0</v>
      </c>
      <c r="H862" s="65"/>
      <c r="I862" s="275">
        <f t="shared" si="98"/>
        <v>0</v>
      </c>
      <c r="J862" s="161"/>
      <c r="K862" s="30"/>
      <c r="L862" s="30"/>
      <c r="M862" s="30"/>
      <c r="N862" s="30"/>
      <c r="O862" s="71">
        <f t="shared" si="99"/>
        <v>0</v>
      </c>
      <c r="P862" s="1070">
        <f t="shared" si="104"/>
        <v>0</v>
      </c>
      <c r="Q862" s="1071">
        <f t="shared" si="103"/>
        <v>0</v>
      </c>
    </row>
    <row r="863" spans="1:17" x14ac:dyDescent="0.2">
      <c r="A863" s="30"/>
      <c r="B863" s="162"/>
      <c r="C863" s="259"/>
      <c r="D863" s="267"/>
      <c r="E863" s="35"/>
      <c r="F863" s="151"/>
      <c r="G863" s="263">
        <f t="shared" si="102"/>
        <v>0</v>
      </c>
      <c r="H863" s="65"/>
      <c r="I863" s="275">
        <f t="shared" si="98"/>
        <v>0</v>
      </c>
      <c r="J863" s="161"/>
      <c r="K863" s="30"/>
      <c r="L863" s="30"/>
      <c r="M863" s="30"/>
      <c r="N863" s="30"/>
      <c r="O863" s="71">
        <f t="shared" si="99"/>
        <v>0</v>
      </c>
      <c r="P863" s="1070">
        <f t="shared" si="104"/>
        <v>0</v>
      </c>
      <c r="Q863" s="1071">
        <f t="shared" si="103"/>
        <v>0</v>
      </c>
    </row>
    <row r="864" spans="1:17" x14ac:dyDescent="0.2">
      <c r="A864" s="30"/>
      <c r="B864" s="162"/>
      <c r="C864" s="259"/>
      <c r="D864" s="267"/>
      <c r="E864" s="35"/>
      <c r="F864" s="151"/>
      <c r="G864" s="263">
        <f t="shared" si="102"/>
        <v>0</v>
      </c>
      <c r="H864" s="65"/>
      <c r="I864" s="275">
        <f t="shared" si="98"/>
        <v>0</v>
      </c>
      <c r="J864" s="161"/>
      <c r="K864" s="30"/>
      <c r="L864" s="30"/>
      <c r="M864" s="30"/>
      <c r="N864" s="30"/>
      <c r="O864" s="71">
        <f t="shared" si="99"/>
        <v>0</v>
      </c>
      <c r="P864" s="1070">
        <f t="shared" si="104"/>
        <v>0</v>
      </c>
      <c r="Q864" s="1071">
        <f t="shared" si="103"/>
        <v>0</v>
      </c>
    </row>
    <row r="865" spans="1:17" x14ac:dyDescent="0.2">
      <c r="A865" s="30"/>
      <c r="B865" s="162"/>
      <c r="C865" s="259"/>
      <c r="D865" s="267"/>
      <c r="E865" s="35"/>
      <c r="F865" s="151"/>
      <c r="G865" s="263">
        <f t="shared" si="102"/>
        <v>0</v>
      </c>
      <c r="H865" s="65"/>
      <c r="I865" s="275">
        <f t="shared" si="98"/>
        <v>0</v>
      </c>
      <c r="J865" s="161"/>
      <c r="K865" s="30"/>
      <c r="L865" s="30"/>
      <c r="M865" s="30"/>
      <c r="N865" s="30"/>
      <c r="O865" s="71">
        <f t="shared" si="99"/>
        <v>0</v>
      </c>
      <c r="P865" s="1070">
        <f t="shared" si="104"/>
        <v>0</v>
      </c>
      <c r="Q865" s="1071">
        <f t="shared" si="103"/>
        <v>0</v>
      </c>
    </row>
    <row r="866" spans="1:17" x14ac:dyDescent="0.2">
      <c r="A866" s="30"/>
      <c r="B866" s="162"/>
      <c r="C866" s="259"/>
      <c r="D866" s="267"/>
      <c r="E866" s="35"/>
      <c r="F866" s="151"/>
      <c r="G866" s="263">
        <f t="shared" si="102"/>
        <v>0</v>
      </c>
      <c r="H866" s="65"/>
      <c r="I866" s="275">
        <f t="shared" si="98"/>
        <v>0</v>
      </c>
      <c r="J866" s="161"/>
      <c r="K866" s="30"/>
      <c r="L866" s="30"/>
      <c r="M866" s="30"/>
      <c r="N866" s="30"/>
      <c r="O866" s="71">
        <f t="shared" si="99"/>
        <v>0</v>
      </c>
      <c r="P866" s="1070">
        <f t="shared" si="104"/>
        <v>0</v>
      </c>
      <c r="Q866" s="1071">
        <f t="shared" si="103"/>
        <v>0</v>
      </c>
    </row>
    <row r="867" spans="1:17" x14ac:dyDescent="0.2">
      <c r="A867" s="30"/>
      <c r="B867" s="162"/>
      <c r="C867" s="259"/>
      <c r="D867" s="267"/>
      <c r="E867" s="35"/>
      <c r="F867" s="151"/>
      <c r="G867" s="263">
        <f t="shared" si="102"/>
        <v>0</v>
      </c>
      <c r="H867" s="65"/>
      <c r="I867" s="275">
        <f t="shared" si="98"/>
        <v>0</v>
      </c>
      <c r="J867" s="161"/>
      <c r="K867" s="30"/>
      <c r="L867" s="30"/>
      <c r="M867" s="30"/>
      <c r="N867" s="30"/>
      <c r="O867" s="71">
        <f t="shared" si="99"/>
        <v>0</v>
      </c>
      <c r="P867" s="1070">
        <f t="shared" si="104"/>
        <v>0</v>
      </c>
      <c r="Q867" s="1071">
        <f t="shared" si="103"/>
        <v>0</v>
      </c>
    </row>
    <row r="868" spans="1:17" x14ac:dyDescent="0.2">
      <c r="A868" s="30"/>
      <c r="B868" s="162"/>
      <c r="C868" s="259"/>
      <c r="D868" s="267"/>
      <c r="E868" s="35"/>
      <c r="F868" s="151"/>
      <c r="G868" s="263">
        <f t="shared" si="102"/>
        <v>0</v>
      </c>
      <c r="H868" s="65"/>
      <c r="I868" s="275">
        <f t="shared" si="98"/>
        <v>0</v>
      </c>
      <c r="J868" s="161"/>
      <c r="K868" s="30"/>
      <c r="L868" s="30"/>
      <c r="M868" s="30"/>
      <c r="N868" s="30"/>
      <c r="O868" s="71">
        <f t="shared" si="99"/>
        <v>0</v>
      </c>
      <c r="P868" s="1070">
        <f t="shared" si="104"/>
        <v>0</v>
      </c>
      <c r="Q868" s="1071">
        <f t="shared" si="103"/>
        <v>0</v>
      </c>
    </row>
    <row r="869" spans="1:17" x14ac:dyDescent="0.2">
      <c r="A869" s="30"/>
      <c r="B869" s="162"/>
      <c r="C869" s="259"/>
      <c r="D869" s="267"/>
      <c r="E869" s="35"/>
      <c r="F869" s="151"/>
      <c r="G869" s="263">
        <f t="shared" si="102"/>
        <v>0</v>
      </c>
      <c r="H869" s="65"/>
      <c r="I869" s="275">
        <f t="shared" si="98"/>
        <v>0</v>
      </c>
      <c r="J869" s="161"/>
      <c r="K869" s="30"/>
      <c r="L869" s="30"/>
      <c r="M869" s="30"/>
      <c r="N869" s="30"/>
      <c r="O869" s="71">
        <f t="shared" si="99"/>
        <v>0</v>
      </c>
      <c r="P869" s="1070">
        <f t="shared" si="104"/>
        <v>0</v>
      </c>
      <c r="Q869" s="1071">
        <f t="shared" si="103"/>
        <v>0</v>
      </c>
    </row>
    <row r="870" spans="1:17" x14ac:dyDescent="0.2">
      <c r="A870" s="30"/>
      <c r="B870" s="162"/>
      <c r="C870" s="259"/>
      <c r="D870" s="267"/>
      <c r="E870" s="35"/>
      <c r="F870" s="151"/>
      <c r="G870" s="263">
        <f t="shared" si="102"/>
        <v>0</v>
      </c>
      <c r="H870" s="65"/>
      <c r="I870" s="275">
        <f t="shared" si="98"/>
        <v>0</v>
      </c>
      <c r="J870" s="161"/>
      <c r="K870" s="30"/>
      <c r="L870" s="30"/>
      <c r="M870" s="30"/>
      <c r="N870" s="30"/>
      <c r="O870" s="71">
        <f t="shared" si="99"/>
        <v>0</v>
      </c>
      <c r="P870" s="1070">
        <f t="shared" si="104"/>
        <v>0</v>
      </c>
      <c r="Q870" s="1071">
        <f t="shared" si="103"/>
        <v>0</v>
      </c>
    </row>
    <row r="871" spans="1:17" ht="13.5" thickBot="1" x14ac:dyDescent="0.25">
      <c r="A871" s="30"/>
      <c r="B871" s="163"/>
      <c r="C871" s="260"/>
      <c r="D871" s="268"/>
      <c r="E871" s="24"/>
      <c r="F871" s="25"/>
      <c r="G871" s="264">
        <f t="shared" si="102"/>
        <v>0</v>
      </c>
      <c r="H871" s="272"/>
      <c r="I871" s="276">
        <f t="shared" si="98"/>
        <v>0</v>
      </c>
      <c r="J871" s="161"/>
      <c r="K871" s="30"/>
      <c r="L871" s="30"/>
      <c r="M871" s="30"/>
      <c r="N871" s="30"/>
      <c r="O871" s="71">
        <f t="shared" si="99"/>
        <v>0</v>
      </c>
      <c r="P871" s="1070">
        <f t="shared" si="104"/>
        <v>0</v>
      </c>
      <c r="Q871" s="1071">
        <f t="shared" si="103"/>
        <v>0</v>
      </c>
    </row>
    <row r="872" spans="1:17" ht="6.75" customHeight="1" thickBot="1" x14ac:dyDescent="0.25">
      <c r="A872" s="30"/>
      <c r="B872" s="155"/>
      <c r="C872" s="155"/>
      <c r="D872" s="155"/>
      <c r="E872" s="155"/>
      <c r="F872" s="155"/>
      <c r="G872" s="155"/>
      <c r="H872" s="155"/>
      <c r="I872" s="155"/>
      <c r="J872" s="155"/>
      <c r="K872" s="30"/>
      <c r="L872" s="30"/>
      <c r="M872" s="30"/>
      <c r="N872" s="30"/>
      <c r="O872" s="812">
        <f>SUM(O820:O871)</f>
        <v>0</v>
      </c>
      <c r="P872" s="1075">
        <f>SUM(P820:P871)</f>
        <v>0</v>
      </c>
      <c r="Q872" s="813">
        <f>SUM(Q820:Q871)</f>
        <v>0</v>
      </c>
    </row>
    <row r="873" spans="1:17" ht="50.1" customHeight="1" x14ac:dyDescent="0.2">
      <c r="L873" s="30"/>
      <c r="M873" s="30"/>
      <c r="N873" s="30"/>
    </row>
    <row r="874" spans="1:17" ht="18" x14ac:dyDescent="0.2">
      <c r="A874" s="1224" t="str">
        <f>UPPER("Patching Summary Table")</f>
        <v>PATCHING SUMMARY TABLE</v>
      </c>
      <c r="B874" s="1224"/>
      <c r="C874" s="1224"/>
      <c r="D874" s="1224"/>
      <c r="E874" s="1224"/>
      <c r="F874" s="1224"/>
      <c r="G874" s="1224"/>
      <c r="H874" s="1224"/>
      <c r="I874" s="1224"/>
      <c r="J874" s="1224"/>
      <c r="K874" s="30"/>
      <c r="L874" s="30"/>
      <c r="M874" s="30"/>
      <c r="N874" s="30"/>
      <c r="O874" s="30"/>
      <c r="P874" s="30"/>
    </row>
    <row r="875" spans="1:17" ht="8.25" customHeight="1" thickBot="1" x14ac:dyDescent="0.25">
      <c r="A875" s="30"/>
      <c r="B875" s="31"/>
      <c r="C875" s="31"/>
      <c r="D875" s="31"/>
      <c r="E875" s="31"/>
      <c r="F875" s="31"/>
      <c r="G875" s="31"/>
      <c r="H875" s="31"/>
      <c r="I875" s="31"/>
      <c r="J875" s="31"/>
      <c r="K875" s="30"/>
      <c r="O875" s="30"/>
      <c r="P875" s="30"/>
    </row>
    <row r="876" spans="1:17" x14ac:dyDescent="0.2">
      <c r="A876" s="30"/>
      <c r="B876" s="1310" t="s">
        <v>2</v>
      </c>
      <c r="C876" s="1319" t="s">
        <v>3</v>
      </c>
      <c r="D876" s="1310" t="s">
        <v>39</v>
      </c>
      <c r="E876" s="1308" t="s">
        <v>4</v>
      </c>
      <c r="F876" s="1223" t="s">
        <v>535</v>
      </c>
      <c r="G876" s="261" t="s">
        <v>129</v>
      </c>
      <c r="H876" s="269" t="s">
        <v>102</v>
      </c>
      <c r="I876" s="152" t="s">
        <v>209</v>
      </c>
      <c r="J876" s="31"/>
      <c r="K876" s="30"/>
      <c r="L876" s="30"/>
      <c r="M876" s="30"/>
      <c r="N876" s="30"/>
      <c r="O876" s="1159" t="s">
        <v>537</v>
      </c>
      <c r="P876" s="1305"/>
      <c r="Q876" s="1306"/>
    </row>
    <row r="877" spans="1:17" ht="13.5" thickBot="1" x14ac:dyDescent="0.25">
      <c r="A877" s="30"/>
      <c r="B877" s="1285"/>
      <c r="C877" s="1320"/>
      <c r="D877" s="1285"/>
      <c r="E877" s="1227"/>
      <c r="F877" s="1242"/>
      <c r="G877" s="262" t="s">
        <v>100</v>
      </c>
      <c r="H877" s="270" t="s">
        <v>100</v>
      </c>
      <c r="I877" s="273" t="s">
        <v>210</v>
      </c>
      <c r="J877" s="31"/>
      <c r="K877" s="30"/>
      <c r="L877" s="30"/>
      <c r="M877" s="30"/>
      <c r="N877" s="30"/>
      <c r="O877" s="41" t="str">
        <f>$Q$41</f>
        <v>Partial</v>
      </c>
      <c r="P877" s="42" t="str">
        <f>$Q$42</f>
        <v>Full ( HMA)</v>
      </c>
      <c r="Q877" s="43" t="str">
        <f>$Q$43</f>
        <v>Full (Composite)</v>
      </c>
    </row>
    <row r="878" spans="1:17" x14ac:dyDescent="0.2">
      <c r="A878" s="30"/>
      <c r="B878" s="159"/>
      <c r="C878" s="258"/>
      <c r="D878" s="265"/>
      <c r="E878" s="160"/>
      <c r="F878" s="266"/>
      <c r="G878" s="263">
        <f>ABS(C878-B878)</f>
        <v>0</v>
      </c>
      <c r="H878" s="271"/>
      <c r="I878" s="274">
        <f t="shared" ref="I878:I929" si="105">ROUNDUP((G878*H878)/9,0)</f>
        <v>0</v>
      </c>
      <c r="J878" s="161"/>
      <c r="K878" s="30"/>
      <c r="L878" s="30"/>
      <c r="M878" s="30"/>
      <c r="N878" s="30"/>
      <c r="O878" s="54">
        <f t="shared" ref="O878:O929" si="106">IF($F878=$Q$41,$I878,0)</f>
        <v>0</v>
      </c>
      <c r="P878" s="1069">
        <f t="shared" ref="P878:P910" si="107">IF($F878=$Q$42,$I878,0)</f>
        <v>0</v>
      </c>
      <c r="Q878" s="811">
        <f t="shared" ref="Q878:Q909" si="108">IF($F878=$Q$43,$I878,0)</f>
        <v>0</v>
      </c>
    </row>
    <row r="879" spans="1:17" x14ac:dyDescent="0.2">
      <c r="A879" s="30"/>
      <c r="B879" s="162"/>
      <c r="C879" s="259"/>
      <c r="D879" s="267"/>
      <c r="E879" s="35"/>
      <c r="F879" s="151"/>
      <c r="G879" s="263">
        <f t="shared" ref="G879:G929" si="109">ABS(C879-B879)</f>
        <v>0</v>
      </c>
      <c r="H879" s="65"/>
      <c r="I879" s="275">
        <f t="shared" si="105"/>
        <v>0</v>
      </c>
      <c r="J879" s="161"/>
      <c r="K879" s="30"/>
      <c r="L879" s="30"/>
      <c r="M879" s="30"/>
      <c r="N879" s="30"/>
      <c r="O879" s="71">
        <f t="shared" si="106"/>
        <v>0</v>
      </c>
      <c r="P879" s="1070">
        <f t="shared" si="107"/>
        <v>0</v>
      </c>
      <c r="Q879" s="1071">
        <f t="shared" si="108"/>
        <v>0</v>
      </c>
    </row>
    <row r="880" spans="1:17" x14ac:dyDescent="0.2">
      <c r="A880" s="30"/>
      <c r="B880" s="162"/>
      <c r="C880" s="259"/>
      <c r="D880" s="267"/>
      <c r="E880" s="35"/>
      <c r="F880" s="151"/>
      <c r="G880" s="263">
        <f t="shared" si="109"/>
        <v>0</v>
      </c>
      <c r="H880" s="65"/>
      <c r="I880" s="275">
        <f t="shared" si="105"/>
        <v>0</v>
      </c>
      <c r="J880" s="161"/>
      <c r="K880" s="30"/>
      <c r="L880" s="30"/>
      <c r="M880" s="30"/>
      <c r="N880" s="30"/>
      <c r="O880" s="71">
        <f t="shared" si="106"/>
        <v>0</v>
      </c>
      <c r="P880" s="1070">
        <f t="shared" si="107"/>
        <v>0</v>
      </c>
      <c r="Q880" s="1071">
        <f t="shared" si="108"/>
        <v>0</v>
      </c>
    </row>
    <row r="881" spans="1:17" x14ac:dyDescent="0.2">
      <c r="A881" s="30"/>
      <c r="B881" s="162"/>
      <c r="C881" s="259"/>
      <c r="D881" s="267"/>
      <c r="E881" s="35"/>
      <c r="F881" s="151"/>
      <c r="G881" s="263">
        <f t="shared" si="109"/>
        <v>0</v>
      </c>
      <c r="H881" s="65"/>
      <c r="I881" s="275">
        <f t="shared" si="105"/>
        <v>0</v>
      </c>
      <c r="J881" s="161"/>
      <c r="K881" s="30"/>
      <c r="L881" s="30"/>
      <c r="M881" s="30"/>
      <c r="N881" s="30"/>
      <c r="O881" s="71">
        <f t="shared" si="106"/>
        <v>0</v>
      </c>
      <c r="P881" s="1070">
        <f t="shared" si="107"/>
        <v>0</v>
      </c>
      <c r="Q881" s="1071">
        <f t="shared" si="108"/>
        <v>0</v>
      </c>
    </row>
    <row r="882" spans="1:17" x14ac:dyDescent="0.2">
      <c r="A882" s="30"/>
      <c r="B882" s="162"/>
      <c r="C882" s="259"/>
      <c r="D882" s="267"/>
      <c r="E882" s="35"/>
      <c r="F882" s="151"/>
      <c r="G882" s="263">
        <f t="shared" si="109"/>
        <v>0</v>
      </c>
      <c r="H882" s="65"/>
      <c r="I882" s="275">
        <f t="shared" si="105"/>
        <v>0</v>
      </c>
      <c r="J882" s="161"/>
      <c r="K882" s="30"/>
      <c r="L882" s="30"/>
      <c r="M882" s="30"/>
      <c r="N882" s="30"/>
      <c r="O882" s="71">
        <f t="shared" si="106"/>
        <v>0</v>
      </c>
      <c r="P882" s="1070">
        <f t="shared" si="107"/>
        <v>0</v>
      </c>
      <c r="Q882" s="1071">
        <f t="shared" si="108"/>
        <v>0</v>
      </c>
    </row>
    <row r="883" spans="1:17" x14ac:dyDescent="0.2">
      <c r="A883" s="30"/>
      <c r="B883" s="162"/>
      <c r="C883" s="259"/>
      <c r="D883" s="267"/>
      <c r="E883" s="35"/>
      <c r="F883" s="151"/>
      <c r="G883" s="263">
        <f t="shared" si="109"/>
        <v>0</v>
      </c>
      <c r="H883" s="65"/>
      <c r="I883" s="275">
        <f t="shared" si="105"/>
        <v>0</v>
      </c>
      <c r="J883" s="161"/>
      <c r="K883" s="30"/>
      <c r="L883" s="30"/>
      <c r="M883" s="30"/>
      <c r="N883" s="30"/>
      <c r="O883" s="71">
        <f t="shared" si="106"/>
        <v>0</v>
      </c>
      <c r="P883" s="1070">
        <f t="shared" si="107"/>
        <v>0</v>
      </c>
      <c r="Q883" s="1071">
        <f t="shared" si="108"/>
        <v>0</v>
      </c>
    </row>
    <row r="884" spans="1:17" x14ac:dyDescent="0.2">
      <c r="A884" s="30"/>
      <c r="B884" s="162"/>
      <c r="C884" s="259"/>
      <c r="D884" s="267"/>
      <c r="E884" s="35"/>
      <c r="F884" s="151"/>
      <c r="G884" s="263">
        <f t="shared" si="109"/>
        <v>0</v>
      </c>
      <c r="H884" s="65"/>
      <c r="I884" s="275">
        <f t="shared" si="105"/>
        <v>0</v>
      </c>
      <c r="J884" s="161"/>
      <c r="K884" s="30"/>
      <c r="L884" s="30"/>
      <c r="M884" s="30"/>
      <c r="N884" s="30"/>
      <c r="O884" s="71">
        <f t="shared" si="106"/>
        <v>0</v>
      </c>
      <c r="P884" s="1070">
        <f t="shared" si="107"/>
        <v>0</v>
      </c>
      <c r="Q884" s="1071">
        <f t="shared" si="108"/>
        <v>0</v>
      </c>
    </row>
    <row r="885" spans="1:17" x14ac:dyDescent="0.2">
      <c r="A885" s="30"/>
      <c r="B885" s="162"/>
      <c r="C885" s="259"/>
      <c r="D885" s="267"/>
      <c r="E885" s="35"/>
      <c r="F885" s="151"/>
      <c r="G885" s="263">
        <f t="shared" si="109"/>
        <v>0</v>
      </c>
      <c r="H885" s="65"/>
      <c r="I885" s="275">
        <f t="shared" si="105"/>
        <v>0</v>
      </c>
      <c r="J885" s="161"/>
      <c r="K885" s="30"/>
      <c r="L885" s="30"/>
      <c r="M885" s="30"/>
      <c r="N885" s="30"/>
      <c r="O885" s="71">
        <f t="shared" si="106"/>
        <v>0</v>
      </c>
      <c r="P885" s="1070">
        <f t="shared" si="107"/>
        <v>0</v>
      </c>
      <c r="Q885" s="1071">
        <f t="shared" si="108"/>
        <v>0</v>
      </c>
    </row>
    <row r="886" spans="1:17" x14ac:dyDescent="0.2">
      <c r="A886" s="30"/>
      <c r="B886" s="162"/>
      <c r="C886" s="259"/>
      <c r="D886" s="267"/>
      <c r="E886" s="35"/>
      <c r="F886" s="151"/>
      <c r="G886" s="263">
        <f t="shared" si="109"/>
        <v>0</v>
      </c>
      <c r="H886" s="65"/>
      <c r="I886" s="275">
        <f t="shared" si="105"/>
        <v>0</v>
      </c>
      <c r="J886" s="161"/>
      <c r="K886" s="30"/>
      <c r="L886" s="30"/>
      <c r="M886" s="30"/>
      <c r="N886" s="30"/>
      <c r="O886" s="71">
        <f t="shared" si="106"/>
        <v>0</v>
      </c>
      <c r="P886" s="1070">
        <f t="shared" si="107"/>
        <v>0</v>
      </c>
      <c r="Q886" s="1071">
        <f t="shared" si="108"/>
        <v>0</v>
      </c>
    </row>
    <row r="887" spans="1:17" x14ac:dyDescent="0.2">
      <c r="A887" s="30"/>
      <c r="B887" s="162"/>
      <c r="C887" s="259"/>
      <c r="D887" s="267"/>
      <c r="E887" s="35"/>
      <c r="F887" s="151"/>
      <c r="G887" s="263">
        <f t="shared" si="109"/>
        <v>0</v>
      </c>
      <c r="H887" s="65"/>
      <c r="I887" s="275">
        <f t="shared" si="105"/>
        <v>0</v>
      </c>
      <c r="J887" s="161"/>
      <c r="K887" s="30"/>
      <c r="L887" s="30"/>
      <c r="M887" s="30"/>
      <c r="N887" s="30"/>
      <c r="O887" s="71">
        <f t="shared" si="106"/>
        <v>0</v>
      </c>
      <c r="P887" s="1070">
        <f t="shared" si="107"/>
        <v>0</v>
      </c>
      <c r="Q887" s="1071">
        <f t="shared" si="108"/>
        <v>0</v>
      </c>
    </row>
    <row r="888" spans="1:17" x14ac:dyDescent="0.2">
      <c r="A888" s="30"/>
      <c r="B888" s="162"/>
      <c r="C888" s="259"/>
      <c r="D888" s="267"/>
      <c r="E888" s="35"/>
      <c r="F888" s="151"/>
      <c r="G888" s="263">
        <f t="shared" si="109"/>
        <v>0</v>
      </c>
      <c r="H888" s="65"/>
      <c r="I888" s="275">
        <f t="shared" si="105"/>
        <v>0</v>
      </c>
      <c r="J888" s="161"/>
      <c r="K888" s="30"/>
      <c r="L888" s="30"/>
      <c r="M888" s="30"/>
      <c r="N888" s="30"/>
      <c r="O888" s="71">
        <f t="shared" si="106"/>
        <v>0</v>
      </c>
      <c r="P888" s="1070">
        <f t="shared" si="107"/>
        <v>0</v>
      </c>
      <c r="Q888" s="1071">
        <f t="shared" si="108"/>
        <v>0</v>
      </c>
    </row>
    <row r="889" spans="1:17" x14ac:dyDescent="0.2">
      <c r="A889" s="30"/>
      <c r="B889" s="162"/>
      <c r="C889" s="259"/>
      <c r="D889" s="267"/>
      <c r="E889" s="35"/>
      <c r="F889" s="151"/>
      <c r="G889" s="263">
        <f t="shared" si="109"/>
        <v>0</v>
      </c>
      <c r="H889" s="65"/>
      <c r="I889" s="275">
        <f t="shared" si="105"/>
        <v>0</v>
      </c>
      <c r="J889" s="161"/>
      <c r="K889" s="30"/>
      <c r="L889" s="30"/>
      <c r="M889" s="30"/>
      <c r="N889" s="30"/>
      <c r="O889" s="71">
        <f t="shared" si="106"/>
        <v>0</v>
      </c>
      <c r="P889" s="1070">
        <f t="shared" si="107"/>
        <v>0</v>
      </c>
      <c r="Q889" s="1071">
        <f t="shared" si="108"/>
        <v>0</v>
      </c>
    </row>
    <row r="890" spans="1:17" x14ac:dyDescent="0.2">
      <c r="A890" s="30"/>
      <c r="B890" s="162"/>
      <c r="C890" s="259"/>
      <c r="D890" s="267"/>
      <c r="E890" s="35"/>
      <c r="F890" s="151"/>
      <c r="G890" s="263">
        <f t="shared" si="109"/>
        <v>0</v>
      </c>
      <c r="H890" s="65"/>
      <c r="I890" s="275">
        <f t="shared" si="105"/>
        <v>0</v>
      </c>
      <c r="J890" s="161"/>
      <c r="K890" s="30"/>
      <c r="L890" s="30"/>
      <c r="M890" s="30"/>
      <c r="N890" s="30"/>
      <c r="O890" s="71">
        <f t="shared" si="106"/>
        <v>0</v>
      </c>
      <c r="P890" s="1070">
        <f t="shared" si="107"/>
        <v>0</v>
      </c>
      <c r="Q890" s="1071">
        <f t="shared" si="108"/>
        <v>0</v>
      </c>
    </row>
    <row r="891" spans="1:17" x14ac:dyDescent="0.2">
      <c r="A891" s="30"/>
      <c r="B891" s="162"/>
      <c r="C891" s="259"/>
      <c r="D891" s="267"/>
      <c r="E891" s="35"/>
      <c r="F891" s="151"/>
      <c r="G891" s="263">
        <f t="shared" si="109"/>
        <v>0</v>
      </c>
      <c r="H891" s="65"/>
      <c r="I891" s="275">
        <f t="shared" si="105"/>
        <v>0</v>
      </c>
      <c r="J891" s="161"/>
      <c r="K891" s="30"/>
      <c r="L891" s="30"/>
      <c r="M891" s="30"/>
      <c r="N891" s="30"/>
      <c r="O891" s="71">
        <f t="shared" si="106"/>
        <v>0</v>
      </c>
      <c r="P891" s="1070">
        <f t="shared" si="107"/>
        <v>0</v>
      </c>
      <c r="Q891" s="1071">
        <f t="shared" si="108"/>
        <v>0</v>
      </c>
    </row>
    <row r="892" spans="1:17" x14ac:dyDescent="0.2">
      <c r="A892" s="30"/>
      <c r="B892" s="162"/>
      <c r="C892" s="259"/>
      <c r="D892" s="267"/>
      <c r="E892" s="35"/>
      <c r="F892" s="151"/>
      <c r="G892" s="263">
        <f t="shared" si="109"/>
        <v>0</v>
      </c>
      <c r="H892" s="65"/>
      <c r="I892" s="275">
        <f t="shared" si="105"/>
        <v>0</v>
      </c>
      <c r="J892" s="161"/>
      <c r="K892" s="30"/>
      <c r="L892" s="30"/>
      <c r="M892" s="30"/>
      <c r="N892" s="30"/>
      <c r="O892" s="71">
        <f t="shared" si="106"/>
        <v>0</v>
      </c>
      <c r="P892" s="1070">
        <f t="shared" si="107"/>
        <v>0</v>
      </c>
      <c r="Q892" s="1071">
        <f t="shared" si="108"/>
        <v>0</v>
      </c>
    </row>
    <row r="893" spans="1:17" x14ac:dyDescent="0.2">
      <c r="A893" s="30"/>
      <c r="B893" s="162"/>
      <c r="C893" s="259"/>
      <c r="D893" s="267"/>
      <c r="E893" s="35"/>
      <c r="F893" s="151"/>
      <c r="G893" s="263">
        <f t="shared" si="109"/>
        <v>0</v>
      </c>
      <c r="H893" s="65"/>
      <c r="I893" s="275">
        <f t="shared" si="105"/>
        <v>0</v>
      </c>
      <c r="J893" s="161"/>
      <c r="K893" s="30"/>
      <c r="L893" s="30"/>
      <c r="M893" s="30"/>
      <c r="N893" s="30"/>
      <c r="O893" s="71">
        <f t="shared" si="106"/>
        <v>0</v>
      </c>
      <c r="P893" s="1070">
        <f t="shared" si="107"/>
        <v>0</v>
      </c>
      <c r="Q893" s="1071">
        <f t="shared" si="108"/>
        <v>0</v>
      </c>
    </row>
    <row r="894" spans="1:17" x14ac:dyDescent="0.2">
      <c r="A894" s="30"/>
      <c r="B894" s="162"/>
      <c r="C894" s="259"/>
      <c r="D894" s="267"/>
      <c r="E894" s="35"/>
      <c r="F894" s="151"/>
      <c r="G894" s="263">
        <f t="shared" si="109"/>
        <v>0</v>
      </c>
      <c r="H894" s="65"/>
      <c r="I894" s="275">
        <f t="shared" si="105"/>
        <v>0</v>
      </c>
      <c r="J894" s="161"/>
      <c r="K894" s="30"/>
      <c r="L894" s="30"/>
      <c r="M894" s="30"/>
      <c r="N894" s="30"/>
      <c r="O894" s="71">
        <f t="shared" si="106"/>
        <v>0</v>
      </c>
      <c r="P894" s="1070">
        <f t="shared" si="107"/>
        <v>0</v>
      </c>
      <c r="Q894" s="1071">
        <f t="shared" si="108"/>
        <v>0</v>
      </c>
    </row>
    <row r="895" spans="1:17" x14ac:dyDescent="0.2">
      <c r="A895" s="30"/>
      <c r="B895" s="162"/>
      <c r="C895" s="259"/>
      <c r="D895" s="267"/>
      <c r="E895" s="35"/>
      <c r="F895" s="151"/>
      <c r="G895" s="263">
        <f t="shared" si="109"/>
        <v>0</v>
      </c>
      <c r="H895" s="65"/>
      <c r="I895" s="275">
        <f t="shared" si="105"/>
        <v>0</v>
      </c>
      <c r="J895" s="161"/>
      <c r="K895" s="30"/>
      <c r="L895" s="30"/>
      <c r="M895" s="30"/>
      <c r="N895" s="30"/>
      <c r="O895" s="71">
        <f t="shared" si="106"/>
        <v>0</v>
      </c>
      <c r="P895" s="1070">
        <f t="shared" si="107"/>
        <v>0</v>
      </c>
      <c r="Q895" s="1071">
        <f t="shared" si="108"/>
        <v>0</v>
      </c>
    </row>
    <row r="896" spans="1:17" x14ac:dyDescent="0.2">
      <c r="A896" s="30"/>
      <c r="B896" s="162"/>
      <c r="C896" s="259"/>
      <c r="D896" s="267"/>
      <c r="E896" s="35"/>
      <c r="F896" s="151"/>
      <c r="G896" s="263">
        <f t="shared" si="109"/>
        <v>0</v>
      </c>
      <c r="H896" s="65"/>
      <c r="I896" s="275">
        <f t="shared" si="105"/>
        <v>0</v>
      </c>
      <c r="J896" s="161"/>
      <c r="K896" s="30"/>
      <c r="L896" s="30"/>
      <c r="M896" s="30"/>
      <c r="N896" s="30"/>
      <c r="O896" s="71">
        <f t="shared" si="106"/>
        <v>0</v>
      </c>
      <c r="P896" s="1070">
        <f t="shared" si="107"/>
        <v>0</v>
      </c>
      <c r="Q896" s="1071">
        <f t="shared" si="108"/>
        <v>0</v>
      </c>
    </row>
    <row r="897" spans="1:17" x14ac:dyDescent="0.2">
      <c r="A897" s="30"/>
      <c r="B897" s="162"/>
      <c r="C897" s="259"/>
      <c r="D897" s="267"/>
      <c r="E897" s="35"/>
      <c r="F897" s="151"/>
      <c r="G897" s="263">
        <f t="shared" si="109"/>
        <v>0</v>
      </c>
      <c r="H897" s="65"/>
      <c r="I897" s="275">
        <f t="shared" si="105"/>
        <v>0</v>
      </c>
      <c r="J897" s="161"/>
      <c r="K897" s="30"/>
      <c r="L897" s="30"/>
      <c r="M897" s="30"/>
      <c r="N897" s="30"/>
      <c r="O897" s="71">
        <f t="shared" si="106"/>
        <v>0</v>
      </c>
      <c r="P897" s="1070">
        <f t="shared" si="107"/>
        <v>0</v>
      </c>
      <c r="Q897" s="1071">
        <f t="shared" si="108"/>
        <v>0</v>
      </c>
    </row>
    <row r="898" spans="1:17" x14ac:dyDescent="0.2">
      <c r="A898" s="30"/>
      <c r="B898" s="162"/>
      <c r="C898" s="259"/>
      <c r="D898" s="267"/>
      <c r="E898" s="35"/>
      <c r="F898" s="151"/>
      <c r="G898" s="263">
        <f t="shared" si="109"/>
        <v>0</v>
      </c>
      <c r="H898" s="65"/>
      <c r="I898" s="275">
        <f t="shared" si="105"/>
        <v>0</v>
      </c>
      <c r="J898" s="161"/>
      <c r="K898" s="30"/>
      <c r="L898" s="30"/>
      <c r="M898" s="30"/>
      <c r="N898" s="30"/>
      <c r="O898" s="71">
        <f t="shared" si="106"/>
        <v>0</v>
      </c>
      <c r="P898" s="1070">
        <f t="shared" si="107"/>
        <v>0</v>
      </c>
      <c r="Q898" s="1071">
        <f t="shared" si="108"/>
        <v>0</v>
      </c>
    </row>
    <row r="899" spans="1:17" x14ac:dyDescent="0.2">
      <c r="A899" s="30"/>
      <c r="B899" s="162"/>
      <c r="C899" s="259"/>
      <c r="D899" s="267"/>
      <c r="E899" s="35"/>
      <c r="F899" s="151"/>
      <c r="G899" s="263">
        <f t="shared" si="109"/>
        <v>0</v>
      </c>
      <c r="H899" s="65"/>
      <c r="I899" s="275">
        <f t="shared" si="105"/>
        <v>0</v>
      </c>
      <c r="J899" s="161"/>
      <c r="K899" s="30"/>
      <c r="L899" s="30"/>
      <c r="M899" s="30"/>
      <c r="N899" s="30"/>
      <c r="O899" s="71">
        <f t="shared" si="106"/>
        <v>0</v>
      </c>
      <c r="P899" s="1070">
        <f t="shared" si="107"/>
        <v>0</v>
      </c>
      <c r="Q899" s="1071">
        <f t="shared" si="108"/>
        <v>0</v>
      </c>
    </row>
    <row r="900" spans="1:17" x14ac:dyDescent="0.2">
      <c r="A900" s="30"/>
      <c r="B900" s="162"/>
      <c r="C900" s="259"/>
      <c r="D900" s="267"/>
      <c r="E900" s="35"/>
      <c r="F900" s="151"/>
      <c r="G900" s="263">
        <f t="shared" si="109"/>
        <v>0</v>
      </c>
      <c r="H900" s="65"/>
      <c r="I900" s="275">
        <f t="shared" si="105"/>
        <v>0</v>
      </c>
      <c r="J900" s="161"/>
      <c r="K900" s="30"/>
      <c r="L900" s="30"/>
      <c r="M900" s="30"/>
      <c r="N900" s="30"/>
      <c r="O900" s="71">
        <f t="shared" si="106"/>
        <v>0</v>
      </c>
      <c r="P900" s="1070">
        <f t="shared" si="107"/>
        <v>0</v>
      </c>
      <c r="Q900" s="1071">
        <f t="shared" si="108"/>
        <v>0</v>
      </c>
    </row>
    <row r="901" spans="1:17" x14ac:dyDescent="0.2">
      <c r="A901" s="30"/>
      <c r="B901" s="162"/>
      <c r="C901" s="259"/>
      <c r="D901" s="267"/>
      <c r="E901" s="35"/>
      <c r="F901" s="151"/>
      <c r="G901" s="263">
        <f t="shared" si="109"/>
        <v>0</v>
      </c>
      <c r="H901" s="65"/>
      <c r="I901" s="275">
        <f t="shared" si="105"/>
        <v>0</v>
      </c>
      <c r="J901" s="161"/>
      <c r="K901" s="30"/>
      <c r="L901" s="30"/>
      <c r="M901" s="30"/>
      <c r="N901" s="30"/>
      <c r="O901" s="71">
        <f t="shared" si="106"/>
        <v>0</v>
      </c>
      <c r="P901" s="1070">
        <f t="shared" si="107"/>
        <v>0</v>
      </c>
      <c r="Q901" s="1071">
        <f t="shared" si="108"/>
        <v>0</v>
      </c>
    </row>
    <row r="902" spans="1:17" x14ac:dyDescent="0.2">
      <c r="A902" s="30"/>
      <c r="B902" s="162"/>
      <c r="C902" s="259"/>
      <c r="D902" s="267"/>
      <c r="E902" s="35"/>
      <c r="F902" s="151"/>
      <c r="G902" s="263">
        <f t="shared" si="109"/>
        <v>0</v>
      </c>
      <c r="H902" s="65"/>
      <c r="I902" s="275">
        <f t="shared" si="105"/>
        <v>0</v>
      </c>
      <c r="J902" s="161"/>
      <c r="K902" s="30"/>
      <c r="L902" s="30"/>
      <c r="M902" s="30"/>
      <c r="N902" s="30"/>
      <c r="O902" s="71">
        <f t="shared" si="106"/>
        <v>0</v>
      </c>
      <c r="P902" s="1070">
        <f t="shared" si="107"/>
        <v>0</v>
      </c>
      <c r="Q902" s="1071">
        <f t="shared" si="108"/>
        <v>0</v>
      </c>
    </row>
    <row r="903" spans="1:17" x14ac:dyDescent="0.2">
      <c r="A903" s="30"/>
      <c r="B903" s="162"/>
      <c r="C903" s="259"/>
      <c r="D903" s="267"/>
      <c r="E903" s="35"/>
      <c r="F903" s="151"/>
      <c r="G903" s="263">
        <f t="shared" si="109"/>
        <v>0</v>
      </c>
      <c r="H903" s="65"/>
      <c r="I903" s="275">
        <f t="shared" si="105"/>
        <v>0</v>
      </c>
      <c r="J903" s="161"/>
      <c r="K903" s="30"/>
      <c r="L903" s="30"/>
      <c r="M903" s="30"/>
      <c r="N903" s="30"/>
      <c r="O903" s="71">
        <f t="shared" si="106"/>
        <v>0</v>
      </c>
      <c r="P903" s="1070">
        <f t="shared" si="107"/>
        <v>0</v>
      </c>
      <c r="Q903" s="1071">
        <f t="shared" si="108"/>
        <v>0</v>
      </c>
    </row>
    <row r="904" spans="1:17" x14ac:dyDescent="0.2">
      <c r="A904" s="30"/>
      <c r="B904" s="162"/>
      <c r="C904" s="259"/>
      <c r="D904" s="267"/>
      <c r="E904" s="35"/>
      <c r="F904" s="151"/>
      <c r="G904" s="263">
        <f t="shared" si="109"/>
        <v>0</v>
      </c>
      <c r="H904" s="65"/>
      <c r="I904" s="275">
        <f t="shared" si="105"/>
        <v>0</v>
      </c>
      <c r="J904" s="161"/>
      <c r="K904" s="30"/>
      <c r="L904" s="30"/>
      <c r="M904" s="30"/>
      <c r="N904" s="30"/>
      <c r="O904" s="71">
        <f t="shared" si="106"/>
        <v>0</v>
      </c>
      <c r="P904" s="1070">
        <f t="shared" si="107"/>
        <v>0</v>
      </c>
      <c r="Q904" s="1071">
        <f t="shared" si="108"/>
        <v>0</v>
      </c>
    </row>
    <row r="905" spans="1:17" x14ac:dyDescent="0.2">
      <c r="A905" s="30"/>
      <c r="B905" s="162"/>
      <c r="C905" s="259"/>
      <c r="D905" s="267"/>
      <c r="E905" s="35"/>
      <c r="F905" s="151"/>
      <c r="G905" s="263">
        <f t="shared" si="109"/>
        <v>0</v>
      </c>
      <c r="H905" s="65"/>
      <c r="I905" s="275">
        <f t="shared" si="105"/>
        <v>0</v>
      </c>
      <c r="J905" s="161"/>
      <c r="K905" s="30"/>
      <c r="L905" s="30"/>
      <c r="M905" s="30"/>
      <c r="N905" s="30"/>
      <c r="O905" s="71">
        <f t="shared" si="106"/>
        <v>0</v>
      </c>
      <c r="P905" s="1070">
        <f t="shared" si="107"/>
        <v>0</v>
      </c>
      <c r="Q905" s="1071">
        <f t="shared" si="108"/>
        <v>0</v>
      </c>
    </row>
    <row r="906" spans="1:17" x14ac:dyDescent="0.2">
      <c r="A906" s="30"/>
      <c r="B906" s="162"/>
      <c r="C906" s="259"/>
      <c r="D906" s="267"/>
      <c r="E906" s="35"/>
      <c r="F906" s="151"/>
      <c r="G906" s="263">
        <f t="shared" si="109"/>
        <v>0</v>
      </c>
      <c r="H906" s="65"/>
      <c r="I906" s="275">
        <f t="shared" si="105"/>
        <v>0</v>
      </c>
      <c r="J906" s="161"/>
      <c r="K906" s="30"/>
      <c r="L906" s="30"/>
      <c r="M906" s="30"/>
      <c r="N906" s="30"/>
      <c r="O906" s="71">
        <f t="shared" si="106"/>
        <v>0</v>
      </c>
      <c r="P906" s="1070">
        <f t="shared" si="107"/>
        <v>0</v>
      </c>
      <c r="Q906" s="1071">
        <f t="shared" si="108"/>
        <v>0</v>
      </c>
    </row>
    <row r="907" spans="1:17" x14ac:dyDescent="0.2">
      <c r="A907" s="30"/>
      <c r="B907" s="162"/>
      <c r="C907" s="259"/>
      <c r="D907" s="267"/>
      <c r="E907" s="35"/>
      <c r="F907" s="151"/>
      <c r="G907" s="263">
        <f t="shared" si="109"/>
        <v>0</v>
      </c>
      <c r="H907" s="65"/>
      <c r="I907" s="275">
        <f t="shared" si="105"/>
        <v>0</v>
      </c>
      <c r="J907" s="161"/>
      <c r="K907" s="30"/>
      <c r="L907" s="30"/>
      <c r="M907" s="30"/>
      <c r="N907" s="30"/>
      <c r="O907" s="71">
        <f t="shared" si="106"/>
        <v>0</v>
      </c>
      <c r="P907" s="1070">
        <f t="shared" si="107"/>
        <v>0</v>
      </c>
      <c r="Q907" s="1071">
        <f t="shared" si="108"/>
        <v>0</v>
      </c>
    </row>
    <row r="908" spans="1:17" x14ac:dyDescent="0.2">
      <c r="A908" s="30"/>
      <c r="B908" s="162"/>
      <c r="C908" s="259"/>
      <c r="D908" s="267"/>
      <c r="E908" s="35"/>
      <c r="F908" s="151"/>
      <c r="G908" s="263">
        <f t="shared" si="109"/>
        <v>0</v>
      </c>
      <c r="H908" s="65"/>
      <c r="I908" s="275">
        <f t="shared" si="105"/>
        <v>0</v>
      </c>
      <c r="J908" s="161"/>
      <c r="K908" s="30"/>
      <c r="L908" s="30"/>
      <c r="M908" s="30"/>
      <c r="N908" s="30"/>
      <c r="O908" s="71">
        <f t="shared" si="106"/>
        <v>0</v>
      </c>
      <c r="P908" s="1070">
        <f t="shared" si="107"/>
        <v>0</v>
      </c>
      <c r="Q908" s="1071">
        <f t="shared" si="108"/>
        <v>0</v>
      </c>
    </row>
    <row r="909" spans="1:17" x14ac:dyDescent="0.2">
      <c r="A909" s="30"/>
      <c r="B909" s="162"/>
      <c r="C909" s="259"/>
      <c r="D909" s="267"/>
      <c r="E909" s="35"/>
      <c r="F909" s="151"/>
      <c r="G909" s="263">
        <f t="shared" si="109"/>
        <v>0</v>
      </c>
      <c r="H909" s="65"/>
      <c r="I909" s="275">
        <f t="shared" si="105"/>
        <v>0</v>
      </c>
      <c r="J909" s="161"/>
      <c r="K909" s="30"/>
      <c r="L909" s="30"/>
      <c r="M909" s="30"/>
      <c r="N909" s="30"/>
      <c r="O909" s="71">
        <f t="shared" si="106"/>
        <v>0</v>
      </c>
      <c r="P909" s="1070">
        <f t="shared" si="107"/>
        <v>0</v>
      </c>
      <c r="Q909" s="1071">
        <f t="shared" si="108"/>
        <v>0</v>
      </c>
    </row>
    <row r="910" spans="1:17" x14ac:dyDescent="0.2">
      <c r="A910" s="30"/>
      <c r="B910" s="162"/>
      <c r="C910" s="259"/>
      <c r="D910" s="267"/>
      <c r="E910" s="35"/>
      <c r="F910" s="151"/>
      <c r="G910" s="263">
        <f t="shared" si="109"/>
        <v>0</v>
      </c>
      <c r="H910" s="65"/>
      <c r="I910" s="275">
        <f t="shared" si="105"/>
        <v>0</v>
      </c>
      <c r="J910" s="161"/>
      <c r="K910" s="30"/>
      <c r="L910" s="30"/>
      <c r="M910" s="30"/>
      <c r="N910" s="30"/>
      <c r="O910" s="71">
        <f t="shared" si="106"/>
        <v>0</v>
      </c>
      <c r="P910" s="1070">
        <f t="shared" si="107"/>
        <v>0</v>
      </c>
      <c r="Q910" s="1071">
        <f t="shared" ref="Q910:Q929" si="110">IF($F910=$Q$43,$I910,0)</f>
        <v>0</v>
      </c>
    </row>
    <row r="911" spans="1:17" x14ac:dyDescent="0.2">
      <c r="A911" s="30"/>
      <c r="B911" s="162"/>
      <c r="C911" s="259"/>
      <c r="D911" s="267"/>
      <c r="E911" s="35"/>
      <c r="F911" s="151"/>
      <c r="G911" s="263">
        <f t="shared" si="109"/>
        <v>0</v>
      </c>
      <c r="H911" s="65"/>
      <c r="I911" s="275">
        <f t="shared" si="105"/>
        <v>0</v>
      </c>
      <c r="J911" s="161"/>
      <c r="K911" s="30"/>
      <c r="L911" s="30"/>
      <c r="M911" s="30"/>
      <c r="N911" s="30"/>
      <c r="O911" s="71">
        <f t="shared" si="106"/>
        <v>0</v>
      </c>
      <c r="P911" s="1070">
        <f t="shared" ref="P911:P929" si="111">IF($F911=$Q$42,$I911,0)</f>
        <v>0</v>
      </c>
      <c r="Q911" s="1071">
        <f t="shared" si="110"/>
        <v>0</v>
      </c>
    </row>
    <row r="912" spans="1:17" x14ac:dyDescent="0.2">
      <c r="A912" s="30"/>
      <c r="B912" s="162"/>
      <c r="C912" s="259"/>
      <c r="D912" s="267"/>
      <c r="E912" s="35"/>
      <c r="F912" s="151"/>
      <c r="G912" s="263">
        <f t="shared" si="109"/>
        <v>0</v>
      </c>
      <c r="H912" s="65"/>
      <c r="I912" s="275">
        <f t="shared" si="105"/>
        <v>0</v>
      </c>
      <c r="J912" s="161"/>
      <c r="K912" s="30"/>
      <c r="L912" s="30"/>
      <c r="M912" s="30"/>
      <c r="N912" s="30"/>
      <c r="O912" s="71">
        <f t="shared" si="106"/>
        <v>0</v>
      </c>
      <c r="P912" s="1070">
        <f t="shared" si="111"/>
        <v>0</v>
      </c>
      <c r="Q912" s="1071">
        <f t="shared" si="110"/>
        <v>0</v>
      </c>
    </row>
    <row r="913" spans="1:17" x14ac:dyDescent="0.2">
      <c r="A913" s="30"/>
      <c r="B913" s="162"/>
      <c r="C913" s="259"/>
      <c r="D913" s="267"/>
      <c r="E913" s="35"/>
      <c r="F913" s="151"/>
      <c r="G913" s="263">
        <f t="shared" si="109"/>
        <v>0</v>
      </c>
      <c r="H913" s="65"/>
      <c r="I913" s="275">
        <f t="shared" si="105"/>
        <v>0</v>
      </c>
      <c r="J913" s="161"/>
      <c r="K913" s="30"/>
      <c r="L913" s="30"/>
      <c r="M913" s="30"/>
      <c r="N913" s="30"/>
      <c r="O913" s="71">
        <f t="shared" si="106"/>
        <v>0</v>
      </c>
      <c r="P913" s="1070">
        <f t="shared" si="111"/>
        <v>0</v>
      </c>
      <c r="Q913" s="1071">
        <f t="shared" si="110"/>
        <v>0</v>
      </c>
    </row>
    <row r="914" spans="1:17" x14ac:dyDescent="0.2">
      <c r="A914" s="30"/>
      <c r="B914" s="162"/>
      <c r="C914" s="259"/>
      <c r="D914" s="267"/>
      <c r="E914" s="35"/>
      <c r="F914" s="151"/>
      <c r="G914" s="263">
        <f t="shared" si="109"/>
        <v>0</v>
      </c>
      <c r="H914" s="65"/>
      <c r="I914" s="275">
        <f t="shared" si="105"/>
        <v>0</v>
      </c>
      <c r="J914" s="161"/>
      <c r="K914" s="30"/>
      <c r="L914" s="30"/>
      <c r="M914" s="30"/>
      <c r="N914" s="30"/>
      <c r="O914" s="71">
        <f t="shared" si="106"/>
        <v>0</v>
      </c>
      <c r="P914" s="1070">
        <f t="shared" si="111"/>
        <v>0</v>
      </c>
      <c r="Q914" s="1071">
        <f t="shared" si="110"/>
        <v>0</v>
      </c>
    </row>
    <row r="915" spans="1:17" x14ac:dyDescent="0.2">
      <c r="A915" s="30"/>
      <c r="B915" s="162"/>
      <c r="C915" s="259"/>
      <c r="D915" s="267"/>
      <c r="E915" s="35"/>
      <c r="F915" s="151"/>
      <c r="G915" s="263">
        <f t="shared" si="109"/>
        <v>0</v>
      </c>
      <c r="H915" s="65"/>
      <c r="I915" s="275">
        <f t="shared" si="105"/>
        <v>0</v>
      </c>
      <c r="J915" s="161"/>
      <c r="K915" s="30"/>
      <c r="L915" s="30"/>
      <c r="M915" s="30"/>
      <c r="N915" s="30"/>
      <c r="O915" s="71">
        <f t="shared" si="106"/>
        <v>0</v>
      </c>
      <c r="P915" s="1070">
        <f t="shared" si="111"/>
        <v>0</v>
      </c>
      <c r="Q915" s="1071">
        <f t="shared" si="110"/>
        <v>0</v>
      </c>
    </row>
    <row r="916" spans="1:17" x14ac:dyDescent="0.2">
      <c r="A916" s="30"/>
      <c r="B916" s="162"/>
      <c r="C916" s="259"/>
      <c r="D916" s="267"/>
      <c r="E916" s="35"/>
      <c r="F916" s="151"/>
      <c r="G916" s="263">
        <f t="shared" si="109"/>
        <v>0</v>
      </c>
      <c r="H916" s="65"/>
      <c r="I916" s="275">
        <f t="shared" si="105"/>
        <v>0</v>
      </c>
      <c r="J916" s="161"/>
      <c r="K916" s="30"/>
      <c r="L916" s="30"/>
      <c r="M916" s="30"/>
      <c r="N916" s="30"/>
      <c r="O916" s="71">
        <f t="shared" si="106"/>
        <v>0</v>
      </c>
      <c r="P916" s="1070">
        <f t="shared" si="111"/>
        <v>0</v>
      </c>
      <c r="Q916" s="1071">
        <f t="shared" si="110"/>
        <v>0</v>
      </c>
    </row>
    <row r="917" spans="1:17" x14ac:dyDescent="0.2">
      <c r="A917" s="30"/>
      <c r="B917" s="162"/>
      <c r="C917" s="259"/>
      <c r="D917" s="267"/>
      <c r="E917" s="35"/>
      <c r="F917" s="151"/>
      <c r="G917" s="263">
        <f t="shared" si="109"/>
        <v>0</v>
      </c>
      <c r="H917" s="65"/>
      <c r="I917" s="275">
        <f t="shared" si="105"/>
        <v>0</v>
      </c>
      <c r="J917" s="161"/>
      <c r="K917" s="30"/>
      <c r="L917" s="30"/>
      <c r="M917" s="30"/>
      <c r="N917" s="30"/>
      <c r="O917" s="71">
        <f t="shared" si="106"/>
        <v>0</v>
      </c>
      <c r="P917" s="1070">
        <f t="shared" si="111"/>
        <v>0</v>
      </c>
      <c r="Q917" s="1071">
        <f t="shared" si="110"/>
        <v>0</v>
      </c>
    </row>
    <row r="918" spans="1:17" x14ac:dyDescent="0.2">
      <c r="A918" s="30"/>
      <c r="B918" s="162"/>
      <c r="C918" s="259"/>
      <c r="D918" s="267"/>
      <c r="E918" s="35"/>
      <c r="F918" s="151"/>
      <c r="G918" s="263">
        <f t="shared" si="109"/>
        <v>0</v>
      </c>
      <c r="H918" s="65"/>
      <c r="I918" s="275">
        <f t="shared" si="105"/>
        <v>0</v>
      </c>
      <c r="J918" s="161"/>
      <c r="K918" s="30"/>
      <c r="L918" s="30"/>
      <c r="M918" s="30"/>
      <c r="N918" s="30"/>
      <c r="O918" s="71">
        <f t="shared" si="106"/>
        <v>0</v>
      </c>
      <c r="P918" s="1070">
        <f t="shared" si="111"/>
        <v>0</v>
      </c>
      <c r="Q918" s="1071">
        <f t="shared" si="110"/>
        <v>0</v>
      </c>
    </row>
    <row r="919" spans="1:17" x14ac:dyDescent="0.2">
      <c r="A919" s="30"/>
      <c r="B919" s="162"/>
      <c r="C919" s="259"/>
      <c r="D919" s="267"/>
      <c r="E919" s="35"/>
      <c r="F919" s="151"/>
      <c r="G919" s="263">
        <f t="shared" si="109"/>
        <v>0</v>
      </c>
      <c r="H919" s="65"/>
      <c r="I919" s="275">
        <f t="shared" si="105"/>
        <v>0</v>
      </c>
      <c r="J919" s="161"/>
      <c r="K919" s="30"/>
      <c r="L919" s="30"/>
      <c r="M919" s="30"/>
      <c r="N919" s="30"/>
      <c r="O919" s="71">
        <f t="shared" si="106"/>
        <v>0</v>
      </c>
      <c r="P919" s="1070">
        <f t="shared" si="111"/>
        <v>0</v>
      </c>
      <c r="Q919" s="1071">
        <f t="shared" si="110"/>
        <v>0</v>
      </c>
    </row>
    <row r="920" spans="1:17" x14ac:dyDescent="0.2">
      <c r="A920" s="30"/>
      <c r="B920" s="162"/>
      <c r="C920" s="259"/>
      <c r="D920" s="267"/>
      <c r="E920" s="35"/>
      <c r="F920" s="151"/>
      <c r="G920" s="263">
        <f t="shared" si="109"/>
        <v>0</v>
      </c>
      <c r="H920" s="65"/>
      <c r="I920" s="275">
        <f t="shared" si="105"/>
        <v>0</v>
      </c>
      <c r="J920" s="161"/>
      <c r="K920" s="30"/>
      <c r="L920" s="30"/>
      <c r="M920" s="30"/>
      <c r="N920" s="30"/>
      <c r="O920" s="71">
        <f t="shared" si="106"/>
        <v>0</v>
      </c>
      <c r="P920" s="1070">
        <f t="shared" si="111"/>
        <v>0</v>
      </c>
      <c r="Q920" s="1071">
        <f t="shared" si="110"/>
        <v>0</v>
      </c>
    </row>
    <row r="921" spans="1:17" x14ac:dyDescent="0.2">
      <c r="A921" s="30"/>
      <c r="B921" s="162"/>
      <c r="C921" s="259"/>
      <c r="D921" s="267"/>
      <c r="E921" s="35"/>
      <c r="F921" s="151"/>
      <c r="G921" s="263">
        <f t="shared" si="109"/>
        <v>0</v>
      </c>
      <c r="H921" s="65"/>
      <c r="I921" s="275">
        <f t="shared" si="105"/>
        <v>0</v>
      </c>
      <c r="J921" s="161"/>
      <c r="K921" s="30"/>
      <c r="L921" s="30"/>
      <c r="M921" s="30"/>
      <c r="N921" s="30"/>
      <c r="O921" s="71">
        <f t="shared" si="106"/>
        <v>0</v>
      </c>
      <c r="P921" s="1070">
        <f t="shared" si="111"/>
        <v>0</v>
      </c>
      <c r="Q921" s="1071">
        <f t="shared" si="110"/>
        <v>0</v>
      </c>
    </row>
    <row r="922" spans="1:17" x14ac:dyDescent="0.2">
      <c r="A922" s="30"/>
      <c r="B922" s="162"/>
      <c r="C922" s="259"/>
      <c r="D922" s="267"/>
      <c r="E922" s="35"/>
      <c r="F922" s="151"/>
      <c r="G922" s="263">
        <f t="shared" si="109"/>
        <v>0</v>
      </c>
      <c r="H922" s="65"/>
      <c r="I922" s="275">
        <f t="shared" si="105"/>
        <v>0</v>
      </c>
      <c r="J922" s="161"/>
      <c r="K922" s="30"/>
      <c r="L922" s="30"/>
      <c r="M922" s="30"/>
      <c r="N922" s="30"/>
      <c r="O922" s="71">
        <f t="shared" si="106"/>
        <v>0</v>
      </c>
      <c r="P922" s="1070">
        <f t="shared" si="111"/>
        <v>0</v>
      </c>
      <c r="Q922" s="1071">
        <f t="shared" si="110"/>
        <v>0</v>
      </c>
    </row>
    <row r="923" spans="1:17" x14ac:dyDescent="0.2">
      <c r="A923" s="30"/>
      <c r="B923" s="162"/>
      <c r="C923" s="259"/>
      <c r="D923" s="267"/>
      <c r="E923" s="35"/>
      <c r="F923" s="151"/>
      <c r="G923" s="263">
        <f t="shared" si="109"/>
        <v>0</v>
      </c>
      <c r="H923" s="65"/>
      <c r="I923" s="275">
        <f t="shared" si="105"/>
        <v>0</v>
      </c>
      <c r="J923" s="161"/>
      <c r="K923" s="30"/>
      <c r="L923" s="30"/>
      <c r="M923" s="30"/>
      <c r="N923" s="30"/>
      <c r="O923" s="71">
        <f t="shared" si="106"/>
        <v>0</v>
      </c>
      <c r="P923" s="1070">
        <f t="shared" si="111"/>
        <v>0</v>
      </c>
      <c r="Q923" s="1071">
        <f t="shared" si="110"/>
        <v>0</v>
      </c>
    </row>
    <row r="924" spans="1:17" x14ac:dyDescent="0.2">
      <c r="A924" s="30"/>
      <c r="B924" s="162"/>
      <c r="C924" s="259"/>
      <c r="D924" s="267"/>
      <c r="E924" s="35"/>
      <c r="F924" s="151"/>
      <c r="G924" s="263">
        <f t="shared" si="109"/>
        <v>0</v>
      </c>
      <c r="H924" s="65"/>
      <c r="I924" s="275">
        <f t="shared" si="105"/>
        <v>0</v>
      </c>
      <c r="J924" s="161"/>
      <c r="K924" s="30"/>
      <c r="L924" s="30"/>
      <c r="M924" s="30"/>
      <c r="N924" s="30"/>
      <c r="O924" s="71">
        <f t="shared" si="106"/>
        <v>0</v>
      </c>
      <c r="P924" s="1070">
        <f t="shared" si="111"/>
        <v>0</v>
      </c>
      <c r="Q924" s="1071">
        <f t="shared" si="110"/>
        <v>0</v>
      </c>
    </row>
    <row r="925" spans="1:17" x14ac:dyDescent="0.2">
      <c r="A925" s="30"/>
      <c r="B925" s="162"/>
      <c r="C925" s="259"/>
      <c r="D925" s="267"/>
      <c r="E925" s="35"/>
      <c r="F925" s="151"/>
      <c r="G925" s="263">
        <f t="shared" si="109"/>
        <v>0</v>
      </c>
      <c r="H925" s="65"/>
      <c r="I925" s="275">
        <f t="shared" si="105"/>
        <v>0</v>
      </c>
      <c r="J925" s="161"/>
      <c r="K925" s="30"/>
      <c r="L925" s="30"/>
      <c r="M925" s="30"/>
      <c r="N925" s="30"/>
      <c r="O925" s="71">
        <f t="shared" si="106"/>
        <v>0</v>
      </c>
      <c r="P925" s="1070">
        <f t="shared" si="111"/>
        <v>0</v>
      </c>
      <c r="Q925" s="1071">
        <f t="shared" si="110"/>
        <v>0</v>
      </c>
    </row>
    <row r="926" spans="1:17" x14ac:dyDescent="0.2">
      <c r="A926" s="30"/>
      <c r="B926" s="162"/>
      <c r="C926" s="259"/>
      <c r="D926" s="267"/>
      <c r="E926" s="35"/>
      <c r="F926" s="151"/>
      <c r="G926" s="263">
        <f t="shared" si="109"/>
        <v>0</v>
      </c>
      <c r="H926" s="65"/>
      <c r="I926" s="275">
        <f t="shared" si="105"/>
        <v>0</v>
      </c>
      <c r="J926" s="161"/>
      <c r="K926" s="30"/>
      <c r="L926" s="30"/>
      <c r="M926" s="30"/>
      <c r="N926" s="30"/>
      <c r="O926" s="71">
        <f t="shared" si="106"/>
        <v>0</v>
      </c>
      <c r="P926" s="1070">
        <f t="shared" si="111"/>
        <v>0</v>
      </c>
      <c r="Q926" s="1071">
        <f t="shared" si="110"/>
        <v>0</v>
      </c>
    </row>
    <row r="927" spans="1:17" x14ac:dyDescent="0.2">
      <c r="A927" s="30"/>
      <c r="B927" s="162"/>
      <c r="C927" s="259"/>
      <c r="D927" s="267"/>
      <c r="E927" s="35"/>
      <c r="F927" s="151"/>
      <c r="G927" s="263">
        <f t="shared" si="109"/>
        <v>0</v>
      </c>
      <c r="H927" s="65"/>
      <c r="I927" s="275">
        <f t="shared" si="105"/>
        <v>0</v>
      </c>
      <c r="J927" s="161"/>
      <c r="K927" s="30"/>
      <c r="L927" s="30"/>
      <c r="M927" s="30"/>
      <c r="N927" s="30"/>
      <c r="O927" s="71">
        <f t="shared" si="106"/>
        <v>0</v>
      </c>
      <c r="P927" s="1070">
        <f t="shared" si="111"/>
        <v>0</v>
      </c>
      <c r="Q927" s="1071">
        <f t="shared" si="110"/>
        <v>0</v>
      </c>
    </row>
    <row r="928" spans="1:17" x14ac:dyDescent="0.2">
      <c r="A928" s="30"/>
      <c r="B928" s="162"/>
      <c r="C928" s="259"/>
      <c r="D928" s="267"/>
      <c r="E928" s="35"/>
      <c r="F928" s="151"/>
      <c r="G928" s="263">
        <f t="shared" si="109"/>
        <v>0</v>
      </c>
      <c r="H928" s="65"/>
      <c r="I928" s="275">
        <f t="shared" si="105"/>
        <v>0</v>
      </c>
      <c r="J928" s="161"/>
      <c r="K928" s="30"/>
      <c r="L928" s="30"/>
      <c r="M928" s="30"/>
      <c r="N928" s="30"/>
      <c r="O928" s="71">
        <f t="shared" si="106"/>
        <v>0</v>
      </c>
      <c r="P928" s="1070">
        <f t="shared" si="111"/>
        <v>0</v>
      </c>
      <c r="Q928" s="1071">
        <f t="shared" si="110"/>
        <v>0</v>
      </c>
    </row>
    <row r="929" spans="1:17" ht="13.5" thickBot="1" x14ac:dyDescent="0.25">
      <c r="A929" s="30"/>
      <c r="B929" s="163"/>
      <c r="C929" s="260"/>
      <c r="D929" s="268"/>
      <c r="E929" s="24"/>
      <c r="F929" s="25"/>
      <c r="G929" s="264">
        <f t="shared" si="109"/>
        <v>0</v>
      </c>
      <c r="H929" s="272"/>
      <c r="I929" s="276">
        <f t="shared" si="105"/>
        <v>0</v>
      </c>
      <c r="J929" s="161"/>
      <c r="K929" s="30"/>
      <c r="L929" s="30"/>
      <c r="M929" s="30"/>
      <c r="N929" s="30"/>
      <c r="O929" s="71">
        <f t="shared" si="106"/>
        <v>0</v>
      </c>
      <c r="P929" s="1070">
        <f t="shared" si="111"/>
        <v>0</v>
      </c>
      <c r="Q929" s="1071">
        <f t="shared" si="110"/>
        <v>0</v>
      </c>
    </row>
    <row r="930" spans="1:17" ht="6.75" customHeight="1" thickBot="1" x14ac:dyDescent="0.25">
      <c r="A930" s="30"/>
      <c r="B930" s="155"/>
      <c r="C930" s="155"/>
      <c r="D930" s="155"/>
      <c r="E930" s="155"/>
      <c r="F930" s="155"/>
      <c r="G930" s="155"/>
      <c r="H930" s="155"/>
      <c r="I930" s="155"/>
      <c r="J930" s="155"/>
      <c r="K930" s="30"/>
      <c r="L930" s="30"/>
      <c r="M930" s="30"/>
      <c r="N930" s="30"/>
      <c r="O930" s="812">
        <f>SUM(O878:O929)</f>
        <v>0</v>
      </c>
      <c r="P930" s="1075">
        <f>SUM(P878:P929)</f>
        <v>0</v>
      </c>
      <c r="Q930" s="813">
        <f>SUM(Q878:Q929)</f>
        <v>0</v>
      </c>
    </row>
    <row r="931" spans="1:17" ht="50.1" customHeight="1" x14ac:dyDescent="0.2">
      <c r="A931" s="30"/>
      <c r="B931" s="155"/>
      <c r="C931" s="155"/>
      <c r="D931" s="155"/>
      <c r="E931" s="155"/>
      <c r="F931" s="155"/>
      <c r="G931" s="155"/>
      <c r="H931" s="155"/>
      <c r="I931" s="155"/>
      <c r="J931" s="155"/>
      <c r="K931" s="30"/>
      <c r="L931" s="30"/>
      <c r="M931" s="30"/>
      <c r="N931" s="30"/>
      <c r="O931" s="30"/>
      <c r="P931" s="30"/>
    </row>
    <row r="932" spans="1:17" ht="18" x14ac:dyDescent="0.2">
      <c r="A932" s="1224" t="str">
        <f>UPPER("Patching Summary Table")</f>
        <v>PATCHING SUMMARY TABLE</v>
      </c>
      <c r="B932" s="1224"/>
      <c r="C932" s="1224"/>
      <c r="D932" s="1224"/>
      <c r="E932" s="1224"/>
      <c r="F932" s="1224"/>
      <c r="G932" s="1224"/>
      <c r="H932" s="1224"/>
      <c r="I932" s="1224"/>
      <c r="J932" s="1224"/>
      <c r="K932" s="30"/>
      <c r="L932" s="30"/>
      <c r="M932" s="30"/>
      <c r="N932" s="30"/>
      <c r="O932" s="30"/>
      <c r="P932" s="30"/>
    </row>
    <row r="933" spans="1:17" ht="8.25" customHeight="1" thickBot="1" x14ac:dyDescent="0.25">
      <c r="A933" s="30"/>
      <c r="B933" s="31"/>
      <c r="C933" s="31"/>
      <c r="D933" s="31"/>
      <c r="E933" s="31"/>
      <c r="F933" s="31"/>
      <c r="G933" s="31"/>
      <c r="H933" s="31"/>
      <c r="I933" s="31"/>
      <c r="J933" s="31"/>
      <c r="K933" s="30"/>
      <c r="L933" s="30"/>
      <c r="M933" s="30"/>
      <c r="N933" s="30"/>
      <c r="O933" s="30"/>
      <c r="P933" s="30"/>
    </row>
    <row r="934" spans="1:17" x14ac:dyDescent="0.2">
      <c r="A934" s="30"/>
      <c r="B934" s="1310" t="s">
        <v>2</v>
      </c>
      <c r="C934" s="1319" t="s">
        <v>3</v>
      </c>
      <c r="D934" s="1310" t="s">
        <v>39</v>
      </c>
      <c r="E934" s="1308" t="s">
        <v>4</v>
      </c>
      <c r="F934" s="1223" t="s">
        <v>535</v>
      </c>
      <c r="G934" s="261" t="s">
        <v>129</v>
      </c>
      <c r="H934" s="269" t="s">
        <v>102</v>
      </c>
      <c r="I934" s="152" t="s">
        <v>209</v>
      </c>
      <c r="J934" s="31"/>
      <c r="K934" s="30"/>
      <c r="L934" s="30"/>
      <c r="M934" s="30"/>
      <c r="N934" s="30"/>
      <c r="O934" s="1159" t="s">
        <v>537</v>
      </c>
      <c r="P934" s="1305"/>
      <c r="Q934" s="1306"/>
    </row>
    <row r="935" spans="1:17" ht="13.5" thickBot="1" x14ac:dyDescent="0.25">
      <c r="A935" s="30"/>
      <c r="B935" s="1285"/>
      <c r="C935" s="1320"/>
      <c r="D935" s="1285"/>
      <c r="E935" s="1227"/>
      <c r="F935" s="1242"/>
      <c r="G935" s="262" t="s">
        <v>100</v>
      </c>
      <c r="H935" s="270" t="s">
        <v>100</v>
      </c>
      <c r="I935" s="273" t="s">
        <v>210</v>
      </c>
      <c r="J935" s="31"/>
      <c r="K935" s="30"/>
      <c r="L935" s="30"/>
      <c r="M935" s="30"/>
      <c r="N935" s="30"/>
      <c r="O935" s="41" t="str">
        <f>$Q$41</f>
        <v>Partial</v>
      </c>
      <c r="P935" s="42" t="str">
        <f>$Q$42</f>
        <v>Full ( HMA)</v>
      </c>
      <c r="Q935" s="43" t="str">
        <f>$Q$43</f>
        <v>Full (Composite)</v>
      </c>
    </row>
    <row r="936" spans="1:17" x14ac:dyDescent="0.2">
      <c r="A936" s="30"/>
      <c r="B936" s="159"/>
      <c r="C936" s="258"/>
      <c r="D936" s="265"/>
      <c r="E936" s="160"/>
      <c r="F936" s="266"/>
      <c r="G936" s="263">
        <f>ABS(C936-B936)</f>
        <v>0</v>
      </c>
      <c r="H936" s="271"/>
      <c r="I936" s="274">
        <f t="shared" ref="I936:I987" si="112">ROUNDUP((G936*H936)/9,0)</f>
        <v>0</v>
      </c>
      <c r="J936" s="161"/>
      <c r="K936" s="30"/>
      <c r="L936" s="30"/>
      <c r="M936" s="30"/>
      <c r="N936" s="30"/>
      <c r="O936" s="54">
        <f t="shared" ref="O936:O987" si="113">IF($F936=$Q$41,$I936,0)</f>
        <v>0</v>
      </c>
      <c r="P936" s="1069">
        <f t="shared" ref="P936:P968" si="114">IF($F936=$Q$42,$I936,0)</f>
        <v>0</v>
      </c>
      <c r="Q936" s="811">
        <f t="shared" ref="Q936:Q967" si="115">IF($F936=$Q$43,$I936,0)</f>
        <v>0</v>
      </c>
    </row>
    <row r="937" spans="1:17" x14ac:dyDescent="0.2">
      <c r="A937" s="30"/>
      <c r="B937" s="162"/>
      <c r="C937" s="259"/>
      <c r="D937" s="267"/>
      <c r="E937" s="35"/>
      <c r="F937" s="151"/>
      <c r="G937" s="263">
        <f t="shared" ref="G937:G987" si="116">ABS(C937-B937)</f>
        <v>0</v>
      </c>
      <c r="H937" s="65"/>
      <c r="I937" s="275">
        <f t="shared" si="112"/>
        <v>0</v>
      </c>
      <c r="J937" s="161"/>
      <c r="K937" s="30"/>
      <c r="L937" s="30"/>
      <c r="M937" s="30"/>
      <c r="N937" s="30"/>
      <c r="O937" s="71">
        <f t="shared" si="113"/>
        <v>0</v>
      </c>
      <c r="P937" s="1070">
        <f t="shared" si="114"/>
        <v>0</v>
      </c>
      <c r="Q937" s="1071">
        <f t="shared" si="115"/>
        <v>0</v>
      </c>
    </row>
    <row r="938" spans="1:17" x14ac:dyDescent="0.2">
      <c r="A938" s="30"/>
      <c r="B938" s="162"/>
      <c r="C938" s="259"/>
      <c r="D938" s="267"/>
      <c r="E938" s="35"/>
      <c r="F938" s="151"/>
      <c r="G938" s="263">
        <f t="shared" si="116"/>
        <v>0</v>
      </c>
      <c r="H938" s="65"/>
      <c r="I938" s="275">
        <f t="shared" si="112"/>
        <v>0</v>
      </c>
      <c r="J938" s="161"/>
      <c r="K938" s="30"/>
      <c r="L938" s="30"/>
      <c r="M938" s="30"/>
      <c r="N938" s="30"/>
      <c r="O938" s="71">
        <f t="shared" si="113"/>
        <v>0</v>
      </c>
      <c r="P938" s="1070">
        <f t="shared" si="114"/>
        <v>0</v>
      </c>
      <c r="Q938" s="1071">
        <f t="shared" si="115"/>
        <v>0</v>
      </c>
    </row>
    <row r="939" spans="1:17" x14ac:dyDescent="0.2">
      <c r="A939" s="30"/>
      <c r="B939" s="162"/>
      <c r="C939" s="259"/>
      <c r="D939" s="267"/>
      <c r="E939" s="35"/>
      <c r="F939" s="151"/>
      <c r="G939" s="263">
        <f t="shared" si="116"/>
        <v>0</v>
      </c>
      <c r="H939" s="65"/>
      <c r="I939" s="275">
        <f t="shared" si="112"/>
        <v>0</v>
      </c>
      <c r="J939" s="161"/>
      <c r="K939" s="30"/>
      <c r="L939" s="30"/>
      <c r="M939" s="30"/>
      <c r="N939" s="30"/>
      <c r="O939" s="71">
        <f t="shared" si="113"/>
        <v>0</v>
      </c>
      <c r="P939" s="1070">
        <f t="shared" si="114"/>
        <v>0</v>
      </c>
      <c r="Q939" s="1071">
        <f t="shared" si="115"/>
        <v>0</v>
      </c>
    </row>
    <row r="940" spans="1:17" x14ac:dyDescent="0.2">
      <c r="A940" s="30"/>
      <c r="B940" s="162"/>
      <c r="C940" s="259"/>
      <c r="D940" s="267"/>
      <c r="E940" s="35"/>
      <c r="F940" s="151"/>
      <c r="G940" s="263">
        <f t="shared" si="116"/>
        <v>0</v>
      </c>
      <c r="H940" s="65"/>
      <c r="I940" s="275">
        <f t="shared" si="112"/>
        <v>0</v>
      </c>
      <c r="J940" s="161"/>
      <c r="K940" s="30"/>
      <c r="L940" s="30"/>
      <c r="M940" s="30"/>
      <c r="N940" s="30"/>
      <c r="O940" s="71">
        <f t="shared" si="113"/>
        <v>0</v>
      </c>
      <c r="P940" s="1070">
        <f t="shared" si="114"/>
        <v>0</v>
      </c>
      <c r="Q940" s="1071">
        <f t="shared" si="115"/>
        <v>0</v>
      </c>
    </row>
    <row r="941" spans="1:17" x14ac:dyDescent="0.2">
      <c r="A941" s="30"/>
      <c r="B941" s="162"/>
      <c r="C941" s="259"/>
      <c r="D941" s="267"/>
      <c r="E941" s="35"/>
      <c r="F941" s="151"/>
      <c r="G941" s="263">
        <f t="shared" si="116"/>
        <v>0</v>
      </c>
      <c r="H941" s="65"/>
      <c r="I941" s="275">
        <f t="shared" si="112"/>
        <v>0</v>
      </c>
      <c r="J941" s="161"/>
      <c r="K941" s="30"/>
      <c r="L941" s="30"/>
      <c r="M941" s="30"/>
      <c r="N941" s="30"/>
      <c r="O941" s="71">
        <f t="shared" si="113"/>
        <v>0</v>
      </c>
      <c r="P941" s="1070">
        <f t="shared" si="114"/>
        <v>0</v>
      </c>
      <c r="Q941" s="1071">
        <f t="shared" si="115"/>
        <v>0</v>
      </c>
    </row>
    <row r="942" spans="1:17" x14ac:dyDescent="0.2">
      <c r="A942" s="30"/>
      <c r="B942" s="162"/>
      <c r="C942" s="259"/>
      <c r="D942" s="267"/>
      <c r="E942" s="35"/>
      <c r="F942" s="151"/>
      <c r="G942" s="263">
        <f t="shared" si="116"/>
        <v>0</v>
      </c>
      <c r="H942" s="65"/>
      <c r="I942" s="275">
        <f t="shared" si="112"/>
        <v>0</v>
      </c>
      <c r="J942" s="161"/>
      <c r="K942" s="30"/>
      <c r="L942" s="30"/>
      <c r="M942" s="30"/>
      <c r="N942" s="30"/>
      <c r="O942" s="71">
        <f t="shared" si="113"/>
        <v>0</v>
      </c>
      <c r="P942" s="1070">
        <f t="shared" si="114"/>
        <v>0</v>
      </c>
      <c r="Q942" s="1071">
        <f t="shared" si="115"/>
        <v>0</v>
      </c>
    </row>
    <row r="943" spans="1:17" x14ac:dyDescent="0.2">
      <c r="A943" s="30"/>
      <c r="B943" s="162"/>
      <c r="C943" s="259"/>
      <c r="D943" s="267"/>
      <c r="E943" s="35"/>
      <c r="F943" s="151"/>
      <c r="G943" s="263">
        <f t="shared" si="116"/>
        <v>0</v>
      </c>
      <c r="H943" s="65"/>
      <c r="I943" s="275">
        <f t="shared" si="112"/>
        <v>0</v>
      </c>
      <c r="J943" s="161"/>
      <c r="K943" s="30"/>
      <c r="L943" s="30"/>
      <c r="M943" s="30"/>
      <c r="N943" s="30"/>
      <c r="O943" s="71">
        <f t="shared" si="113"/>
        <v>0</v>
      </c>
      <c r="P943" s="1070">
        <f t="shared" si="114"/>
        <v>0</v>
      </c>
      <c r="Q943" s="1071">
        <f t="shared" si="115"/>
        <v>0</v>
      </c>
    </row>
    <row r="944" spans="1:17" x14ac:dyDescent="0.2">
      <c r="A944" s="30"/>
      <c r="B944" s="162"/>
      <c r="C944" s="259"/>
      <c r="D944" s="267"/>
      <c r="E944" s="35"/>
      <c r="F944" s="151"/>
      <c r="G944" s="263">
        <f t="shared" si="116"/>
        <v>0</v>
      </c>
      <c r="H944" s="65"/>
      <c r="I944" s="275">
        <f t="shared" si="112"/>
        <v>0</v>
      </c>
      <c r="J944" s="161"/>
      <c r="K944" s="30"/>
      <c r="L944" s="30"/>
      <c r="M944" s="30"/>
      <c r="N944" s="30"/>
      <c r="O944" s="71">
        <f t="shared" si="113"/>
        <v>0</v>
      </c>
      <c r="P944" s="1070">
        <f t="shared" si="114"/>
        <v>0</v>
      </c>
      <c r="Q944" s="1071">
        <f t="shared" si="115"/>
        <v>0</v>
      </c>
    </row>
    <row r="945" spans="1:17" x14ac:dyDescent="0.2">
      <c r="A945" s="30"/>
      <c r="B945" s="162"/>
      <c r="C945" s="259"/>
      <c r="D945" s="267"/>
      <c r="E945" s="35"/>
      <c r="F945" s="151"/>
      <c r="G945" s="263">
        <f t="shared" si="116"/>
        <v>0</v>
      </c>
      <c r="H945" s="65"/>
      <c r="I945" s="275">
        <f t="shared" si="112"/>
        <v>0</v>
      </c>
      <c r="J945" s="161"/>
      <c r="K945" s="30"/>
      <c r="L945" s="30"/>
      <c r="M945" s="30"/>
      <c r="N945" s="30"/>
      <c r="O945" s="71">
        <f t="shared" si="113"/>
        <v>0</v>
      </c>
      <c r="P945" s="1070">
        <f t="shared" si="114"/>
        <v>0</v>
      </c>
      <c r="Q945" s="1071">
        <f t="shared" si="115"/>
        <v>0</v>
      </c>
    </row>
    <row r="946" spans="1:17" x14ac:dyDescent="0.2">
      <c r="A946" s="30"/>
      <c r="B946" s="162"/>
      <c r="C946" s="259"/>
      <c r="D946" s="267"/>
      <c r="E946" s="35"/>
      <c r="F946" s="151"/>
      <c r="G946" s="263">
        <f t="shared" si="116"/>
        <v>0</v>
      </c>
      <c r="H946" s="65"/>
      <c r="I946" s="275">
        <f t="shared" si="112"/>
        <v>0</v>
      </c>
      <c r="J946" s="161"/>
      <c r="K946" s="30"/>
      <c r="L946" s="30"/>
      <c r="M946" s="30"/>
      <c r="N946" s="30"/>
      <c r="O946" s="71">
        <f t="shared" si="113"/>
        <v>0</v>
      </c>
      <c r="P946" s="1070">
        <f t="shared" si="114"/>
        <v>0</v>
      </c>
      <c r="Q946" s="1071">
        <f t="shared" si="115"/>
        <v>0</v>
      </c>
    </row>
    <row r="947" spans="1:17" x14ac:dyDescent="0.2">
      <c r="A947" s="30"/>
      <c r="B947" s="162"/>
      <c r="C947" s="259"/>
      <c r="D947" s="267"/>
      <c r="E947" s="35"/>
      <c r="F947" s="151"/>
      <c r="G947" s="263">
        <f t="shared" si="116"/>
        <v>0</v>
      </c>
      <c r="H947" s="65"/>
      <c r="I947" s="275">
        <f t="shared" si="112"/>
        <v>0</v>
      </c>
      <c r="J947" s="161"/>
      <c r="K947" s="30"/>
      <c r="L947" s="30"/>
      <c r="M947" s="30"/>
      <c r="N947" s="30"/>
      <c r="O947" s="71">
        <f t="shared" si="113"/>
        <v>0</v>
      </c>
      <c r="P947" s="1070">
        <f t="shared" si="114"/>
        <v>0</v>
      </c>
      <c r="Q947" s="1071">
        <f t="shared" si="115"/>
        <v>0</v>
      </c>
    </row>
    <row r="948" spans="1:17" x14ac:dyDescent="0.2">
      <c r="A948" s="30"/>
      <c r="B948" s="162"/>
      <c r="C948" s="259"/>
      <c r="D948" s="267"/>
      <c r="E948" s="35"/>
      <c r="F948" s="151"/>
      <c r="G948" s="263">
        <f t="shared" si="116"/>
        <v>0</v>
      </c>
      <c r="H948" s="65"/>
      <c r="I948" s="275">
        <f t="shared" si="112"/>
        <v>0</v>
      </c>
      <c r="J948" s="161"/>
      <c r="K948" s="30"/>
      <c r="L948" s="30"/>
      <c r="M948" s="30"/>
      <c r="N948" s="30"/>
      <c r="O948" s="71">
        <f t="shared" si="113"/>
        <v>0</v>
      </c>
      <c r="P948" s="1070">
        <f t="shared" si="114"/>
        <v>0</v>
      </c>
      <c r="Q948" s="1071">
        <f t="shared" si="115"/>
        <v>0</v>
      </c>
    </row>
    <row r="949" spans="1:17" x14ac:dyDescent="0.2">
      <c r="A949" s="30"/>
      <c r="B949" s="162"/>
      <c r="C949" s="259"/>
      <c r="D949" s="267"/>
      <c r="E949" s="35"/>
      <c r="F949" s="151"/>
      <c r="G949" s="263">
        <f t="shared" si="116"/>
        <v>0</v>
      </c>
      <c r="H949" s="65"/>
      <c r="I949" s="275">
        <f t="shared" si="112"/>
        <v>0</v>
      </c>
      <c r="J949" s="161"/>
      <c r="K949" s="30"/>
      <c r="L949" s="30"/>
      <c r="M949" s="30"/>
      <c r="N949" s="30"/>
      <c r="O949" s="71">
        <f t="shared" si="113"/>
        <v>0</v>
      </c>
      <c r="P949" s="1070">
        <f t="shared" si="114"/>
        <v>0</v>
      </c>
      <c r="Q949" s="1071">
        <f t="shared" si="115"/>
        <v>0</v>
      </c>
    </row>
    <row r="950" spans="1:17" x14ac:dyDescent="0.2">
      <c r="A950" s="30"/>
      <c r="B950" s="162"/>
      <c r="C950" s="259"/>
      <c r="D950" s="267"/>
      <c r="E950" s="35"/>
      <c r="F950" s="151"/>
      <c r="G950" s="263">
        <f t="shared" si="116"/>
        <v>0</v>
      </c>
      <c r="H950" s="65"/>
      <c r="I950" s="275">
        <f t="shared" si="112"/>
        <v>0</v>
      </c>
      <c r="J950" s="161"/>
      <c r="K950" s="30"/>
      <c r="L950" s="30"/>
      <c r="M950" s="30"/>
      <c r="N950" s="30"/>
      <c r="O950" s="71">
        <f t="shared" si="113"/>
        <v>0</v>
      </c>
      <c r="P950" s="1070">
        <f t="shared" si="114"/>
        <v>0</v>
      </c>
      <c r="Q950" s="1071">
        <f t="shared" si="115"/>
        <v>0</v>
      </c>
    </row>
    <row r="951" spans="1:17" x14ac:dyDescent="0.2">
      <c r="A951" s="30"/>
      <c r="B951" s="162"/>
      <c r="C951" s="259"/>
      <c r="D951" s="267"/>
      <c r="E951" s="35"/>
      <c r="F951" s="151"/>
      <c r="G951" s="263">
        <f t="shared" si="116"/>
        <v>0</v>
      </c>
      <c r="H951" s="65"/>
      <c r="I951" s="275">
        <f t="shared" si="112"/>
        <v>0</v>
      </c>
      <c r="J951" s="161"/>
      <c r="K951" s="30"/>
      <c r="L951" s="30"/>
      <c r="M951" s="30"/>
      <c r="N951" s="30"/>
      <c r="O951" s="71">
        <f t="shared" si="113"/>
        <v>0</v>
      </c>
      <c r="P951" s="1070">
        <f t="shared" si="114"/>
        <v>0</v>
      </c>
      <c r="Q951" s="1071">
        <f t="shared" si="115"/>
        <v>0</v>
      </c>
    </row>
    <row r="952" spans="1:17" x14ac:dyDescent="0.2">
      <c r="A952" s="30"/>
      <c r="B952" s="162"/>
      <c r="C952" s="259"/>
      <c r="D952" s="267"/>
      <c r="E952" s="35"/>
      <c r="F952" s="151"/>
      <c r="G952" s="263">
        <f t="shared" si="116"/>
        <v>0</v>
      </c>
      <c r="H952" s="65"/>
      <c r="I952" s="275">
        <f t="shared" si="112"/>
        <v>0</v>
      </c>
      <c r="J952" s="161"/>
      <c r="K952" s="30"/>
      <c r="L952" s="30"/>
      <c r="M952" s="30"/>
      <c r="N952" s="30"/>
      <c r="O952" s="71">
        <f t="shared" si="113"/>
        <v>0</v>
      </c>
      <c r="P952" s="1070">
        <f t="shared" si="114"/>
        <v>0</v>
      </c>
      <c r="Q952" s="1071">
        <f t="shared" si="115"/>
        <v>0</v>
      </c>
    </row>
    <row r="953" spans="1:17" x14ac:dyDescent="0.2">
      <c r="A953" s="30"/>
      <c r="B953" s="162"/>
      <c r="C953" s="259"/>
      <c r="D953" s="267"/>
      <c r="E953" s="35"/>
      <c r="F953" s="151"/>
      <c r="G953" s="263">
        <f t="shared" si="116"/>
        <v>0</v>
      </c>
      <c r="H953" s="65"/>
      <c r="I953" s="275">
        <f t="shared" si="112"/>
        <v>0</v>
      </c>
      <c r="J953" s="161"/>
      <c r="K953" s="30"/>
      <c r="L953" s="30"/>
      <c r="M953" s="30"/>
      <c r="N953" s="30"/>
      <c r="O953" s="71">
        <f t="shared" si="113"/>
        <v>0</v>
      </c>
      <c r="P953" s="1070">
        <f t="shared" si="114"/>
        <v>0</v>
      </c>
      <c r="Q953" s="1071">
        <f t="shared" si="115"/>
        <v>0</v>
      </c>
    </row>
    <row r="954" spans="1:17" x14ac:dyDescent="0.2">
      <c r="A954" s="30"/>
      <c r="B954" s="162"/>
      <c r="C954" s="259"/>
      <c r="D954" s="267"/>
      <c r="E954" s="35"/>
      <c r="F954" s="151"/>
      <c r="G954" s="263">
        <f t="shared" si="116"/>
        <v>0</v>
      </c>
      <c r="H954" s="65"/>
      <c r="I954" s="275">
        <f t="shared" si="112"/>
        <v>0</v>
      </c>
      <c r="J954" s="161"/>
      <c r="K954" s="30"/>
      <c r="L954" s="30"/>
      <c r="M954" s="30"/>
      <c r="N954" s="30"/>
      <c r="O954" s="71">
        <f t="shared" si="113"/>
        <v>0</v>
      </c>
      <c r="P954" s="1070">
        <f t="shared" si="114"/>
        <v>0</v>
      </c>
      <c r="Q954" s="1071">
        <f t="shared" si="115"/>
        <v>0</v>
      </c>
    </row>
    <row r="955" spans="1:17" x14ac:dyDescent="0.2">
      <c r="A955" s="30"/>
      <c r="B955" s="162"/>
      <c r="C955" s="259"/>
      <c r="D955" s="267"/>
      <c r="E955" s="35"/>
      <c r="F955" s="151"/>
      <c r="G955" s="263">
        <f t="shared" si="116"/>
        <v>0</v>
      </c>
      <c r="H955" s="65"/>
      <c r="I955" s="275">
        <f t="shared" si="112"/>
        <v>0</v>
      </c>
      <c r="J955" s="161"/>
      <c r="K955" s="30"/>
      <c r="L955" s="30"/>
      <c r="M955" s="30"/>
      <c r="N955" s="30"/>
      <c r="O955" s="71">
        <f t="shared" si="113"/>
        <v>0</v>
      </c>
      <c r="P955" s="1070">
        <f t="shared" si="114"/>
        <v>0</v>
      </c>
      <c r="Q955" s="1071">
        <f t="shared" si="115"/>
        <v>0</v>
      </c>
    </row>
    <row r="956" spans="1:17" x14ac:dyDescent="0.2">
      <c r="A956" s="30"/>
      <c r="B956" s="162"/>
      <c r="C956" s="259"/>
      <c r="D956" s="267"/>
      <c r="E956" s="35"/>
      <c r="F956" s="151"/>
      <c r="G956" s="263">
        <f t="shared" si="116"/>
        <v>0</v>
      </c>
      <c r="H956" s="65"/>
      <c r="I956" s="275">
        <f t="shared" si="112"/>
        <v>0</v>
      </c>
      <c r="J956" s="161"/>
      <c r="K956" s="30"/>
      <c r="L956" s="30"/>
      <c r="M956" s="30"/>
      <c r="N956" s="30"/>
      <c r="O956" s="71">
        <f t="shared" si="113"/>
        <v>0</v>
      </c>
      <c r="P956" s="1070">
        <f t="shared" si="114"/>
        <v>0</v>
      </c>
      <c r="Q956" s="1071">
        <f t="shared" si="115"/>
        <v>0</v>
      </c>
    </row>
    <row r="957" spans="1:17" x14ac:dyDescent="0.2">
      <c r="A957" s="30"/>
      <c r="B957" s="162"/>
      <c r="C957" s="259"/>
      <c r="D957" s="267"/>
      <c r="E957" s="35"/>
      <c r="F957" s="151"/>
      <c r="G957" s="263">
        <f t="shared" si="116"/>
        <v>0</v>
      </c>
      <c r="H957" s="65"/>
      <c r="I957" s="275">
        <f t="shared" si="112"/>
        <v>0</v>
      </c>
      <c r="J957" s="161"/>
      <c r="K957" s="30"/>
      <c r="L957" s="30"/>
      <c r="M957" s="30"/>
      <c r="N957" s="30"/>
      <c r="O957" s="71">
        <f t="shared" si="113"/>
        <v>0</v>
      </c>
      <c r="P957" s="1070">
        <f t="shared" si="114"/>
        <v>0</v>
      </c>
      <c r="Q957" s="1071">
        <f t="shared" si="115"/>
        <v>0</v>
      </c>
    </row>
    <row r="958" spans="1:17" x14ac:dyDescent="0.2">
      <c r="A958" s="30"/>
      <c r="B958" s="162"/>
      <c r="C958" s="259"/>
      <c r="D958" s="267"/>
      <c r="E958" s="35"/>
      <c r="F958" s="151"/>
      <c r="G958" s="263">
        <f t="shared" si="116"/>
        <v>0</v>
      </c>
      <c r="H958" s="65"/>
      <c r="I958" s="275">
        <f t="shared" si="112"/>
        <v>0</v>
      </c>
      <c r="J958" s="161"/>
      <c r="K958" s="30"/>
      <c r="L958" s="30"/>
      <c r="M958" s="30"/>
      <c r="N958" s="30"/>
      <c r="O958" s="71">
        <f t="shared" si="113"/>
        <v>0</v>
      </c>
      <c r="P958" s="1070">
        <f t="shared" si="114"/>
        <v>0</v>
      </c>
      <c r="Q958" s="1071">
        <f t="shared" si="115"/>
        <v>0</v>
      </c>
    </row>
    <row r="959" spans="1:17" x14ac:dyDescent="0.2">
      <c r="A959" s="30"/>
      <c r="B959" s="162"/>
      <c r="C959" s="259"/>
      <c r="D959" s="267"/>
      <c r="E959" s="35"/>
      <c r="F959" s="151"/>
      <c r="G959" s="263">
        <f t="shared" si="116"/>
        <v>0</v>
      </c>
      <c r="H959" s="65"/>
      <c r="I959" s="275">
        <f t="shared" si="112"/>
        <v>0</v>
      </c>
      <c r="J959" s="161"/>
      <c r="K959" s="30"/>
      <c r="L959" s="30"/>
      <c r="M959" s="30"/>
      <c r="N959" s="30"/>
      <c r="O959" s="71">
        <f t="shared" si="113"/>
        <v>0</v>
      </c>
      <c r="P959" s="1070">
        <f t="shared" si="114"/>
        <v>0</v>
      </c>
      <c r="Q959" s="1071">
        <f t="shared" si="115"/>
        <v>0</v>
      </c>
    </row>
    <row r="960" spans="1:17" x14ac:dyDescent="0.2">
      <c r="A960" s="30"/>
      <c r="B960" s="162"/>
      <c r="C960" s="259"/>
      <c r="D960" s="267"/>
      <c r="E960" s="35"/>
      <c r="F960" s="151"/>
      <c r="G960" s="263">
        <f t="shared" si="116"/>
        <v>0</v>
      </c>
      <c r="H960" s="65"/>
      <c r="I960" s="275">
        <f t="shared" si="112"/>
        <v>0</v>
      </c>
      <c r="J960" s="161"/>
      <c r="K960" s="30"/>
      <c r="L960" s="30"/>
      <c r="M960" s="30"/>
      <c r="N960" s="30"/>
      <c r="O960" s="71">
        <f t="shared" si="113"/>
        <v>0</v>
      </c>
      <c r="P960" s="1070">
        <f t="shared" si="114"/>
        <v>0</v>
      </c>
      <c r="Q960" s="1071">
        <f t="shared" si="115"/>
        <v>0</v>
      </c>
    </row>
    <row r="961" spans="1:17" x14ac:dyDescent="0.2">
      <c r="A961" s="30"/>
      <c r="B961" s="162"/>
      <c r="C961" s="259"/>
      <c r="D961" s="267"/>
      <c r="E961" s="35"/>
      <c r="F961" s="151"/>
      <c r="G961" s="263">
        <f t="shared" si="116"/>
        <v>0</v>
      </c>
      <c r="H961" s="65"/>
      <c r="I961" s="275">
        <f t="shared" si="112"/>
        <v>0</v>
      </c>
      <c r="J961" s="161"/>
      <c r="K961" s="30"/>
      <c r="L961" s="30"/>
      <c r="M961" s="30"/>
      <c r="N961" s="30"/>
      <c r="O961" s="71">
        <f t="shared" si="113"/>
        <v>0</v>
      </c>
      <c r="P961" s="1070">
        <f t="shared" si="114"/>
        <v>0</v>
      </c>
      <c r="Q961" s="1071">
        <f t="shared" si="115"/>
        <v>0</v>
      </c>
    </row>
    <row r="962" spans="1:17" x14ac:dyDescent="0.2">
      <c r="A962" s="30"/>
      <c r="B962" s="162"/>
      <c r="C962" s="259"/>
      <c r="D962" s="267"/>
      <c r="E962" s="35"/>
      <c r="F962" s="151"/>
      <c r="G962" s="263">
        <f t="shared" si="116"/>
        <v>0</v>
      </c>
      <c r="H962" s="65"/>
      <c r="I962" s="275">
        <f t="shared" si="112"/>
        <v>0</v>
      </c>
      <c r="J962" s="161"/>
      <c r="K962" s="30"/>
      <c r="L962" s="30"/>
      <c r="M962" s="30"/>
      <c r="N962" s="30"/>
      <c r="O962" s="71">
        <f t="shared" si="113"/>
        <v>0</v>
      </c>
      <c r="P962" s="1070">
        <f t="shared" si="114"/>
        <v>0</v>
      </c>
      <c r="Q962" s="1071">
        <f t="shared" si="115"/>
        <v>0</v>
      </c>
    </row>
    <row r="963" spans="1:17" x14ac:dyDescent="0.2">
      <c r="A963" s="30"/>
      <c r="B963" s="162"/>
      <c r="C963" s="259"/>
      <c r="D963" s="267"/>
      <c r="E963" s="35"/>
      <c r="F963" s="151"/>
      <c r="G963" s="263">
        <f t="shared" si="116"/>
        <v>0</v>
      </c>
      <c r="H963" s="65"/>
      <c r="I963" s="275">
        <f t="shared" si="112"/>
        <v>0</v>
      </c>
      <c r="J963" s="161"/>
      <c r="K963" s="30"/>
      <c r="L963" s="30"/>
      <c r="M963" s="30"/>
      <c r="N963" s="30"/>
      <c r="O963" s="71">
        <f t="shared" si="113"/>
        <v>0</v>
      </c>
      <c r="P963" s="1070">
        <f t="shared" si="114"/>
        <v>0</v>
      </c>
      <c r="Q963" s="1071">
        <f t="shared" si="115"/>
        <v>0</v>
      </c>
    </row>
    <row r="964" spans="1:17" x14ac:dyDescent="0.2">
      <c r="A964" s="30"/>
      <c r="B964" s="162"/>
      <c r="C964" s="259"/>
      <c r="D964" s="267"/>
      <c r="E964" s="35"/>
      <c r="F964" s="151"/>
      <c r="G964" s="263">
        <f t="shared" si="116"/>
        <v>0</v>
      </c>
      <c r="H964" s="65"/>
      <c r="I964" s="275">
        <f t="shared" si="112"/>
        <v>0</v>
      </c>
      <c r="J964" s="161"/>
      <c r="K964" s="30"/>
      <c r="L964" s="30"/>
      <c r="M964" s="30"/>
      <c r="N964" s="30"/>
      <c r="O964" s="71">
        <f t="shared" si="113"/>
        <v>0</v>
      </c>
      <c r="P964" s="1070">
        <f t="shared" si="114"/>
        <v>0</v>
      </c>
      <c r="Q964" s="1071">
        <f t="shared" si="115"/>
        <v>0</v>
      </c>
    </row>
    <row r="965" spans="1:17" x14ac:dyDescent="0.2">
      <c r="A965" s="30"/>
      <c r="B965" s="162"/>
      <c r="C965" s="259"/>
      <c r="D965" s="267"/>
      <c r="E965" s="35"/>
      <c r="F965" s="151"/>
      <c r="G965" s="263">
        <f t="shared" si="116"/>
        <v>0</v>
      </c>
      <c r="H965" s="65"/>
      <c r="I965" s="275">
        <f t="shared" si="112"/>
        <v>0</v>
      </c>
      <c r="J965" s="161"/>
      <c r="K965" s="30"/>
      <c r="L965" s="30"/>
      <c r="M965" s="30"/>
      <c r="N965" s="30"/>
      <c r="O965" s="71">
        <f t="shared" si="113"/>
        <v>0</v>
      </c>
      <c r="P965" s="1070">
        <f t="shared" si="114"/>
        <v>0</v>
      </c>
      <c r="Q965" s="1071">
        <f t="shared" si="115"/>
        <v>0</v>
      </c>
    </row>
    <row r="966" spans="1:17" x14ac:dyDescent="0.2">
      <c r="A966" s="30"/>
      <c r="B966" s="162"/>
      <c r="C966" s="259"/>
      <c r="D966" s="267"/>
      <c r="E966" s="35"/>
      <c r="F966" s="151"/>
      <c r="G966" s="263">
        <f t="shared" si="116"/>
        <v>0</v>
      </c>
      <c r="H966" s="65"/>
      <c r="I966" s="275">
        <f t="shared" si="112"/>
        <v>0</v>
      </c>
      <c r="J966" s="161"/>
      <c r="K966" s="30"/>
      <c r="L966" s="30"/>
      <c r="M966" s="30"/>
      <c r="N966" s="30"/>
      <c r="O966" s="71">
        <f t="shared" si="113"/>
        <v>0</v>
      </c>
      <c r="P966" s="1070">
        <f t="shared" si="114"/>
        <v>0</v>
      </c>
      <c r="Q966" s="1071">
        <f t="shared" si="115"/>
        <v>0</v>
      </c>
    </row>
    <row r="967" spans="1:17" x14ac:dyDescent="0.2">
      <c r="A967" s="30"/>
      <c r="B967" s="162"/>
      <c r="C967" s="259"/>
      <c r="D967" s="267"/>
      <c r="E967" s="35"/>
      <c r="F967" s="151"/>
      <c r="G967" s="263">
        <f t="shared" si="116"/>
        <v>0</v>
      </c>
      <c r="H967" s="65"/>
      <c r="I967" s="275">
        <f t="shared" si="112"/>
        <v>0</v>
      </c>
      <c r="J967" s="161"/>
      <c r="K967" s="30"/>
      <c r="L967" s="30"/>
      <c r="M967" s="30"/>
      <c r="N967" s="30"/>
      <c r="O967" s="71">
        <f t="shared" si="113"/>
        <v>0</v>
      </c>
      <c r="P967" s="1070">
        <f t="shared" si="114"/>
        <v>0</v>
      </c>
      <c r="Q967" s="1071">
        <f t="shared" si="115"/>
        <v>0</v>
      </c>
    </row>
    <row r="968" spans="1:17" x14ac:dyDescent="0.2">
      <c r="A968" s="30"/>
      <c r="B968" s="162"/>
      <c r="C968" s="259"/>
      <c r="D968" s="267"/>
      <c r="E968" s="35"/>
      <c r="F968" s="151"/>
      <c r="G968" s="263">
        <f t="shared" si="116"/>
        <v>0</v>
      </c>
      <c r="H968" s="65"/>
      <c r="I968" s="275">
        <f t="shared" si="112"/>
        <v>0</v>
      </c>
      <c r="J968" s="161"/>
      <c r="K968" s="30"/>
      <c r="L968" s="30"/>
      <c r="M968" s="30"/>
      <c r="N968" s="30"/>
      <c r="O968" s="71">
        <f t="shared" si="113"/>
        <v>0</v>
      </c>
      <c r="P968" s="1070">
        <f t="shared" si="114"/>
        <v>0</v>
      </c>
      <c r="Q968" s="1071">
        <f t="shared" ref="Q968:Q987" si="117">IF($F968=$Q$43,$I968,0)</f>
        <v>0</v>
      </c>
    </row>
    <row r="969" spans="1:17" x14ac:dyDescent="0.2">
      <c r="A969" s="30"/>
      <c r="B969" s="162"/>
      <c r="C969" s="259"/>
      <c r="D969" s="267"/>
      <c r="E969" s="35"/>
      <c r="F969" s="151"/>
      <c r="G969" s="263">
        <f t="shared" si="116"/>
        <v>0</v>
      </c>
      <c r="H969" s="65"/>
      <c r="I969" s="275">
        <f t="shared" si="112"/>
        <v>0</v>
      </c>
      <c r="J969" s="161"/>
      <c r="K969" s="30"/>
      <c r="L969" s="30"/>
      <c r="M969" s="30"/>
      <c r="N969" s="30"/>
      <c r="O969" s="71">
        <f t="shared" si="113"/>
        <v>0</v>
      </c>
      <c r="P969" s="1070">
        <f t="shared" ref="P969:P987" si="118">IF($F969=$Q$42,$I969,0)</f>
        <v>0</v>
      </c>
      <c r="Q969" s="1071">
        <f t="shared" si="117"/>
        <v>0</v>
      </c>
    </row>
    <row r="970" spans="1:17" x14ac:dyDescent="0.2">
      <c r="A970" s="30"/>
      <c r="B970" s="162"/>
      <c r="C970" s="259"/>
      <c r="D970" s="267"/>
      <c r="E970" s="35"/>
      <c r="F970" s="151"/>
      <c r="G970" s="263">
        <f t="shared" si="116"/>
        <v>0</v>
      </c>
      <c r="H970" s="65"/>
      <c r="I970" s="275">
        <f t="shared" si="112"/>
        <v>0</v>
      </c>
      <c r="J970" s="161"/>
      <c r="K970" s="30"/>
      <c r="L970" s="30"/>
      <c r="M970" s="30"/>
      <c r="N970" s="30"/>
      <c r="O970" s="71">
        <f t="shared" si="113"/>
        <v>0</v>
      </c>
      <c r="P970" s="1070">
        <f t="shared" si="118"/>
        <v>0</v>
      </c>
      <c r="Q970" s="1071">
        <f t="shared" si="117"/>
        <v>0</v>
      </c>
    </row>
    <row r="971" spans="1:17" x14ac:dyDescent="0.2">
      <c r="A971" s="30"/>
      <c r="B971" s="162"/>
      <c r="C971" s="259"/>
      <c r="D971" s="267"/>
      <c r="E971" s="35"/>
      <c r="F971" s="151"/>
      <c r="G971" s="263">
        <f t="shared" si="116"/>
        <v>0</v>
      </c>
      <c r="H971" s="65"/>
      <c r="I971" s="275">
        <f t="shared" si="112"/>
        <v>0</v>
      </c>
      <c r="J971" s="161"/>
      <c r="K971" s="30"/>
      <c r="L971" s="30"/>
      <c r="M971" s="30"/>
      <c r="N971" s="30"/>
      <c r="O971" s="71">
        <f t="shared" si="113"/>
        <v>0</v>
      </c>
      <c r="P971" s="1070">
        <f t="shared" si="118"/>
        <v>0</v>
      </c>
      <c r="Q971" s="1071">
        <f t="shared" si="117"/>
        <v>0</v>
      </c>
    </row>
    <row r="972" spans="1:17" x14ac:dyDescent="0.2">
      <c r="A972" s="30"/>
      <c r="B972" s="162"/>
      <c r="C972" s="259"/>
      <c r="D972" s="267"/>
      <c r="E972" s="35"/>
      <c r="F972" s="151"/>
      <c r="G972" s="263">
        <f t="shared" si="116"/>
        <v>0</v>
      </c>
      <c r="H972" s="65"/>
      <c r="I972" s="275">
        <f t="shared" si="112"/>
        <v>0</v>
      </c>
      <c r="J972" s="161"/>
      <c r="K972" s="30"/>
      <c r="L972" s="30"/>
      <c r="M972" s="30"/>
      <c r="N972" s="30"/>
      <c r="O972" s="71">
        <f t="shared" si="113"/>
        <v>0</v>
      </c>
      <c r="P972" s="1070">
        <f t="shared" si="118"/>
        <v>0</v>
      </c>
      <c r="Q972" s="1071">
        <f t="shared" si="117"/>
        <v>0</v>
      </c>
    </row>
    <row r="973" spans="1:17" x14ac:dyDescent="0.2">
      <c r="A973" s="30"/>
      <c r="B973" s="162"/>
      <c r="C973" s="259"/>
      <c r="D973" s="267"/>
      <c r="E973" s="35"/>
      <c r="F973" s="151"/>
      <c r="G973" s="263">
        <f t="shared" si="116"/>
        <v>0</v>
      </c>
      <c r="H973" s="65"/>
      <c r="I973" s="275">
        <f t="shared" si="112"/>
        <v>0</v>
      </c>
      <c r="J973" s="161"/>
      <c r="K973" s="30"/>
      <c r="L973" s="30"/>
      <c r="M973" s="30"/>
      <c r="N973" s="30"/>
      <c r="O973" s="71">
        <f t="shared" si="113"/>
        <v>0</v>
      </c>
      <c r="P973" s="1070">
        <f t="shared" si="118"/>
        <v>0</v>
      </c>
      <c r="Q973" s="1071">
        <f t="shared" si="117"/>
        <v>0</v>
      </c>
    </row>
    <row r="974" spans="1:17" x14ac:dyDescent="0.2">
      <c r="A974" s="30"/>
      <c r="B974" s="162"/>
      <c r="C974" s="259"/>
      <c r="D974" s="267"/>
      <c r="E974" s="35"/>
      <c r="F974" s="151"/>
      <c r="G974" s="263">
        <f t="shared" si="116"/>
        <v>0</v>
      </c>
      <c r="H974" s="65"/>
      <c r="I974" s="275">
        <f t="shared" si="112"/>
        <v>0</v>
      </c>
      <c r="J974" s="161"/>
      <c r="K974" s="30"/>
      <c r="L974" s="30"/>
      <c r="M974" s="30"/>
      <c r="N974" s="30"/>
      <c r="O974" s="71">
        <f t="shared" si="113"/>
        <v>0</v>
      </c>
      <c r="P974" s="1070">
        <f t="shared" si="118"/>
        <v>0</v>
      </c>
      <c r="Q974" s="1071">
        <f t="shared" si="117"/>
        <v>0</v>
      </c>
    </row>
    <row r="975" spans="1:17" x14ac:dyDescent="0.2">
      <c r="A975" s="30"/>
      <c r="B975" s="162"/>
      <c r="C975" s="259"/>
      <c r="D975" s="267"/>
      <c r="E975" s="35"/>
      <c r="F975" s="151"/>
      <c r="G975" s="263">
        <f t="shared" si="116"/>
        <v>0</v>
      </c>
      <c r="H975" s="65"/>
      <c r="I975" s="275">
        <f t="shared" si="112"/>
        <v>0</v>
      </c>
      <c r="J975" s="161"/>
      <c r="K975" s="30"/>
      <c r="L975" s="30"/>
      <c r="M975" s="30"/>
      <c r="N975" s="30"/>
      <c r="O975" s="71">
        <f t="shared" si="113"/>
        <v>0</v>
      </c>
      <c r="P975" s="1070">
        <f t="shared" si="118"/>
        <v>0</v>
      </c>
      <c r="Q975" s="1071">
        <f t="shared" si="117"/>
        <v>0</v>
      </c>
    </row>
    <row r="976" spans="1:17" x14ac:dyDescent="0.2">
      <c r="A976" s="30"/>
      <c r="B976" s="162"/>
      <c r="C976" s="259"/>
      <c r="D976" s="267"/>
      <c r="E976" s="35"/>
      <c r="F976" s="151"/>
      <c r="G976" s="263">
        <f t="shared" si="116"/>
        <v>0</v>
      </c>
      <c r="H976" s="65"/>
      <c r="I976" s="275">
        <f t="shared" si="112"/>
        <v>0</v>
      </c>
      <c r="J976" s="161"/>
      <c r="K976" s="30"/>
      <c r="L976" s="30"/>
      <c r="M976" s="30"/>
      <c r="N976" s="30"/>
      <c r="O976" s="71">
        <f t="shared" si="113"/>
        <v>0</v>
      </c>
      <c r="P976" s="1070">
        <f t="shared" si="118"/>
        <v>0</v>
      </c>
      <c r="Q976" s="1071">
        <f t="shared" si="117"/>
        <v>0</v>
      </c>
    </row>
    <row r="977" spans="1:17" x14ac:dyDescent="0.2">
      <c r="A977" s="30"/>
      <c r="B977" s="162"/>
      <c r="C977" s="259"/>
      <c r="D977" s="267"/>
      <c r="E977" s="35"/>
      <c r="F977" s="151"/>
      <c r="G977" s="263">
        <f t="shared" si="116"/>
        <v>0</v>
      </c>
      <c r="H977" s="65"/>
      <c r="I977" s="275">
        <f t="shared" si="112"/>
        <v>0</v>
      </c>
      <c r="J977" s="161"/>
      <c r="K977" s="30"/>
      <c r="L977" s="30"/>
      <c r="M977" s="30"/>
      <c r="N977" s="30"/>
      <c r="O977" s="71">
        <f t="shared" si="113"/>
        <v>0</v>
      </c>
      <c r="P977" s="1070">
        <f t="shared" si="118"/>
        <v>0</v>
      </c>
      <c r="Q977" s="1071">
        <f t="shared" si="117"/>
        <v>0</v>
      </c>
    </row>
    <row r="978" spans="1:17" x14ac:dyDescent="0.2">
      <c r="A978" s="30"/>
      <c r="B978" s="162"/>
      <c r="C978" s="259"/>
      <c r="D978" s="267"/>
      <c r="E978" s="35"/>
      <c r="F978" s="151"/>
      <c r="G978" s="263">
        <f t="shared" si="116"/>
        <v>0</v>
      </c>
      <c r="H978" s="65"/>
      <c r="I978" s="275">
        <f t="shared" si="112"/>
        <v>0</v>
      </c>
      <c r="J978" s="161"/>
      <c r="K978" s="30"/>
      <c r="L978" s="30"/>
      <c r="M978" s="30"/>
      <c r="N978" s="30"/>
      <c r="O978" s="71">
        <f t="shared" si="113"/>
        <v>0</v>
      </c>
      <c r="P978" s="1070">
        <f t="shared" si="118"/>
        <v>0</v>
      </c>
      <c r="Q978" s="1071">
        <f t="shared" si="117"/>
        <v>0</v>
      </c>
    </row>
    <row r="979" spans="1:17" x14ac:dyDescent="0.2">
      <c r="A979" s="30"/>
      <c r="B979" s="162"/>
      <c r="C979" s="259"/>
      <c r="D979" s="267"/>
      <c r="E979" s="35"/>
      <c r="F979" s="151"/>
      <c r="G979" s="263">
        <f t="shared" si="116"/>
        <v>0</v>
      </c>
      <c r="H979" s="65"/>
      <c r="I979" s="275">
        <f t="shared" si="112"/>
        <v>0</v>
      </c>
      <c r="J979" s="161"/>
      <c r="K979" s="30"/>
      <c r="L979" s="30"/>
      <c r="M979" s="30"/>
      <c r="N979" s="30"/>
      <c r="O979" s="71">
        <f t="shared" si="113"/>
        <v>0</v>
      </c>
      <c r="P979" s="1070">
        <f t="shared" si="118"/>
        <v>0</v>
      </c>
      <c r="Q979" s="1071">
        <f t="shared" si="117"/>
        <v>0</v>
      </c>
    </row>
    <row r="980" spans="1:17" x14ac:dyDescent="0.2">
      <c r="A980" s="30"/>
      <c r="B980" s="162"/>
      <c r="C980" s="259"/>
      <c r="D980" s="267"/>
      <c r="E980" s="35"/>
      <c r="F980" s="151"/>
      <c r="G980" s="263">
        <f t="shared" si="116"/>
        <v>0</v>
      </c>
      <c r="H980" s="65"/>
      <c r="I980" s="275">
        <f t="shared" si="112"/>
        <v>0</v>
      </c>
      <c r="J980" s="161"/>
      <c r="K980" s="30"/>
      <c r="L980" s="30"/>
      <c r="M980" s="30"/>
      <c r="N980" s="30"/>
      <c r="O980" s="71">
        <f t="shared" si="113"/>
        <v>0</v>
      </c>
      <c r="P980" s="1070">
        <f t="shared" si="118"/>
        <v>0</v>
      </c>
      <c r="Q980" s="1071">
        <f t="shared" si="117"/>
        <v>0</v>
      </c>
    </row>
    <row r="981" spans="1:17" x14ac:dyDescent="0.2">
      <c r="A981" s="30"/>
      <c r="B981" s="162"/>
      <c r="C981" s="259"/>
      <c r="D981" s="267"/>
      <c r="E981" s="35"/>
      <c r="F981" s="151"/>
      <c r="G981" s="263">
        <f t="shared" si="116"/>
        <v>0</v>
      </c>
      <c r="H981" s="65"/>
      <c r="I981" s="275">
        <f t="shared" si="112"/>
        <v>0</v>
      </c>
      <c r="J981" s="161"/>
      <c r="K981" s="30"/>
      <c r="L981" s="30"/>
      <c r="M981" s="30"/>
      <c r="N981" s="30"/>
      <c r="O981" s="71">
        <f t="shared" si="113"/>
        <v>0</v>
      </c>
      <c r="P981" s="1070">
        <f t="shared" si="118"/>
        <v>0</v>
      </c>
      <c r="Q981" s="1071">
        <f t="shared" si="117"/>
        <v>0</v>
      </c>
    </row>
    <row r="982" spans="1:17" x14ac:dyDescent="0.2">
      <c r="A982" s="30"/>
      <c r="B982" s="162"/>
      <c r="C982" s="259"/>
      <c r="D982" s="267"/>
      <c r="E982" s="35"/>
      <c r="F982" s="151"/>
      <c r="G982" s="263">
        <f t="shared" si="116"/>
        <v>0</v>
      </c>
      <c r="H982" s="65"/>
      <c r="I982" s="275">
        <f t="shared" si="112"/>
        <v>0</v>
      </c>
      <c r="J982" s="161"/>
      <c r="K982" s="30"/>
      <c r="L982" s="30"/>
      <c r="M982" s="30"/>
      <c r="N982" s="30"/>
      <c r="O982" s="71">
        <f t="shared" si="113"/>
        <v>0</v>
      </c>
      <c r="P982" s="1070">
        <f t="shared" si="118"/>
        <v>0</v>
      </c>
      <c r="Q982" s="1071">
        <f t="shared" si="117"/>
        <v>0</v>
      </c>
    </row>
    <row r="983" spans="1:17" x14ac:dyDescent="0.2">
      <c r="A983" s="30"/>
      <c r="B983" s="162"/>
      <c r="C983" s="259"/>
      <c r="D983" s="267"/>
      <c r="E983" s="35"/>
      <c r="F983" s="151"/>
      <c r="G983" s="263">
        <f t="shared" si="116"/>
        <v>0</v>
      </c>
      <c r="H983" s="65"/>
      <c r="I983" s="275">
        <f t="shared" si="112"/>
        <v>0</v>
      </c>
      <c r="J983" s="161"/>
      <c r="K983" s="30"/>
      <c r="L983" s="30"/>
      <c r="M983" s="30"/>
      <c r="N983" s="30"/>
      <c r="O983" s="71">
        <f t="shared" si="113"/>
        <v>0</v>
      </c>
      <c r="P983" s="1070">
        <f t="shared" si="118"/>
        <v>0</v>
      </c>
      <c r="Q983" s="1071">
        <f t="shared" si="117"/>
        <v>0</v>
      </c>
    </row>
    <row r="984" spans="1:17" x14ac:dyDescent="0.2">
      <c r="A984" s="30"/>
      <c r="B984" s="162"/>
      <c r="C984" s="259"/>
      <c r="D984" s="267"/>
      <c r="E984" s="35"/>
      <c r="F984" s="151"/>
      <c r="G984" s="263">
        <f t="shared" si="116"/>
        <v>0</v>
      </c>
      <c r="H984" s="65"/>
      <c r="I984" s="275">
        <f t="shared" si="112"/>
        <v>0</v>
      </c>
      <c r="J984" s="161"/>
      <c r="K984" s="30"/>
      <c r="L984" s="30"/>
      <c r="M984" s="30"/>
      <c r="N984" s="30"/>
      <c r="O984" s="71">
        <f t="shared" si="113"/>
        <v>0</v>
      </c>
      <c r="P984" s="1070">
        <f t="shared" si="118"/>
        <v>0</v>
      </c>
      <c r="Q984" s="1071">
        <f t="shared" si="117"/>
        <v>0</v>
      </c>
    </row>
    <row r="985" spans="1:17" x14ac:dyDescent="0.2">
      <c r="A985" s="30"/>
      <c r="B985" s="162"/>
      <c r="C985" s="259"/>
      <c r="D985" s="267"/>
      <c r="E985" s="35"/>
      <c r="F985" s="151"/>
      <c r="G985" s="263">
        <f t="shared" si="116"/>
        <v>0</v>
      </c>
      <c r="H985" s="65"/>
      <c r="I985" s="275">
        <f t="shared" si="112"/>
        <v>0</v>
      </c>
      <c r="J985" s="161"/>
      <c r="K985" s="30"/>
      <c r="L985" s="30"/>
      <c r="M985" s="30"/>
      <c r="N985" s="30"/>
      <c r="O985" s="71">
        <f t="shared" si="113"/>
        <v>0</v>
      </c>
      <c r="P985" s="1070">
        <f t="shared" si="118"/>
        <v>0</v>
      </c>
      <c r="Q985" s="1071">
        <f t="shared" si="117"/>
        <v>0</v>
      </c>
    </row>
    <row r="986" spans="1:17" x14ac:dyDescent="0.2">
      <c r="A986" s="30"/>
      <c r="B986" s="162"/>
      <c r="C986" s="259"/>
      <c r="D986" s="267"/>
      <c r="E986" s="35"/>
      <c r="F986" s="151"/>
      <c r="G986" s="263">
        <f t="shared" si="116"/>
        <v>0</v>
      </c>
      <c r="H986" s="65"/>
      <c r="I986" s="275">
        <f t="shared" si="112"/>
        <v>0</v>
      </c>
      <c r="J986" s="161"/>
      <c r="K986" s="30"/>
      <c r="L986" s="30"/>
      <c r="M986" s="30"/>
      <c r="N986" s="30"/>
      <c r="O986" s="71">
        <f t="shared" si="113"/>
        <v>0</v>
      </c>
      <c r="P986" s="1070">
        <f t="shared" si="118"/>
        <v>0</v>
      </c>
      <c r="Q986" s="1071">
        <f t="shared" si="117"/>
        <v>0</v>
      </c>
    </row>
    <row r="987" spans="1:17" ht="13.5" thickBot="1" x14ac:dyDescent="0.25">
      <c r="A987" s="30"/>
      <c r="B987" s="163"/>
      <c r="C987" s="260"/>
      <c r="D987" s="268"/>
      <c r="E987" s="24"/>
      <c r="F987" s="25"/>
      <c r="G987" s="264">
        <f t="shared" si="116"/>
        <v>0</v>
      </c>
      <c r="H987" s="272"/>
      <c r="I987" s="276">
        <f t="shared" si="112"/>
        <v>0</v>
      </c>
      <c r="J987" s="161"/>
      <c r="K987" s="30"/>
      <c r="L987" s="30"/>
      <c r="M987" s="30"/>
      <c r="N987" s="30"/>
      <c r="O987" s="71">
        <f t="shared" si="113"/>
        <v>0</v>
      </c>
      <c r="P987" s="1070">
        <f t="shared" si="118"/>
        <v>0</v>
      </c>
      <c r="Q987" s="1071">
        <f t="shared" si="117"/>
        <v>0</v>
      </c>
    </row>
    <row r="988" spans="1:17" ht="6.75" customHeight="1" thickBot="1" x14ac:dyDescent="0.25">
      <c r="A988" s="30"/>
      <c r="B988" s="155"/>
      <c r="C988" s="155"/>
      <c r="D988" s="155"/>
      <c r="E988" s="155"/>
      <c r="F988" s="155"/>
      <c r="G988" s="155"/>
      <c r="H988" s="155"/>
      <c r="I988" s="155"/>
      <c r="J988" s="155"/>
      <c r="K988" s="30"/>
      <c r="L988" s="30"/>
      <c r="M988" s="30"/>
      <c r="N988" s="30"/>
      <c r="O988" s="812">
        <f>SUM(O936:O987)</f>
        <v>0</v>
      </c>
      <c r="P988" s="1075">
        <f>SUM(P936:P987)</f>
        <v>0</v>
      </c>
      <c r="Q988" s="813">
        <f>SUM(Q936:Q987)</f>
        <v>0</v>
      </c>
    </row>
    <row r="989" spans="1:17" ht="50.1" customHeight="1" x14ac:dyDescent="0.2">
      <c r="L989" s="30"/>
      <c r="M989" s="30"/>
      <c r="N989" s="30"/>
    </row>
    <row r="990" spans="1:17" ht="18" x14ac:dyDescent="0.2">
      <c r="A990" s="1224" t="str">
        <f>UPPER("Patching Summary Table")</f>
        <v>PATCHING SUMMARY TABLE</v>
      </c>
      <c r="B990" s="1224"/>
      <c r="C990" s="1224"/>
      <c r="D990" s="1224"/>
      <c r="E990" s="1224"/>
      <c r="F990" s="1224"/>
      <c r="G990" s="1224"/>
      <c r="H990" s="1224"/>
      <c r="I990" s="1224"/>
      <c r="J990" s="1224"/>
      <c r="K990" s="30"/>
      <c r="L990" s="30"/>
      <c r="M990" s="30"/>
      <c r="N990" s="30"/>
      <c r="O990" s="30"/>
      <c r="P990" s="30"/>
    </row>
    <row r="991" spans="1:17" ht="8.25" customHeight="1" thickBot="1" x14ac:dyDescent="0.25">
      <c r="A991" s="30"/>
      <c r="B991" s="31"/>
      <c r="C991" s="31"/>
      <c r="D991" s="31"/>
      <c r="E991" s="31"/>
      <c r="F991" s="31"/>
      <c r="G991" s="31"/>
      <c r="H991" s="31"/>
      <c r="I991" s="31"/>
      <c r="J991" s="31"/>
      <c r="K991" s="30"/>
      <c r="O991" s="30"/>
      <c r="P991" s="30"/>
    </row>
    <row r="992" spans="1:17" x14ac:dyDescent="0.2">
      <c r="A992" s="30"/>
      <c r="B992" s="1310" t="s">
        <v>2</v>
      </c>
      <c r="C992" s="1319" t="s">
        <v>3</v>
      </c>
      <c r="D992" s="1310" t="s">
        <v>39</v>
      </c>
      <c r="E992" s="1308" t="s">
        <v>4</v>
      </c>
      <c r="F992" s="1223" t="s">
        <v>535</v>
      </c>
      <c r="G992" s="261" t="s">
        <v>129</v>
      </c>
      <c r="H992" s="269" t="s">
        <v>102</v>
      </c>
      <c r="I992" s="152" t="s">
        <v>209</v>
      </c>
      <c r="J992" s="31"/>
      <c r="K992" s="30"/>
      <c r="L992" s="30"/>
      <c r="M992" s="30"/>
      <c r="N992" s="30"/>
      <c r="O992" s="1159" t="s">
        <v>537</v>
      </c>
      <c r="P992" s="1305"/>
      <c r="Q992" s="1306"/>
    </row>
    <row r="993" spans="1:17" ht="13.5" thickBot="1" x14ac:dyDescent="0.25">
      <c r="A993" s="30"/>
      <c r="B993" s="1285"/>
      <c r="C993" s="1320"/>
      <c r="D993" s="1285"/>
      <c r="E993" s="1227"/>
      <c r="F993" s="1242"/>
      <c r="G993" s="262" t="s">
        <v>100</v>
      </c>
      <c r="H993" s="270" t="s">
        <v>100</v>
      </c>
      <c r="I993" s="273" t="s">
        <v>210</v>
      </c>
      <c r="J993" s="31"/>
      <c r="K993" s="30"/>
      <c r="L993" s="30"/>
      <c r="M993" s="30"/>
      <c r="N993" s="30"/>
      <c r="O993" s="41" t="str">
        <f>$Q$41</f>
        <v>Partial</v>
      </c>
      <c r="P993" s="42" t="str">
        <f>$Q$42</f>
        <v>Full ( HMA)</v>
      </c>
      <c r="Q993" s="43" t="str">
        <f>$Q$43</f>
        <v>Full (Composite)</v>
      </c>
    </row>
    <row r="994" spans="1:17" x14ac:dyDescent="0.2">
      <c r="A994" s="30"/>
      <c r="B994" s="159"/>
      <c r="C994" s="258"/>
      <c r="D994" s="265"/>
      <c r="E994" s="160"/>
      <c r="F994" s="266"/>
      <c r="G994" s="263">
        <f>ABS(C994-B994)</f>
        <v>0</v>
      </c>
      <c r="H994" s="271"/>
      <c r="I994" s="274">
        <f t="shared" ref="I994:I1045" si="119">ROUNDUP((G994*H994)/9,0)</f>
        <v>0</v>
      </c>
      <c r="J994" s="161"/>
      <c r="K994" s="30"/>
      <c r="L994" s="30"/>
      <c r="M994" s="30"/>
      <c r="N994" s="30"/>
      <c r="O994" s="54">
        <f t="shared" ref="O994:O1045" si="120">IF($F994=$Q$41,$I994,0)</f>
        <v>0</v>
      </c>
      <c r="P994" s="1069">
        <f t="shared" ref="P994:P1026" si="121">IF($F994=$Q$42,$I994,0)</f>
        <v>0</v>
      </c>
      <c r="Q994" s="811">
        <f t="shared" ref="Q994:Q1025" si="122">IF($F994=$Q$43,$I994,0)</f>
        <v>0</v>
      </c>
    </row>
    <row r="995" spans="1:17" x14ac:dyDescent="0.2">
      <c r="A995" s="30"/>
      <c r="B995" s="162"/>
      <c r="C995" s="259"/>
      <c r="D995" s="267"/>
      <c r="E995" s="35"/>
      <c r="F995" s="151"/>
      <c r="G995" s="263">
        <f t="shared" ref="G995:G1045" si="123">ABS(C995-B995)</f>
        <v>0</v>
      </c>
      <c r="H995" s="65"/>
      <c r="I995" s="275">
        <f t="shared" si="119"/>
        <v>0</v>
      </c>
      <c r="J995" s="161"/>
      <c r="K995" s="30"/>
      <c r="L995" s="30"/>
      <c r="M995" s="30"/>
      <c r="N995" s="30"/>
      <c r="O995" s="71">
        <f t="shared" si="120"/>
        <v>0</v>
      </c>
      <c r="P995" s="1070">
        <f t="shared" si="121"/>
        <v>0</v>
      </c>
      <c r="Q995" s="1071">
        <f t="shared" si="122"/>
        <v>0</v>
      </c>
    </row>
    <row r="996" spans="1:17" x14ac:dyDescent="0.2">
      <c r="A996" s="30"/>
      <c r="B996" s="162"/>
      <c r="C996" s="259"/>
      <c r="D996" s="267"/>
      <c r="E996" s="35"/>
      <c r="F996" s="151"/>
      <c r="G996" s="263">
        <f t="shared" si="123"/>
        <v>0</v>
      </c>
      <c r="H996" s="65"/>
      <c r="I996" s="275">
        <f t="shared" si="119"/>
        <v>0</v>
      </c>
      <c r="J996" s="161"/>
      <c r="K996" s="30"/>
      <c r="L996" s="30"/>
      <c r="M996" s="30"/>
      <c r="N996" s="30"/>
      <c r="O996" s="71">
        <f t="shared" si="120"/>
        <v>0</v>
      </c>
      <c r="P996" s="1070">
        <f t="shared" si="121"/>
        <v>0</v>
      </c>
      <c r="Q996" s="1071">
        <f t="shared" si="122"/>
        <v>0</v>
      </c>
    </row>
    <row r="997" spans="1:17" x14ac:dyDescent="0.2">
      <c r="A997" s="30"/>
      <c r="B997" s="162"/>
      <c r="C997" s="259"/>
      <c r="D997" s="267"/>
      <c r="E997" s="35"/>
      <c r="F997" s="151"/>
      <c r="G997" s="263">
        <f t="shared" si="123"/>
        <v>0</v>
      </c>
      <c r="H997" s="65"/>
      <c r="I997" s="275">
        <f t="shared" si="119"/>
        <v>0</v>
      </c>
      <c r="J997" s="161"/>
      <c r="K997" s="30"/>
      <c r="L997" s="30"/>
      <c r="M997" s="30"/>
      <c r="N997" s="30"/>
      <c r="O997" s="71">
        <f t="shared" si="120"/>
        <v>0</v>
      </c>
      <c r="P997" s="1070">
        <f t="shared" si="121"/>
        <v>0</v>
      </c>
      <c r="Q997" s="1071">
        <f t="shared" si="122"/>
        <v>0</v>
      </c>
    </row>
    <row r="998" spans="1:17" x14ac:dyDescent="0.2">
      <c r="A998" s="30"/>
      <c r="B998" s="162"/>
      <c r="C998" s="259"/>
      <c r="D998" s="267"/>
      <c r="E998" s="35"/>
      <c r="F998" s="151"/>
      <c r="G998" s="263">
        <f t="shared" si="123"/>
        <v>0</v>
      </c>
      <c r="H998" s="65"/>
      <c r="I998" s="275">
        <f t="shared" si="119"/>
        <v>0</v>
      </c>
      <c r="J998" s="161"/>
      <c r="K998" s="30"/>
      <c r="L998" s="30"/>
      <c r="M998" s="30"/>
      <c r="N998" s="30"/>
      <c r="O998" s="71">
        <f t="shared" si="120"/>
        <v>0</v>
      </c>
      <c r="P998" s="1070">
        <f t="shared" si="121"/>
        <v>0</v>
      </c>
      <c r="Q998" s="1071">
        <f t="shared" si="122"/>
        <v>0</v>
      </c>
    </row>
    <row r="999" spans="1:17" x14ac:dyDescent="0.2">
      <c r="A999" s="30"/>
      <c r="B999" s="162"/>
      <c r="C999" s="259"/>
      <c r="D999" s="267"/>
      <c r="E999" s="35"/>
      <c r="F999" s="151"/>
      <c r="G999" s="263">
        <f t="shared" si="123"/>
        <v>0</v>
      </c>
      <c r="H999" s="65"/>
      <c r="I999" s="275">
        <f t="shared" si="119"/>
        <v>0</v>
      </c>
      <c r="J999" s="161"/>
      <c r="K999" s="30"/>
      <c r="L999" s="30"/>
      <c r="M999" s="30"/>
      <c r="N999" s="30"/>
      <c r="O999" s="71">
        <f t="shared" si="120"/>
        <v>0</v>
      </c>
      <c r="P999" s="1070">
        <f t="shared" si="121"/>
        <v>0</v>
      </c>
      <c r="Q999" s="1071">
        <f t="shared" si="122"/>
        <v>0</v>
      </c>
    </row>
    <row r="1000" spans="1:17" x14ac:dyDescent="0.2">
      <c r="A1000" s="30"/>
      <c r="B1000" s="162"/>
      <c r="C1000" s="259"/>
      <c r="D1000" s="267"/>
      <c r="E1000" s="35"/>
      <c r="F1000" s="151"/>
      <c r="G1000" s="263">
        <f t="shared" si="123"/>
        <v>0</v>
      </c>
      <c r="H1000" s="65"/>
      <c r="I1000" s="275">
        <f t="shared" si="119"/>
        <v>0</v>
      </c>
      <c r="J1000" s="161"/>
      <c r="K1000" s="30"/>
      <c r="L1000" s="30"/>
      <c r="M1000" s="30"/>
      <c r="N1000" s="30"/>
      <c r="O1000" s="71">
        <f t="shared" si="120"/>
        <v>0</v>
      </c>
      <c r="P1000" s="1070">
        <f t="shared" si="121"/>
        <v>0</v>
      </c>
      <c r="Q1000" s="1071">
        <f t="shared" si="122"/>
        <v>0</v>
      </c>
    </row>
    <row r="1001" spans="1:17" x14ac:dyDescent="0.2">
      <c r="A1001" s="30"/>
      <c r="B1001" s="162"/>
      <c r="C1001" s="259"/>
      <c r="D1001" s="267"/>
      <c r="E1001" s="35"/>
      <c r="F1001" s="151"/>
      <c r="G1001" s="263">
        <f t="shared" si="123"/>
        <v>0</v>
      </c>
      <c r="H1001" s="65"/>
      <c r="I1001" s="275">
        <f t="shared" si="119"/>
        <v>0</v>
      </c>
      <c r="J1001" s="161"/>
      <c r="K1001" s="30"/>
      <c r="L1001" s="30"/>
      <c r="M1001" s="30"/>
      <c r="N1001" s="30"/>
      <c r="O1001" s="71">
        <f t="shared" si="120"/>
        <v>0</v>
      </c>
      <c r="P1001" s="1070">
        <f t="shared" si="121"/>
        <v>0</v>
      </c>
      <c r="Q1001" s="1071">
        <f t="shared" si="122"/>
        <v>0</v>
      </c>
    </row>
    <row r="1002" spans="1:17" x14ac:dyDescent="0.2">
      <c r="A1002" s="30"/>
      <c r="B1002" s="162"/>
      <c r="C1002" s="259"/>
      <c r="D1002" s="267"/>
      <c r="E1002" s="35"/>
      <c r="F1002" s="151"/>
      <c r="G1002" s="263">
        <f t="shared" si="123"/>
        <v>0</v>
      </c>
      <c r="H1002" s="65"/>
      <c r="I1002" s="275">
        <f t="shared" si="119"/>
        <v>0</v>
      </c>
      <c r="J1002" s="161"/>
      <c r="K1002" s="30"/>
      <c r="L1002" s="30"/>
      <c r="M1002" s="30"/>
      <c r="N1002" s="30"/>
      <c r="O1002" s="71">
        <f t="shared" si="120"/>
        <v>0</v>
      </c>
      <c r="P1002" s="1070">
        <f t="shared" si="121"/>
        <v>0</v>
      </c>
      <c r="Q1002" s="1071">
        <f t="shared" si="122"/>
        <v>0</v>
      </c>
    </row>
    <row r="1003" spans="1:17" x14ac:dyDescent="0.2">
      <c r="A1003" s="30"/>
      <c r="B1003" s="162"/>
      <c r="C1003" s="259"/>
      <c r="D1003" s="267"/>
      <c r="E1003" s="35"/>
      <c r="F1003" s="151"/>
      <c r="G1003" s="263">
        <f t="shared" si="123"/>
        <v>0</v>
      </c>
      <c r="H1003" s="65"/>
      <c r="I1003" s="275">
        <f t="shared" si="119"/>
        <v>0</v>
      </c>
      <c r="J1003" s="161"/>
      <c r="K1003" s="30"/>
      <c r="L1003" s="30"/>
      <c r="M1003" s="30"/>
      <c r="N1003" s="30"/>
      <c r="O1003" s="71">
        <f t="shared" si="120"/>
        <v>0</v>
      </c>
      <c r="P1003" s="1070">
        <f t="shared" si="121"/>
        <v>0</v>
      </c>
      <c r="Q1003" s="1071">
        <f t="shared" si="122"/>
        <v>0</v>
      </c>
    </row>
    <row r="1004" spans="1:17" x14ac:dyDescent="0.2">
      <c r="A1004" s="30"/>
      <c r="B1004" s="162"/>
      <c r="C1004" s="259"/>
      <c r="D1004" s="267"/>
      <c r="E1004" s="35"/>
      <c r="F1004" s="151"/>
      <c r="G1004" s="263">
        <f t="shared" si="123"/>
        <v>0</v>
      </c>
      <c r="H1004" s="65"/>
      <c r="I1004" s="275">
        <f t="shared" si="119"/>
        <v>0</v>
      </c>
      <c r="J1004" s="161"/>
      <c r="K1004" s="30"/>
      <c r="L1004" s="30"/>
      <c r="M1004" s="30"/>
      <c r="N1004" s="30"/>
      <c r="O1004" s="71">
        <f t="shared" si="120"/>
        <v>0</v>
      </c>
      <c r="P1004" s="1070">
        <f t="shared" si="121"/>
        <v>0</v>
      </c>
      <c r="Q1004" s="1071">
        <f t="shared" si="122"/>
        <v>0</v>
      </c>
    </row>
    <row r="1005" spans="1:17" x14ac:dyDescent="0.2">
      <c r="A1005" s="30"/>
      <c r="B1005" s="162"/>
      <c r="C1005" s="259"/>
      <c r="D1005" s="267"/>
      <c r="E1005" s="35"/>
      <c r="F1005" s="151"/>
      <c r="G1005" s="263">
        <f t="shared" si="123"/>
        <v>0</v>
      </c>
      <c r="H1005" s="65"/>
      <c r="I1005" s="275">
        <f t="shared" si="119"/>
        <v>0</v>
      </c>
      <c r="J1005" s="161"/>
      <c r="K1005" s="30"/>
      <c r="L1005" s="30"/>
      <c r="M1005" s="30"/>
      <c r="N1005" s="30"/>
      <c r="O1005" s="71">
        <f t="shared" si="120"/>
        <v>0</v>
      </c>
      <c r="P1005" s="1070">
        <f t="shared" si="121"/>
        <v>0</v>
      </c>
      <c r="Q1005" s="1071">
        <f t="shared" si="122"/>
        <v>0</v>
      </c>
    </row>
    <row r="1006" spans="1:17" x14ac:dyDescent="0.2">
      <c r="A1006" s="30"/>
      <c r="B1006" s="162"/>
      <c r="C1006" s="259"/>
      <c r="D1006" s="267"/>
      <c r="E1006" s="35"/>
      <c r="F1006" s="151"/>
      <c r="G1006" s="263">
        <f t="shared" si="123"/>
        <v>0</v>
      </c>
      <c r="H1006" s="65"/>
      <c r="I1006" s="275">
        <f t="shared" si="119"/>
        <v>0</v>
      </c>
      <c r="J1006" s="161"/>
      <c r="K1006" s="30"/>
      <c r="L1006" s="30"/>
      <c r="M1006" s="30"/>
      <c r="N1006" s="30"/>
      <c r="O1006" s="71">
        <f t="shared" si="120"/>
        <v>0</v>
      </c>
      <c r="P1006" s="1070">
        <f t="shared" si="121"/>
        <v>0</v>
      </c>
      <c r="Q1006" s="1071">
        <f t="shared" si="122"/>
        <v>0</v>
      </c>
    </row>
    <row r="1007" spans="1:17" x14ac:dyDescent="0.2">
      <c r="A1007" s="30"/>
      <c r="B1007" s="162"/>
      <c r="C1007" s="259"/>
      <c r="D1007" s="267"/>
      <c r="E1007" s="35"/>
      <c r="F1007" s="151"/>
      <c r="G1007" s="263">
        <f t="shared" si="123"/>
        <v>0</v>
      </c>
      <c r="H1007" s="65"/>
      <c r="I1007" s="275">
        <f t="shared" si="119"/>
        <v>0</v>
      </c>
      <c r="J1007" s="161"/>
      <c r="K1007" s="30"/>
      <c r="L1007" s="30"/>
      <c r="M1007" s="30"/>
      <c r="N1007" s="30"/>
      <c r="O1007" s="71">
        <f t="shared" si="120"/>
        <v>0</v>
      </c>
      <c r="P1007" s="1070">
        <f t="shared" si="121"/>
        <v>0</v>
      </c>
      <c r="Q1007" s="1071">
        <f t="shared" si="122"/>
        <v>0</v>
      </c>
    </row>
    <row r="1008" spans="1:17" x14ac:dyDescent="0.2">
      <c r="A1008" s="30"/>
      <c r="B1008" s="162"/>
      <c r="C1008" s="259"/>
      <c r="D1008" s="267"/>
      <c r="E1008" s="35"/>
      <c r="F1008" s="151"/>
      <c r="G1008" s="263">
        <f t="shared" si="123"/>
        <v>0</v>
      </c>
      <c r="H1008" s="65"/>
      <c r="I1008" s="275">
        <f t="shared" si="119"/>
        <v>0</v>
      </c>
      <c r="J1008" s="161"/>
      <c r="K1008" s="30"/>
      <c r="L1008" s="30"/>
      <c r="M1008" s="30"/>
      <c r="N1008" s="30"/>
      <c r="O1008" s="71">
        <f t="shared" si="120"/>
        <v>0</v>
      </c>
      <c r="P1008" s="1070">
        <f t="shared" si="121"/>
        <v>0</v>
      </c>
      <c r="Q1008" s="1071">
        <f t="shared" si="122"/>
        <v>0</v>
      </c>
    </row>
    <row r="1009" spans="1:17" x14ac:dyDescent="0.2">
      <c r="A1009" s="30"/>
      <c r="B1009" s="162"/>
      <c r="C1009" s="259"/>
      <c r="D1009" s="267"/>
      <c r="E1009" s="35"/>
      <c r="F1009" s="151"/>
      <c r="G1009" s="263">
        <f t="shared" si="123"/>
        <v>0</v>
      </c>
      <c r="H1009" s="65"/>
      <c r="I1009" s="275">
        <f t="shared" si="119"/>
        <v>0</v>
      </c>
      <c r="J1009" s="161"/>
      <c r="K1009" s="30"/>
      <c r="L1009" s="30"/>
      <c r="M1009" s="30"/>
      <c r="N1009" s="30"/>
      <c r="O1009" s="71">
        <f t="shared" si="120"/>
        <v>0</v>
      </c>
      <c r="P1009" s="1070">
        <f t="shared" si="121"/>
        <v>0</v>
      </c>
      <c r="Q1009" s="1071">
        <f t="shared" si="122"/>
        <v>0</v>
      </c>
    </row>
    <row r="1010" spans="1:17" x14ac:dyDescent="0.2">
      <c r="A1010" s="30"/>
      <c r="B1010" s="162"/>
      <c r="C1010" s="259"/>
      <c r="D1010" s="267"/>
      <c r="E1010" s="35"/>
      <c r="F1010" s="151"/>
      <c r="G1010" s="263">
        <f t="shared" si="123"/>
        <v>0</v>
      </c>
      <c r="H1010" s="65"/>
      <c r="I1010" s="275">
        <f t="shared" si="119"/>
        <v>0</v>
      </c>
      <c r="J1010" s="161"/>
      <c r="K1010" s="30"/>
      <c r="L1010" s="30"/>
      <c r="M1010" s="30"/>
      <c r="N1010" s="30"/>
      <c r="O1010" s="71">
        <f t="shared" si="120"/>
        <v>0</v>
      </c>
      <c r="P1010" s="1070">
        <f t="shared" si="121"/>
        <v>0</v>
      </c>
      <c r="Q1010" s="1071">
        <f t="shared" si="122"/>
        <v>0</v>
      </c>
    </row>
    <row r="1011" spans="1:17" x14ac:dyDescent="0.2">
      <c r="A1011" s="30"/>
      <c r="B1011" s="162"/>
      <c r="C1011" s="259"/>
      <c r="D1011" s="267"/>
      <c r="E1011" s="35"/>
      <c r="F1011" s="151"/>
      <c r="G1011" s="263">
        <f t="shared" si="123"/>
        <v>0</v>
      </c>
      <c r="H1011" s="65"/>
      <c r="I1011" s="275">
        <f t="shared" si="119"/>
        <v>0</v>
      </c>
      <c r="J1011" s="161"/>
      <c r="K1011" s="30"/>
      <c r="L1011" s="30"/>
      <c r="M1011" s="30"/>
      <c r="N1011" s="30"/>
      <c r="O1011" s="71">
        <f t="shared" si="120"/>
        <v>0</v>
      </c>
      <c r="P1011" s="1070">
        <f t="shared" si="121"/>
        <v>0</v>
      </c>
      <c r="Q1011" s="1071">
        <f t="shared" si="122"/>
        <v>0</v>
      </c>
    </row>
    <row r="1012" spans="1:17" x14ac:dyDescent="0.2">
      <c r="A1012" s="30"/>
      <c r="B1012" s="162"/>
      <c r="C1012" s="259"/>
      <c r="D1012" s="267"/>
      <c r="E1012" s="35"/>
      <c r="F1012" s="151"/>
      <c r="G1012" s="263">
        <f t="shared" si="123"/>
        <v>0</v>
      </c>
      <c r="H1012" s="65"/>
      <c r="I1012" s="275">
        <f t="shared" si="119"/>
        <v>0</v>
      </c>
      <c r="J1012" s="161"/>
      <c r="K1012" s="30"/>
      <c r="L1012" s="30"/>
      <c r="M1012" s="30"/>
      <c r="N1012" s="30"/>
      <c r="O1012" s="71">
        <f t="shared" si="120"/>
        <v>0</v>
      </c>
      <c r="P1012" s="1070">
        <f t="shared" si="121"/>
        <v>0</v>
      </c>
      <c r="Q1012" s="1071">
        <f t="shared" si="122"/>
        <v>0</v>
      </c>
    </row>
    <row r="1013" spans="1:17" x14ac:dyDescent="0.2">
      <c r="A1013" s="30"/>
      <c r="B1013" s="162"/>
      <c r="C1013" s="259"/>
      <c r="D1013" s="267"/>
      <c r="E1013" s="35"/>
      <c r="F1013" s="151"/>
      <c r="G1013" s="263">
        <f t="shared" si="123"/>
        <v>0</v>
      </c>
      <c r="H1013" s="65"/>
      <c r="I1013" s="275">
        <f t="shared" si="119"/>
        <v>0</v>
      </c>
      <c r="J1013" s="161"/>
      <c r="K1013" s="30"/>
      <c r="L1013" s="30"/>
      <c r="M1013" s="30"/>
      <c r="N1013" s="30"/>
      <c r="O1013" s="71">
        <f t="shared" si="120"/>
        <v>0</v>
      </c>
      <c r="P1013" s="1070">
        <f t="shared" si="121"/>
        <v>0</v>
      </c>
      <c r="Q1013" s="1071">
        <f t="shared" si="122"/>
        <v>0</v>
      </c>
    </row>
    <row r="1014" spans="1:17" x14ac:dyDescent="0.2">
      <c r="A1014" s="30"/>
      <c r="B1014" s="162"/>
      <c r="C1014" s="259"/>
      <c r="D1014" s="267"/>
      <c r="E1014" s="35"/>
      <c r="F1014" s="151"/>
      <c r="G1014" s="263">
        <f t="shared" si="123"/>
        <v>0</v>
      </c>
      <c r="H1014" s="65"/>
      <c r="I1014" s="275">
        <f t="shared" si="119"/>
        <v>0</v>
      </c>
      <c r="J1014" s="161"/>
      <c r="K1014" s="30"/>
      <c r="L1014" s="30"/>
      <c r="M1014" s="30"/>
      <c r="N1014" s="30"/>
      <c r="O1014" s="71">
        <f t="shared" si="120"/>
        <v>0</v>
      </c>
      <c r="P1014" s="1070">
        <f t="shared" si="121"/>
        <v>0</v>
      </c>
      <c r="Q1014" s="1071">
        <f t="shared" si="122"/>
        <v>0</v>
      </c>
    </row>
    <row r="1015" spans="1:17" x14ac:dyDescent="0.2">
      <c r="A1015" s="30"/>
      <c r="B1015" s="162"/>
      <c r="C1015" s="259"/>
      <c r="D1015" s="267"/>
      <c r="E1015" s="35"/>
      <c r="F1015" s="151"/>
      <c r="G1015" s="263">
        <f t="shared" si="123"/>
        <v>0</v>
      </c>
      <c r="H1015" s="65"/>
      <c r="I1015" s="275">
        <f t="shared" si="119"/>
        <v>0</v>
      </c>
      <c r="J1015" s="161"/>
      <c r="K1015" s="30"/>
      <c r="L1015" s="30"/>
      <c r="M1015" s="30"/>
      <c r="N1015" s="30"/>
      <c r="O1015" s="71">
        <f t="shared" si="120"/>
        <v>0</v>
      </c>
      <c r="P1015" s="1070">
        <f t="shared" si="121"/>
        <v>0</v>
      </c>
      <c r="Q1015" s="1071">
        <f t="shared" si="122"/>
        <v>0</v>
      </c>
    </row>
    <row r="1016" spans="1:17" x14ac:dyDescent="0.2">
      <c r="A1016" s="30"/>
      <c r="B1016" s="162"/>
      <c r="C1016" s="259"/>
      <c r="D1016" s="267"/>
      <c r="E1016" s="35"/>
      <c r="F1016" s="151"/>
      <c r="G1016" s="263">
        <f t="shared" si="123"/>
        <v>0</v>
      </c>
      <c r="H1016" s="65"/>
      <c r="I1016" s="275">
        <f t="shared" si="119"/>
        <v>0</v>
      </c>
      <c r="J1016" s="161"/>
      <c r="K1016" s="30"/>
      <c r="L1016" s="30"/>
      <c r="M1016" s="30"/>
      <c r="N1016" s="30"/>
      <c r="O1016" s="71">
        <f t="shared" si="120"/>
        <v>0</v>
      </c>
      <c r="P1016" s="1070">
        <f t="shared" si="121"/>
        <v>0</v>
      </c>
      <c r="Q1016" s="1071">
        <f t="shared" si="122"/>
        <v>0</v>
      </c>
    </row>
    <row r="1017" spans="1:17" x14ac:dyDescent="0.2">
      <c r="A1017" s="30"/>
      <c r="B1017" s="162"/>
      <c r="C1017" s="259"/>
      <c r="D1017" s="267"/>
      <c r="E1017" s="35"/>
      <c r="F1017" s="151"/>
      <c r="G1017" s="263">
        <f t="shared" si="123"/>
        <v>0</v>
      </c>
      <c r="H1017" s="65"/>
      <c r="I1017" s="275">
        <f t="shared" si="119"/>
        <v>0</v>
      </c>
      <c r="J1017" s="161"/>
      <c r="K1017" s="30"/>
      <c r="L1017" s="30"/>
      <c r="M1017" s="30"/>
      <c r="N1017" s="30"/>
      <c r="O1017" s="71">
        <f t="shared" si="120"/>
        <v>0</v>
      </c>
      <c r="P1017" s="1070">
        <f t="shared" si="121"/>
        <v>0</v>
      </c>
      <c r="Q1017" s="1071">
        <f t="shared" si="122"/>
        <v>0</v>
      </c>
    </row>
    <row r="1018" spans="1:17" x14ac:dyDescent="0.2">
      <c r="A1018" s="30"/>
      <c r="B1018" s="162"/>
      <c r="C1018" s="259"/>
      <c r="D1018" s="267"/>
      <c r="E1018" s="35"/>
      <c r="F1018" s="151"/>
      <c r="G1018" s="263">
        <f t="shared" si="123"/>
        <v>0</v>
      </c>
      <c r="H1018" s="65"/>
      <c r="I1018" s="275">
        <f t="shared" si="119"/>
        <v>0</v>
      </c>
      <c r="J1018" s="161"/>
      <c r="K1018" s="30"/>
      <c r="L1018" s="30"/>
      <c r="M1018" s="30"/>
      <c r="N1018" s="30"/>
      <c r="O1018" s="71">
        <f t="shared" si="120"/>
        <v>0</v>
      </c>
      <c r="P1018" s="1070">
        <f t="shared" si="121"/>
        <v>0</v>
      </c>
      <c r="Q1018" s="1071">
        <f t="shared" si="122"/>
        <v>0</v>
      </c>
    </row>
    <row r="1019" spans="1:17" x14ac:dyDescent="0.2">
      <c r="A1019" s="30"/>
      <c r="B1019" s="162"/>
      <c r="C1019" s="259"/>
      <c r="D1019" s="267"/>
      <c r="E1019" s="35"/>
      <c r="F1019" s="151"/>
      <c r="G1019" s="263">
        <f t="shared" si="123"/>
        <v>0</v>
      </c>
      <c r="H1019" s="65"/>
      <c r="I1019" s="275">
        <f t="shared" si="119"/>
        <v>0</v>
      </c>
      <c r="J1019" s="161"/>
      <c r="K1019" s="30"/>
      <c r="L1019" s="30"/>
      <c r="M1019" s="30"/>
      <c r="N1019" s="30"/>
      <c r="O1019" s="71">
        <f t="shared" si="120"/>
        <v>0</v>
      </c>
      <c r="P1019" s="1070">
        <f t="shared" si="121"/>
        <v>0</v>
      </c>
      <c r="Q1019" s="1071">
        <f t="shared" si="122"/>
        <v>0</v>
      </c>
    </row>
    <row r="1020" spans="1:17" x14ac:dyDescent="0.2">
      <c r="A1020" s="30"/>
      <c r="B1020" s="162"/>
      <c r="C1020" s="259"/>
      <c r="D1020" s="267"/>
      <c r="E1020" s="35"/>
      <c r="F1020" s="151"/>
      <c r="G1020" s="263">
        <f t="shared" si="123"/>
        <v>0</v>
      </c>
      <c r="H1020" s="65"/>
      <c r="I1020" s="275">
        <f t="shared" si="119"/>
        <v>0</v>
      </c>
      <c r="J1020" s="161"/>
      <c r="K1020" s="30"/>
      <c r="L1020" s="30"/>
      <c r="M1020" s="30"/>
      <c r="N1020" s="30"/>
      <c r="O1020" s="71">
        <f t="shared" si="120"/>
        <v>0</v>
      </c>
      <c r="P1020" s="1070">
        <f t="shared" si="121"/>
        <v>0</v>
      </c>
      <c r="Q1020" s="1071">
        <f t="shared" si="122"/>
        <v>0</v>
      </c>
    </row>
    <row r="1021" spans="1:17" x14ac:dyDescent="0.2">
      <c r="A1021" s="30"/>
      <c r="B1021" s="162"/>
      <c r="C1021" s="259"/>
      <c r="D1021" s="267"/>
      <c r="E1021" s="35"/>
      <c r="F1021" s="151"/>
      <c r="G1021" s="263">
        <f t="shared" si="123"/>
        <v>0</v>
      </c>
      <c r="H1021" s="65"/>
      <c r="I1021" s="275">
        <f t="shared" si="119"/>
        <v>0</v>
      </c>
      <c r="J1021" s="161"/>
      <c r="K1021" s="30"/>
      <c r="L1021" s="30"/>
      <c r="M1021" s="30"/>
      <c r="N1021" s="30"/>
      <c r="O1021" s="71">
        <f t="shared" si="120"/>
        <v>0</v>
      </c>
      <c r="P1021" s="1070">
        <f t="shared" si="121"/>
        <v>0</v>
      </c>
      <c r="Q1021" s="1071">
        <f t="shared" si="122"/>
        <v>0</v>
      </c>
    </row>
    <row r="1022" spans="1:17" x14ac:dyDescent="0.2">
      <c r="A1022" s="30"/>
      <c r="B1022" s="162"/>
      <c r="C1022" s="259"/>
      <c r="D1022" s="267"/>
      <c r="E1022" s="35"/>
      <c r="F1022" s="151"/>
      <c r="G1022" s="263">
        <f t="shared" si="123"/>
        <v>0</v>
      </c>
      <c r="H1022" s="65"/>
      <c r="I1022" s="275">
        <f t="shared" si="119"/>
        <v>0</v>
      </c>
      <c r="J1022" s="161"/>
      <c r="K1022" s="30"/>
      <c r="L1022" s="30"/>
      <c r="M1022" s="30"/>
      <c r="N1022" s="30"/>
      <c r="O1022" s="71">
        <f t="shared" si="120"/>
        <v>0</v>
      </c>
      <c r="P1022" s="1070">
        <f t="shared" si="121"/>
        <v>0</v>
      </c>
      <c r="Q1022" s="1071">
        <f t="shared" si="122"/>
        <v>0</v>
      </c>
    </row>
    <row r="1023" spans="1:17" x14ac:dyDescent="0.2">
      <c r="A1023" s="30"/>
      <c r="B1023" s="162"/>
      <c r="C1023" s="259"/>
      <c r="D1023" s="267"/>
      <c r="E1023" s="35"/>
      <c r="F1023" s="151"/>
      <c r="G1023" s="263">
        <f t="shared" si="123"/>
        <v>0</v>
      </c>
      <c r="H1023" s="65"/>
      <c r="I1023" s="275">
        <f t="shared" si="119"/>
        <v>0</v>
      </c>
      <c r="J1023" s="161"/>
      <c r="K1023" s="30"/>
      <c r="L1023" s="30"/>
      <c r="M1023" s="30"/>
      <c r="N1023" s="30"/>
      <c r="O1023" s="71">
        <f t="shared" si="120"/>
        <v>0</v>
      </c>
      <c r="P1023" s="1070">
        <f t="shared" si="121"/>
        <v>0</v>
      </c>
      <c r="Q1023" s="1071">
        <f t="shared" si="122"/>
        <v>0</v>
      </c>
    </row>
    <row r="1024" spans="1:17" x14ac:dyDescent="0.2">
      <c r="A1024" s="30"/>
      <c r="B1024" s="162"/>
      <c r="C1024" s="259"/>
      <c r="D1024" s="267"/>
      <c r="E1024" s="35"/>
      <c r="F1024" s="151"/>
      <c r="G1024" s="263">
        <f t="shared" si="123"/>
        <v>0</v>
      </c>
      <c r="H1024" s="65"/>
      <c r="I1024" s="275">
        <f t="shared" si="119"/>
        <v>0</v>
      </c>
      <c r="J1024" s="161"/>
      <c r="K1024" s="30"/>
      <c r="L1024" s="30"/>
      <c r="M1024" s="30"/>
      <c r="N1024" s="30"/>
      <c r="O1024" s="71">
        <f t="shared" si="120"/>
        <v>0</v>
      </c>
      <c r="P1024" s="1070">
        <f t="shared" si="121"/>
        <v>0</v>
      </c>
      <c r="Q1024" s="1071">
        <f t="shared" si="122"/>
        <v>0</v>
      </c>
    </row>
    <row r="1025" spans="1:17" x14ac:dyDescent="0.2">
      <c r="A1025" s="30"/>
      <c r="B1025" s="162"/>
      <c r="C1025" s="259"/>
      <c r="D1025" s="267"/>
      <c r="E1025" s="35"/>
      <c r="F1025" s="151"/>
      <c r="G1025" s="263">
        <f t="shared" si="123"/>
        <v>0</v>
      </c>
      <c r="H1025" s="65"/>
      <c r="I1025" s="275">
        <f t="shared" si="119"/>
        <v>0</v>
      </c>
      <c r="J1025" s="161"/>
      <c r="K1025" s="30"/>
      <c r="L1025" s="30"/>
      <c r="M1025" s="30"/>
      <c r="N1025" s="30"/>
      <c r="O1025" s="71">
        <f t="shared" si="120"/>
        <v>0</v>
      </c>
      <c r="P1025" s="1070">
        <f t="shared" si="121"/>
        <v>0</v>
      </c>
      <c r="Q1025" s="1071">
        <f t="shared" si="122"/>
        <v>0</v>
      </c>
    </row>
    <row r="1026" spans="1:17" x14ac:dyDescent="0.2">
      <c r="A1026" s="30"/>
      <c r="B1026" s="162"/>
      <c r="C1026" s="259"/>
      <c r="D1026" s="267"/>
      <c r="E1026" s="35"/>
      <c r="F1026" s="151"/>
      <c r="G1026" s="263">
        <f t="shared" si="123"/>
        <v>0</v>
      </c>
      <c r="H1026" s="65"/>
      <c r="I1026" s="275">
        <f t="shared" si="119"/>
        <v>0</v>
      </c>
      <c r="J1026" s="161"/>
      <c r="K1026" s="30"/>
      <c r="L1026" s="30"/>
      <c r="M1026" s="30"/>
      <c r="N1026" s="30"/>
      <c r="O1026" s="71">
        <f t="shared" si="120"/>
        <v>0</v>
      </c>
      <c r="P1026" s="1070">
        <f t="shared" si="121"/>
        <v>0</v>
      </c>
      <c r="Q1026" s="1071">
        <f t="shared" ref="Q1026:Q1045" si="124">IF($F1026=$Q$43,$I1026,0)</f>
        <v>0</v>
      </c>
    </row>
    <row r="1027" spans="1:17" x14ac:dyDescent="0.2">
      <c r="A1027" s="30"/>
      <c r="B1027" s="162"/>
      <c r="C1027" s="259"/>
      <c r="D1027" s="267"/>
      <c r="E1027" s="35"/>
      <c r="F1027" s="151"/>
      <c r="G1027" s="263">
        <f t="shared" si="123"/>
        <v>0</v>
      </c>
      <c r="H1027" s="65"/>
      <c r="I1027" s="275">
        <f t="shared" si="119"/>
        <v>0</v>
      </c>
      <c r="J1027" s="161"/>
      <c r="K1027" s="30"/>
      <c r="L1027" s="30"/>
      <c r="M1027" s="30"/>
      <c r="N1027" s="30"/>
      <c r="O1027" s="71">
        <f t="shared" si="120"/>
        <v>0</v>
      </c>
      <c r="P1027" s="1070">
        <f t="shared" ref="P1027:P1045" si="125">IF($F1027=$Q$42,$I1027,0)</f>
        <v>0</v>
      </c>
      <c r="Q1027" s="1071">
        <f t="shared" si="124"/>
        <v>0</v>
      </c>
    </row>
    <row r="1028" spans="1:17" x14ac:dyDescent="0.2">
      <c r="A1028" s="30"/>
      <c r="B1028" s="162"/>
      <c r="C1028" s="259"/>
      <c r="D1028" s="267"/>
      <c r="E1028" s="35"/>
      <c r="F1028" s="151"/>
      <c r="G1028" s="263">
        <f t="shared" si="123"/>
        <v>0</v>
      </c>
      <c r="H1028" s="65"/>
      <c r="I1028" s="275">
        <f t="shared" si="119"/>
        <v>0</v>
      </c>
      <c r="J1028" s="161"/>
      <c r="K1028" s="30"/>
      <c r="L1028" s="30"/>
      <c r="M1028" s="30"/>
      <c r="N1028" s="30"/>
      <c r="O1028" s="71">
        <f t="shared" si="120"/>
        <v>0</v>
      </c>
      <c r="P1028" s="1070">
        <f t="shared" si="125"/>
        <v>0</v>
      </c>
      <c r="Q1028" s="1071">
        <f t="shared" si="124"/>
        <v>0</v>
      </c>
    </row>
    <row r="1029" spans="1:17" x14ac:dyDescent="0.2">
      <c r="A1029" s="30"/>
      <c r="B1029" s="162"/>
      <c r="C1029" s="259"/>
      <c r="D1029" s="267"/>
      <c r="E1029" s="35"/>
      <c r="F1029" s="151"/>
      <c r="G1029" s="263">
        <f t="shared" si="123"/>
        <v>0</v>
      </c>
      <c r="H1029" s="65"/>
      <c r="I1029" s="275">
        <f t="shared" si="119"/>
        <v>0</v>
      </c>
      <c r="J1029" s="161"/>
      <c r="K1029" s="30"/>
      <c r="L1029" s="30"/>
      <c r="M1029" s="30"/>
      <c r="N1029" s="30"/>
      <c r="O1029" s="71">
        <f t="shared" si="120"/>
        <v>0</v>
      </c>
      <c r="P1029" s="1070">
        <f t="shared" si="125"/>
        <v>0</v>
      </c>
      <c r="Q1029" s="1071">
        <f t="shared" si="124"/>
        <v>0</v>
      </c>
    </row>
    <row r="1030" spans="1:17" x14ac:dyDescent="0.2">
      <c r="A1030" s="30"/>
      <c r="B1030" s="162"/>
      <c r="C1030" s="259"/>
      <c r="D1030" s="267"/>
      <c r="E1030" s="35"/>
      <c r="F1030" s="151"/>
      <c r="G1030" s="263">
        <f t="shared" si="123"/>
        <v>0</v>
      </c>
      <c r="H1030" s="65"/>
      <c r="I1030" s="275">
        <f t="shared" si="119"/>
        <v>0</v>
      </c>
      <c r="J1030" s="161"/>
      <c r="K1030" s="30"/>
      <c r="L1030" s="30"/>
      <c r="M1030" s="30"/>
      <c r="N1030" s="30"/>
      <c r="O1030" s="71">
        <f t="shared" si="120"/>
        <v>0</v>
      </c>
      <c r="P1030" s="1070">
        <f t="shared" si="125"/>
        <v>0</v>
      </c>
      <c r="Q1030" s="1071">
        <f t="shared" si="124"/>
        <v>0</v>
      </c>
    </row>
    <row r="1031" spans="1:17" x14ac:dyDescent="0.2">
      <c r="A1031" s="30"/>
      <c r="B1031" s="162"/>
      <c r="C1031" s="259"/>
      <c r="D1031" s="267"/>
      <c r="E1031" s="35"/>
      <c r="F1031" s="151"/>
      <c r="G1031" s="263">
        <f t="shared" si="123"/>
        <v>0</v>
      </c>
      <c r="H1031" s="65"/>
      <c r="I1031" s="275">
        <f t="shared" si="119"/>
        <v>0</v>
      </c>
      <c r="J1031" s="161"/>
      <c r="K1031" s="30"/>
      <c r="L1031" s="30"/>
      <c r="M1031" s="30"/>
      <c r="N1031" s="30"/>
      <c r="O1031" s="71">
        <f t="shared" si="120"/>
        <v>0</v>
      </c>
      <c r="P1031" s="1070">
        <f t="shared" si="125"/>
        <v>0</v>
      </c>
      <c r="Q1031" s="1071">
        <f t="shared" si="124"/>
        <v>0</v>
      </c>
    </row>
    <row r="1032" spans="1:17" x14ac:dyDescent="0.2">
      <c r="A1032" s="30"/>
      <c r="B1032" s="162"/>
      <c r="C1032" s="259"/>
      <c r="D1032" s="267"/>
      <c r="E1032" s="35"/>
      <c r="F1032" s="151"/>
      <c r="G1032" s="263">
        <f t="shared" si="123"/>
        <v>0</v>
      </c>
      <c r="H1032" s="65"/>
      <c r="I1032" s="275">
        <f t="shared" si="119"/>
        <v>0</v>
      </c>
      <c r="J1032" s="161"/>
      <c r="K1032" s="30"/>
      <c r="L1032" s="30"/>
      <c r="M1032" s="30"/>
      <c r="N1032" s="30"/>
      <c r="O1032" s="71">
        <f t="shared" si="120"/>
        <v>0</v>
      </c>
      <c r="P1032" s="1070">
        <f t="shared" si="125"/>
        <v>0</v>
      </c>
      <c r="Q1032" s="1071">
        <f t="shared" si="124"/>
        <v>0</v>
      </c>
    </row>
    <row r="1033" spans="1:17" x14ac:dyDescent="0.2">
      <c r="A1033" s="30"/>
      <c r="B1033" s="162"/>
      <c r="C1033" s="259"/>
      <c r="D1033" s="267"/>
      <c r="E1033" s="35"/>
      <c r="F1033" s="151"/>
      <c r="G1033" s="263">
        <f t="shared" si="123"/>
        <v>0</v>
      </c>
      <c r="H1033" s="65"/>
      <c r="I1033" s="275">
        <f t="shared" si="119"/>
        <v>0</v>
      </c>
      <c r="J1033" s="161"/>
      <c r="K1033" s="30"/>
      <c r="L1033" s="30"/>
      <c r="M1033" s="30"/>
      <c r="N1033" s="30"/>
      <c r="O1033" s="71">
        <f t="shared" si="120"/>
        <v>0</v>
      </c>
      <c r="P1033" s="1070">
        <f t="shared" si="125"/>
        <v>0</v>
      </c>
      <c r="Q1033" s="1071">
        <f t="shared" si="124"/>
        <v>0</v>
      </c>
    </row>
    <row r="1034" spans="1:17" x14ac:dyDescent="0.2">
      <c r="A1034" s="30"/>
      <c r="B1034" s="162"/>
      <c r="C1034" s="259"/>
      <c r="D1034" s="267"/>
      <c r="E1034" s="35"/>
      <c r="F1034" s="151"/>
      <c r="G1034" s="263">
        <f t="shared" si="123"/>
        <v>0</v>
      </c>
      <c r="H1034" s="65"/>
      <c r="I1034" s="275">
        <f t="shared" si="119"/>
        <v>0</v>
      </c>
      <c r="J1034" s="161"/>
      <c r="K1034" s="30"/>
      <c r="L1034" s="30"/>
      <c r="M1034" s="30"/>
      <c r="N1034" s="30"/>
      <c r="O1034" s="71">
        <f t="shared" si="120"/>
        <v>0</v>
      </c>
      <c r="P1034" s="1070">
        <f t="shared" si="125"/>
        <v>0</v>
      </c>
      <c r="Q1034" s="1071">
        <f t="shared" si="124"/>
        <v>0</v>
      </c>
    </row>
    <row r="1035" spans="1:17" x14ac:dyDescent="0.2">
      <c r="A1035" s="30"/>
      <c r="B1035" s="162"/>
      <c r="C1035" s="259"/>
      <c r="D1035" s="267"/>
      <c r="E1035" s="35"/>
      <c r="F1035" s="151"/>
      <c r="G1035" s="263">
        <f t="shared" si="123"/>
        <v>0</v>
      </c>
      <c r="H1035" s="65"/>
      <c r="I1035" s="275">
        <f t="shared" si="119"/>
        <v>0</v>
      </c>
      <c r="J1035" s="161"/>
      <c r="K1035" s="30"/>
      <c r="L1035" s="30"/>
      <c r="M1035" s="30"/>
      <c r="N1035" s="30"/>
      <c r="O1035" s="71">
        <f t="shared" si="120"/>
        <v>0</v>
      </c>
      <c r="P1035" s="1070">
        <f t="shared" si="125"/>
        <v>0</v>
      </c>
      <c r="Q1035" s="1071">
        <f t="shared" si="124"/>
        <v>0</v>
      </c>
    </row>
    <row r="1036" spans="1:17" x14ac:dyDescent="0.2">
      <c r="A1036" s="30"/>
      <c r="B1036" s="162"/>
      <c r="C1036" s="259"/>
      <c r="D1036" s="267"/>
      <c r="E1036" s="35"/>
      <c r="F1036" s="151"/>
      <c r="G1036" s="263">
        <f t="shared" si="123"/>
        <v>0</v>
      </c>
      <c r="H1036" s="65"/>
      <c r="I1036" s="275">
        <f t="shared" si="119"/>
        <v>0</v>
      </c>
      <c r="J1036" s="161"/>
      <c r="K1036" s="30"/>
      <c r="L1036" s="30"/>
      <c r="M1036" s="30"/>
      <c r="N1036" s="30"/>
      <c r="O1036" s="71">
        <f t="shared" si="120"/>
        <v>0</v>
      </c>
      <c r="P1036" s="1070">
        <f t="shared" si="125"/>
        <v>0</v>
      </c>
      <c r="Q1036" s="1071">
        <f t="shared" si="124"/>
        <v>0</v>
      </c>
    </row>
    <row r="1037" spans="1:17" x14ac:dyDescent="0.2">
      <c r="A1037" s="30"/>
      <c r="B1037" s="162"/>
      <c r="C1037" s="259"/>
      <c r="D1037" s="267"/>
      <c r="E1037" s="35"/>
      <c r="F1037" s="151"/>
      <c r="G1037" s="263">
        <f t="shared" si="123"/>
        <v>0</v>
      </c>
      <c r="H1037" s="65"/>
      <c r="I1037" s="275">
        <f t="shared" si="119"/>
        <v>0</v>
      </c>
      <c r="J1037" s="161"/>
      <c r="K1037" s="30"/>
      <c r="L1037" s="30"/>
      <c r="M1037" s="30"/>
      <c r="N1037" s="30"/>
      <c r="O1037" s="71">
        <f t="shared" si="120"/>
        <v>0</v>
      </c>
      <c r="P1037" s="1070">
        <f t="shared" si="125"/>
        <v>0</v>
      </c>
      <c r="Q1037" s="1071">
        <f t="shared" si="124"/>
        <v>0</v>
      </c>
    </row>
    <row r="1038" spans="1:17" x14ac:dyDescent="0.2">
      <c r="A1038" s="30"/>
      <c r="B1038" s="162"/>
      <c r="C1038" s="259"/>
      <c r="D1038" s="267"/>
      <c r="E1038" s="35"/>
      <c r="F1038" s="151"/>
      <c r="G1038" s="263">
        <f t="shared" si="123"/>
        <v>0</v>
      </c>
      <c r="H1038" s="65"/>
      <c r="I1038" s="275">
        <f t="shared" si="119"/>
        <v>0</v>
      </c>
      <c r="J1038" s="161"/>
      <c r="K1038" s="30"/>
      <c r="L1038" s="30"/>
      <c r="M1038" s="30"/>
      <c r="N1038" s="30"/>
      <c r="O1038" s="71">
        <f t="shared" si="120"/>
        <v>0</v>
      </c>
      <c r="P1038" s="1070">
        <f t="shared" si="125"/>
        <v>0</v>
      </c>
      <c r="Q1038" s="1071">
        <f t="shared" si="124"/>
        <v>0</v>
      </c>
    </row>
    <row r="1039" spans="1:17" x14ac:dyDescent="0.2">
      <c r="A1039" s="30"/>
      <c r="B1039" s="162"/>
      <c r="C1039" s="259"/>
      <c r="D1039" s="267"/>
      <c r="E1039" s="35"/>
      <c r="F1039" s="151"/>
      <c r="G1039" s="263">
        <f t="shared" si="123"/>
        <v>0</v>
      </c>
      <c r="H1039" s="65"/>
      <c r="I1039" s="275">
        <f t="shared" si="119"/>
        <v>0</v>
      </c>
      <c r="J1039" s="161"/>
      <c r="K1039" s="30"/>
      <c r="L1039" s="30"/>
      <c r="M1039" s="30"/>
      <c r="N1039" s="30"/>
      <c r="O1039" s="71">
        <f t="shared" si="120"/>
        <v>0</v>
      </c>
      <c r="P1039" s="1070">
        <f t="shared" si="125"/>
        <v>0</v>
      </c>
      <c r="Q1039" s="1071">
        <f t="shared" si="124"/>
        <v>0</v>
      </c>
    </row>
    <row r="1040" spans="1:17" x14ac:dyDescent="0.2">
      <c r="A1040" s="30"/>
      <c r="B1040" s="162"/>
      <c r="C1040" s="259"/>
      <c r="D1040" s="267"/>
      <c r="E1040" s="35"/>
      <c r="F1040" s="151"/>
      <c r="G1040" s="263">
        <f t="shared" si="123"/>
        <v>0</v>
      </c>
      <c r="H1040" s="65"/>
      <c r="I1040" s="275">
        <f t="shared" si="119"/>
        <v>0</v>
      </c>
      <c r="J1040" s="161"/>
      <c r="K1040" s="30"/>
      <c r="L1040" s="30"/>
      <c r="M1040" s="30"/>
      <c r="N1040" s="30"/>
      <c r="O1040" s="71">
        <f t="shared" si="120"/>
        <v>0</v>
      </c>
      <c r="P1040" s="1070">
        <f t="shared" si="125"/>
        <v>0</v>
      </c>
      <c r="Q1040" s="1071">
        <f t="shared" si="124"/>
        <v>0</v>
      </c>
    </row>
    <row r="1041" spans="1:17" x14ac:dyDescent="0.2">
      <c r="A1041" s="30"/>
      <c r="B1041" s="162"/>
      <c r="C1041" s="259"/>
      <c r="D1041" s="267"/>
      <c r="E1041" s="35"/>
      <c r="F1041" s="151"/>
      <c r="G1041" s="263">
        <f t="shared" si="123"/>
        <v>0</v>
      </c>
      <c r="H1041" s="65"/>
      <c r="I1041" s="275">
        <f t="shared" si="119"/>
        <v>0</v>
      </c>
      <c r="J1041" s="161"/>
      <c r="K1041" s="30"/>
      <c r="L1041" s="30"/>
      <c r="M1041" s="30"/>
      <c r="N1041" s="30"/>
      <c r="O1041" s="71">
        <f t="shared" si="120"/>
        <v>0</v>
      </c>
      <c r="P1041" s="1070">
        <f t="shared" si="125"/>
        <v>0</v>
      </c>
      <c r="Q1041" s="1071">
        <f t="shared" si="124"/>
        <v>0</v>
      </c>
    </row>
    <row r="1042" spans="1:17" x14ac:dyDescent="0.2">
      <c r="A1042" s="30"/>
      <c r="B1042" s="162"/>
      <c r="C1042" s="259"/>
      <c r="D1042" s="267"/>
      <c r="E1042" s="35"/>
      <c r="F1042" s="151"/>
      <c r="G1042" s="263">
        <f t="shared" si="123"/>
        <v>0</v>
      </c>
      <c r="H1042" s="65"/>
      <c r="I1042" s="275">
        <f t="shared" si="119"/>
        <v>0</v>
      </c>
      <c r="J1042" s="161"/>
      <c r="K1042" s="30"/>
      <c r="L1042" s="30"/>
      <c r="M1042" s="30"/>
      <c r="N1042" s="30"/>
      <c r="O1042" s="71">
        <f t="shared" si="120"/>
        <v>0</v>
      </c>
      <c r="P1042" s="1070">
        <f t="shared" si="125"/>
        <v>0</v>
      </c>
      <c r="Q1042" s="1071">
        <f t="shared" si="124"/>
        <v>0</v>
      </c>
    </row>
    <row r="1043" spans="1:17" x14ac:dyDescent="0.2">
      <c r="A1043" s="30"/>
      <c r="B1043" s="162"/>
      <c r="C1043" s="259"/>
      <c r="D1043" s="267"/>
      <c r="E1043" s="35"/>
      <c r="F1043" s="151"/>
      <c r="G1043" s="263">
        <f t="shared" si="123"/>
        <v>0</v>
      </c>
      <c r="H1043" s="65"/>
      <c r="I1043" s="275">
        <f t="shared" si="119"/>
        <v>0</v>
      </c>
      <c r="J1043" s="161"/>
      <c r="K1043" s="30"/>
      <c r="L1043" s="30"/>
      <c r="M1043" s="30"/>
      <c r="N1043" s="30"/>
      <c r="O1043" s="71">
        <f t="shared" si="120"/>
        <v>0</v>
      </c>
      <c r="P1043" s="1070">
        <f t="shared" si="125"/>
        <v>0</v>
      </c>
      <c r="Q1043" s="1071">
        <f t="shared" si="124"/>
        <v>0</v>
      </c>
    </row>
    <row r="1044" spans="1:17" x14ac:dyDescent="0.2">
      <c r="A1044" s="30"/>
      <c r="B1044" s="162"/>
      <c r="C1044" s="259"/>
      <c r="D1044" s="267"/>
      <c r="E1044" s="35"/>
      <c r="F1044" s="151"/>
      <c r="G1044" s="263">
        <f t="shared" si="123"/>
        <v>0</v>
      </c>
      <c r="H1044" s="65"/>
      <c r="I1044" s="275">
        <f t="shared" si="119"/>
        <v>0</v>
      </c>
      <c r="J1044" s="161"/>
      <c r="K1044" s="30"/>
      <c r="L1044" s="30"/>
      <c r="M1044" s="30"/>
      <c r="N1044" s="30"/>
      <c r="O1044" s="71">
        <f t="shared" si="120"/>
        <v>0</v>
      </c>
      <c r="P1044" s="1070">
        <f t="shared" si="125"/>
        <v>0</v>
      </c>
      <c r="Q1044" s="1071">
        <f t="shared" si="124"/>
        <v>0</v>
      </c>
    </row>
    <row r="1045" spans="1:17" ht="13.5" thickBot="1" x14ac:dyDescent="0.25">
      <c r="A1045" s="30"/>
      <c r="B1045" s="163"/>
      <c r="C1045" s="260"/>
      <c r="D1045" s="268"/>
      <c r="E1045" s="24"/>
      <c r="F1045" s="25"/>
      <c r="G1045" s="264">
        <f t="shared" si="123"/>
        <v>0</v>
      </c>
      <c r="H1045" s="272"/>
      <c r="I1045" s="276">
        <f t="shared" si="119"/>
        <v>0</v>
      </c>
      <c r="J1045" s="161"/>
      <c r="K1045" s="30"/>
      <c r="L1045" s="30"/>
      <c r="M1045" s="30"/>
      <c r="N1045" s="30"/>
      <c r="O1045" s="71">
        <f t="shared" si="120"/>
        <v>0</v>
      </c>
      <c r="P1045" s="1070">
        <f t="shared" si="125"/>
        <v>0</v>
      </c>
      <c r="Q1045" s="1071">
        <f t="shared" si="124"/>
        <v>0</v>
      </c>
    </row>
    <row r="1046" spans="1:17" ht="6.75" customHeight="1" thickBot="1" x14ac:dyDescent="0.25">
      <c r="A1046" s="30"/>
      <c r="B1046" s="155"/>
      <c r="C1046" s="155"/>
      <c r="D1046" s="155"/>
      <c r="E1046" s="155"/>
      <c r="F1046" s="155"/>
      <c r="G1046" s="155"/>
      <c r="H1046" s="155"/>
      <c r="I1046" s="155"/>
      <c r="J1046" s="155"/>
      <c r="K1046" s="30"/>
      <c r="L1046" s="30"/>
      <c r="M1046" s="30"/>
      <c r="N1046" s="30"/>
      <c r="O1046" s="812">
        <f>SUM(O994:O1045)</f>
        <v>0</v>
      </c>
      <c r="P1046" s="1075">
        <f>SUM(P994:P1045)</f>
        <v>0</v>
      </c>
      <c r="Q1046" s="813">
        <f>SUM(Q994:Q1045)</f>
        <v>0</v>
      </c>
    </row>
    <row r="1047" spans="1:17" ht="50.1" customHeight="1" x14ac:dyDescent="0.2">
      <c r="A1047" s="30"/>
      <c r="B1047" s="155"/>
      <c r="C1047" s="155"/>
      <c r="D1047" s="155"/>
      <c r="E1047" s="155"/>
      <c r="F1047" s="155"/>
      <c r="G1047" s="155"/>
      <c r="H1047" s="155"/>
      <c r="I1047" s="155"/>
      <c r="J1047" s="155"/>
      <c r="K1047" s="30"/>
      <c r="L1047" s="30"/>
      <c r="M1047" s="30"/>
      <c r="N1047" s="30"/>
      <c r="O1047" s="30"/>
      <c r="P1047" s="30"/>
    </row>
    <row r="1048" spans="1:17" ht="18" x14ac:dyDescent="0.2">
      <c r="A1048" s="1224" t="str">
        <f>UPPER("Patching Summary Table")</f>
        <v>PATCHING SUMMARY TABLE</v>
      </c>
      <c r="B1048" s="1224"/>
      <c r="C1048" s="1224"/>
      <c r="D1048" s="1224"/>
      <c r="E1048" s="1224"/>
      <c r="F1048" s="1224"/>
      <c r="G1048" s="1224"/>
      <c r="H1048" s="1224"/>
      <c r="I1048" s="1224"/>
      <c r="J1048" s="1224"/>
      <c r="K1048" s="30"/>
      <c r="L1048" s="30"/>
      <c r="M1048" s="30"/>
      <c r="N1048" s="30"/>
      <c r="O1048" s="30"/>
      <c r="P1048" s="30"/>
    </row>
    <row r="1049" spans="1:17" ht="8.25" customHeight="1" thickBot="1" x14ac:dyDescent="0.25">
      <c r="A1049" s="30"/>
      <c r="B1049" s="31"/>
      <c r="C1049" s="31"/>
      <c r="D1049" s="31"/>
      <c r="E1049" s="31"/>
      <c r="F1049" s="31"/>
      <c r="G1049" s="31"/>
      <c r="H1049" s="31"/>
      <c r="I1049" s="31"/>
      <c r="J1049" s="31"/>
      <c r="K1049" s="30"/>
      <c r="L1049" s="30"/>
      <c r="M1049" s="30"/>
      <c r="N1049" s="30"/>
      <c r="O1049" s="30"/>
      <c r="P1049" s="30"/>
    </row>
    <row r="1050" spans="1:17" x14ac:dyDescent="0.2">
      <c r="A1050" s="30"/>
      <c r="B1050" s="1310" t="s">
        <v>2</v>
      </c>
      <c r="C1050" s="1319" t="s">
        <v>3</v>
      </c>
      <c r="D1050" s="1310" t="s">
        <v>39</v>
      </c>
      <c r="E1050" s="1308" t="s">
        <v>4</v>
      </c>
      <c r="F1050" s="1223" t="s">
        <v>535</v>
      </c>
      <c r="G1050" s="261" t="s">
        <v>129</v>
      </c>
      <c r="H1050" s="269" t="s">
        <v>102</v>
      </c>
      <c r="I1050" s="152" t="s">
        <v>209</v>
      </c>
      <c r="J1050" s="31"/>
      <c r="K1050" s="30"/>
      <c r="L1050" s="30"/>
      <c r="M1050" s="30"/>
      <c r="N1050" s="30"/>
      <c r="O1050" s="1159" t="s">
        <v>537</v>
      </c>
      <c r="P1050" s="1305"/>
      <c r="Q1050" s="1306"/>
    </row>
    <row r="1051" spans="1:17" ht="13.5" thickBot="1" x14ac:dyDescent="0.25">
      <c r="A1051" s="30"/>
      <c r="B1051" s="1285"/>
      <c r="C1051" s="1320"/>
      <c r="D1051" s="1285"/>
      <c r="E1051" s="1227"/>
      <c r="F1051" s="1242"/>
      <c r="G1051" s="262" t="s">
        <v>100</v>
      </c>
      <c r="H1051" s="270" t="s">
        <v>100</v>
      </c>
      <c r="I1051" s="273" t="s">
        <v>210</v>
      </c>
      <c r="J1051" s="31"/>
      <c r="K1051" s="30"/>
      <c r="L1051" s="30"/>
      <c r="M1051" s="30"/>
      <c r="N1051" s="30"/>
      <c r="O1051" s="41" t="str">
        <f>$Q$41</f>
        <v>Partial</v>
      </c>
      <c r="P1051" s="42" t="str">
        <f>$Q$42</f>
        <v>Full ( HMA)</v>
      </c>
      <c r="Q1051" s="43" t="str">
        <f>$Q$43</f>
        <v>Full (Composite)</v>
      </c>
    </row>
    <row r="1052" spans="1:17" x14ac:dyDescent="0.2">
      <c r="A1052" s="30"/>
      <c r="B1052" s="159"/>
      <c r="C1052" s="258"/>
      <c r="D1052" s="265"/>
      <c r="E1052" s="160"/>
      <c r="F1052" s="266"/>
      <c r="G1052" s="263">
        <f>ABS(C1052-B1052)</f>
        <v>0</v>
      </c>
      <c r="H1052" s="271"/>
      <c r="I1052" s="274">
        <f t="shared" ref="I1052:I1103" si="126">ROUNDUP((G1052*H1052)/9,0)</f>
        <v>0</v>
      </c>
      <c r="J1052" s="161"/>
      <c r="K1052" s="30"/>
      <c r="L1052" s="30"/>
      <c r="M1052" s="30"/>
      <c r="N1052" s="30"/>
      <c r="O1052" s="54">
        <f t="shared" ref="O1052:O1103" si="127">IF($F1052=$Q$41,$I1052,0)</f>
        <v>0</v>
      </c>
      <c r="P1052" s="1069">
        <f t="shared" ref="P1052:P1084" si="128">IF($F1052=$Q$42,$I1052,0)</f>
        <v>0</v>
      </c>
      <c r="Q1052" s="811">
        <f t="shared" ref="Q1052:Q1083" si="129">IF($F1052=$Q$43,$I1052,0)</f>
        <v>0</v>
      </c>
    </row>
    <row r="1053" spans="1:17" x14ac:dyDescent="0.2">
      <c r="A1053" s="30"/>
      <c r="B1053" s="162"/>
      <c r="C1053" s="259"/>
      <c r="D1053" s="267"/>
      <c r="E1053" s="35"/>
      <c r="F1053" s="151"/>
      <c r="G1053" s="263">
        <f t="shared" ref="G1053:G1103" si="130">ABS(C1053-B1053)</f>
        <v>0</v>
      </c>
      <c r="H1053" s="65"/>
      <c r="I1053" s="275">
        <f t="shared" si="126"/>
        <v>0</v>
      </c>
      <c r="J1053" s="161"/>
      <c r="K1053" s="30"/>
      <c r="L1053" s="30"/>
      <c r="M1053" s="30"/>
      <c r="N1053" s="30"/>
      <c r="O1053" s="71">
        <f t="shared" si="127"/>
        <v>0</v>
      </c>
      <c r="P1053" s="1070">
        <f t="shared" si="128"/>
        <v>0</v>
      </c>
      <c r="Q1053" s="1071">
        <f t="shared" si="129"/>
        <v>0</v>
      </c>
    </row>
    <row r="1054" spans="1:17" x14ac:dyDescent="0.2">
      <c r="A1054" s="30"/>
      <c r="B1054" s="162"/>
      <c r="C1054" s="259"/>
      <c r="D1054" s="267"/>
      <c r="E1054" s="35"/>
      <c r="F1054" s="151"/>
      <c r="G1054" s="263">
        <f t="shared" si="130"/>
        <v>0</v>
      </c>
      <c r="H1054" s="65"/>
      <c r="I1054" s="275">
        <f t="shared" si="126"/>
        <v>0</v>
      </c>
      <c r="J1054" s="161"/>
      <c r="K1054" s="30"/>
      <c r="L1054" s="30"/>
      <c r="M1054" s="30"/>
      <c r="N1054" s="30"/>
      <c r="O1054" s="71">
        <f t="shared" si="127"/>
        <v>0</v>
      </c>
      <c r="P1054" s="1070">
        <f t="shared" si="128"/>
        <v>0</v>
      </c>
      <c r="Q1054" s="1071">
        <f t="shared" si="129"/>
        <v>0</v>
      </c>
    </row>
    <row r="1055" spans="1:17" x14ac:dyDescent="0.2">
      <c r="A1055" s="30"/>
      <c r="B1055" s="162"/>
      <c r="C1055" s="259"/>
      <c r="D1055" s="267"/>
      <c r="E1055" s="35"/>
      <c r="F1055" s="151"/>
      <c r="G1055" s="263">
        <f t="shared" si="130"/>
        <v>0</v>
      </c>
      <c r="H1055" s="65"/>
      <c r="I1055" s="275">
        <f t="shared" si="126"/>
        <v>0</v>
      </c>
      <c r="J1055" s="161"/>
      <c r="K1055" s="30"/>
      <c r="L1055" s="30"/>
      <c r="M1055" s="30"/>
      <c r="N1055" s="30"/>
      <c r="O1055" s="71">
        <f t="shared" si="127"/>
        <v>0</v>
      </c>
      <c r="P1055" s="1070">
        <f t="shared" si="128"/>
        <v>0</v>
      </c>
      <c r="Q1055" s="1071">
        <f t="shared" si="129"/>
        <v>0</v>
      </c>
    </row>
    <row r="1056" spans="1:17" x14ac:dyDescent="0.2">
      <c r="A1056" s="30"/>
      <c r="B1056" s="162"/>
      <c r="C1056" s="259"/>
      <c r="D1056" s="267"/>
      <c r="E1056" s="35"/>
      <c r="F1056" s="151"/>
      <c r="G1056" s="263">
        <f t="shared" si="130"/>
        <v>0</v>
      </c>
      <c r="H1056" s="65"/>
      <c r="I1056" s="275">
        <f t="shared" si="126"/>
        <v>0</v>
      </c>
      <c r="J1056" s="161"/>
      <c r="K1056" s="30"/>
      <c r="L1056" s="30"/>
      <c r="M1056" s="30"/>
      <c r="N1056" s="30"/>
      <c r="O1056" s="71">
        <f t="shared" si="127"/>
        <v>0</v>
      </c>
      <c r="P1056" s="1070">
        <f t="shared" si="128"/>
        <v>0</v>
      </c>
      <c r="Q1056" s="1071">
        <f t="shared" si="129"/>
        <v>0</v>
      </c>
    </row>
    <row r="1057" spans="1:17" x14ac:dyDescent="0.2">
      <c r="A1057" s="30"/>
      <c r="B1057" s="162"/>
      <c r="C1057" s="259"/>
      <c r="D1057" s="267"/>
      <c r="E1057" s="35"/>
      <c r="F1057" s="151"/>
      <c r="G1057" s="263">
        <f t="shared" si="130"/>
        <v>0</v>
      </c>
      <c r="H1057" s="65"/>
      <c r="I1057" s="275">
        <f t="shared" si="126"/>
        <v>0</v>
      </c>
      <c r="J1057" s="161"/>
      <c r="K1057" s="30"/>
      <c r="L1057" s="30"/>
      <c r="M1057" s="30"/>
      <c r="N1057" s="30"/>
      <c r="O1057" s="71">
        <f t="shared" si="127"/>
        <v>0</v>
      </c>
      <c r="P1057" s="1070">
        <f t="shared" si="128"/>
        <v>0</v>
      </c>
      <c r="Q1057" s="1071">
        <f t="shared" si="129"/>
        <v>0</v>
      </c>
    </row>
    <row r="1058" spans="1:17" x14ac:dyDescent="0.2">
      <c r="A1058" s="30"/>
      <c r="B1058" s="162"/>
      <c r="C1058" s="259"/>
      <c r="D1058" s="267"/>
      <c r="E1058" s="35"/>
      <c r="F1058" s="151"/>
      <c r="G1058" s="263">
        <f t="shared" si="130"/>
        <v>0</v>
      </c>
      <c r="H1058" s="65"/>
      <c r="I1058" s="275">
        <f t="shared" si="126"/>
        <v>0</v>
      </c>
      <c r="J1058" s="161"/>
      <c r="K1058" s="30"/>
      <c r="L1058" s="30"/>
      <c r="M1058" s="30"/>
      <c r="N1058" s="30"/>
      <c r="O1058" s="71">
        <f t="shared" si="127"/>
        <v>0</v>
      </c>
      <c r="P1058" s="1070">
        <f t="shared" si="128"/>
        <v>0</v>
      </c>
      <c r="Q1058" s="1071">
        <f t="shared" si="129"/>
        <v>0</v>
      </c>
    </row>
    <row r="1059" spans="1:17" x14ac:dyDescent="0.2">
      <c r="A1059" s="30"/>
      <c r="B1059" s="162"/>
      <c r="C1059" s="259"/>
      <c r="D1059" s="267"/>
      <c r="E1059" s="35"/>
      <c r="F1059" s="151"/>
      <c r="G1059" s="263">
        <f t="shared" si="130"/>
        <v>0</v>
      </c>
      <c r="H1059" s="65"/>
      <c r="I1059" s="275">
        <f t="shared" si="126"/>
        <v>0</v>
      </c>
      <c r="J1059" s="161"/>
      <c r="K1059" s="30"/>
      <c r="L1059" s="30"/>
      <c r="M1059" s="30"/>
      <c r="N1059" s="30"/>
      <c r="O1059" s="71">
        <f t="shared" si="127"/>
        <v>0</v>
      </c>
      <c r="P1059" s="1070">
        <f t="shared" si="128"/>
        <v>0</v>
      </c>
      <c r="Q1059" s="1071">
        <f t="shared" si="129"/>
        <v>0</v>
      </c>
    </row>
    <row r="1060" spans="1:17" x14ac:dyDescent="0.2">
      <c r="A1060" s="30"/>
      <c r="B1060" s="162"/>
      <c r="C1060" s="259"/>
      <c r="D1060" s="267"/>
      <c r="E1060" s="35"/>
      <c r="F1060" s="151"/>
      <c r="G1060" s="263">
        <f t="shared" si="130"/>
        <v>0</v>
      </c>
      <c r="H1060" s="65"/>
      <c r="I1060" s="275">
        <f t="shared" si="126"/>
        <v>0</v>
      </c>
      <c r="J1060" s="161"/>
      <c r="K1060" s="30"/>
      <c r="L1060" s="30"/>
      <c r="M1060" s="30"/>
      <c r="N1060" s="30"/>
      <c r="O1060" s="71">
        <f t="shared" si="127"/>
        <v>0</v>
      </c>
      <c r="P1060" s="1070">
        <f t="shared" si="128"/>
        <v>0</v>
      </c>
      <c r="Q1060" s="1071">
        <f t="shared" si="129"/>
        <v>0</v>
      </c>
    </row>
    <row r="1061" spans="1:17" x14ac:dyDescent="0.2">
      <c r="A1061" s="30"/>
      <c r="B1061" s="162"/>
      <c r="C1061" s="259"/>
      <c r="D1061" s="267"/>
      <c r="E1061" s="35"/>
      <c r="F1061" s="151"/>
      <c r="G1061" s="263">
        <f t="shared" si="130"/>
        <v>0</v>
      </c>
      <c r="H1061" s="65"/>
      <c r="I1061" s="275">
        <f t="shared" si="126"/>
        <v>0</v>
      </c>
      <c r="J1061" s="161"/>
      <c r="K1061" s="30"/>
      <c r="L1061" s="30"/>
      <c r="M1061" s="30"/>
      <c r="N1061" s="30"/>
      <c r="O1061" s="71">
        <f t="shared" si="127"/>
        <v>0</v>
      </c>
      <c r="P1061" s="1070">
        <f t="shared" si="128"/>
        <v>0</v>
      </c>
      <c r="Q1061" s="1071">
        <f t="shared" si="129"/>
        <v>0</v>
      </c>
    </row>
    <row r="1062" spans="1:17" x14ac:dyDescent="0.2">
      <c r="A1062" s="30"/>
      <c r="B1062" s="162"/>
      <c r="C1062" s="259"/>
      <c r="D1062" s="267"/>
      <c r="E1062" s="35"/>
      <c r="F1062" s="151"/>
      <c r="G1062" s="263">
        <f t="shared" si="130"/>
        <v>0</v>
      </c>
      <c r="H1062" s="65"/>
      <c r="I1062" s="275">
        <f t="shared" si="126"/>
        <v>0</v>
      </c>
      <c r="J1062" s="161"/>
      <c r="K1062" s="30"/>
      <c r="L1062" s="30"/>
      <c r="M1062" s="30"/>
      <c r="N1062" s="30"/>
      <c r="O1062" s="71">
        <f t="shared" si="127"/>
        <v>0</v>
      </c>
      <c r="P1062" s="1070">
        <f t="shared" si="128"/>
        <v>0</v>
      </c>
      <c r="Q1062" s="1071">
        <f t="shared" si="129"/>
        <v>0</v>
      </c>
    </row>
    <row r="1063" spans="1:17" x14ac:dyDescent="0.2">
      <c r="A1063" s="30"/>
      <c r="B1063" s="162"/>
      <c r="C1063" s="259"/>
      <c r="D1063" s="267"/>
      <c r="E1063" s="35"/>
      <c r="F1063" s="151"/>
      <c r="G1063" s="263">
        <f t="shared" si="130"/>
        <v>0</v>
      </c>
      <c r="H1063" s="65"/>
      <c r="I1063" s="275">
        <f t="shared" si="126"/>
        <v>0</v>
      </c>
      <c r="J1063" s="161"/>
      <c r="K1063" s="30"/>
      <c r="L1063" s="30"/>
      <c r="M1063" s="30"/>
      <c r="N1063" s="30"/>
      <c r="O1063" s="71">
        <f t="shared" si="127"/>
        <v>0</v>
      </c>
      <c r="P1063" s="1070">
        <f t="shared" si="128"/>
        <v>0</v>
      </c>
      <c r="Q1063" s="1071">
        <f t="shared" si="129"/>
        <v>0</v>
      </c>
    </row>
    <row r="1064" spans="1:17" x14ac:dyDescent="0.2">
      <c r="A1064" s="30"/>
      <c r="B1064" s="162"/>
      <c r="C1064" s="259"/>
      <c r="D1064" s="267"/>
      <c r="E1064" s="35"/>
      <c r="F1064" s="151"/>
      <c r="G1064" s="263">
        <f t="shared" si="130"/>
        <v>0</v>
      </c>
      <c r="H1064" s="65"/>
      <c r="I1064" s="275">
        <f t="shared" si="126"/>
        <v>0</v>
      </c>
      <c r="J1064" s="161"/>
      <c r="K1064" s="30"/>
      <c r="L1064" s="30"/>
      <c r="M1064" s="30"/>
      <c r="N1064" s="30"/>
      <c r="O1064" s="71">
        <f t="shared" si="127"/>
        <v>0</v>
      </c>
      <c r="P1064" s="1070">
        <f t="shared" si="128"/>
        <v>0</v>
      </c>
      <c r="Q1064" s="1071">
        <f t="shared" si="129"/>
        <v>0</v>
      </c>
    </row>
    <row r="1065" spans="1:17" x14ac:dyDescent="0.2">
      <c r="A1065" s="30"/>
      <c r="B1065" s="162"/>
      <c r="C1065" s="259"/>
      <c r="D1065" s="267"/>
      <c r="E1065" s="35"/>
      <c r="F1065" s="151"/>
      <c r="G1065" s="263">
        <f t="shared" si="130"/>
        <v>0</v>
      </c>
      <c r="H1065" s="65"/>
      <c r="I1065" s="275">
        <f t="shared" si="126"/>
        <v>0</v>
      </c>
      <c r="J1065" s="161"/>
      <c r="K1065" s="30"/>
      <c r="L1065" s="30"/>
      <c r="M1065" s="30"/>
      <c r="N1065" s="30"/>
      <c r="O1065" s="71">
        <f t="shared" si="127"/>
        <v>0</v>
      </c>
      <c r="P1065" s="1070">
        <f t="shared" si="128"/>
        <v>0</v>
      </c>
      <c r="Q1065" s="1071">
        <f t="shared" si="129"/>
        <v>0</v>
      </c>
    </row>
    <row r="1066" spans="1:17" x14ac:dyDescent="0.2">
      <c r="A1066" s="30"/>
      <c r="B1066" s="162"/>
      <c r="C1066" s="259"/>
      <c r="D1066" s="267"/>
      <c r="E1066" s="35"/>
      <c r="F1066" s="151"/>
      <c r="G1066" s="263">
        <f t="shared" si="130"/>
        <v>0</v>
      </c>
      <c r="H1066" s="65"/>
      <c r="I1066" s="275">
        <f t="shared" si="126"/>
        <v>0</v>
      </c>
      <c r="J1066" s="161"/>
      <c r="K1066" s="30"/>
      <c r="L1066" s="30"/>
      <c r="M1066" s="30"/>
      <c r="N1066" s="30"/>
      <c r="O1066" s="71">
        <f t="shared" si="127"/>
        <v>0</v>
      </c>
      <c r="P1066" s="1070">
        <f t="shared" si="128"/>
        <v>0</v>
      </c>
      <c r="Q1066" s="1071">
        <f t="shared" si="129"/>
        <v>0</v>
      </c>
    </row>
    <row r="1067" spans="1:17" x14ac:dyDescent="0.2">
      <c r="A1067" s="30"/>
      <c r="B1067" s="162"/>
      <c r="C1067" s="259"/>
      <c r="D1067" s="267"/>
      <c r="E1067" s="35"/>
      <c r="F1067" s="151"/>
      <c r="G1067" s="263">
        <f t="shared" si="130"/>
        <v>0</v>
      </c>
      <c r="H1067" s="65"/>
      <c r="I1067" s="275">
        <f t="shared" si="126"/>
        <v>0</v>
      </c>
      <c r="J1067" s="161"/>
      <c r="K1067" s="30"/>
      <c r="L1067" s="30"/>
      <c r="M1067" s="30"/>
      <c r="N1067" s="30"/>
      <c r="O1067" s="71">
        <f t="shared" si="127"/>
        <v>0</v>
      </c>
      <c r="P1067" s="1070">
        <f t="shared" si="128"/>
        <v>0</v>
      </c>
      <c r="Q1067" s="1071">
        <f t="shared" si="129"/>
        <v>0</v>
      </c>
    </row>
    <row r="1068" spans="1:17" x14ac:dyDescent="0.2">
      <c r="A1068" s="30"/>
      <c r="B1068" s="162"/>
      <c r="C1068" s="259"/>
      <c r="D1068" s="267"/>
      <c r="E1068" s="35"/>
      <c r="F1068" s="151"/>
      <c r="G1068" s="263">
        <f t="shared" si="130"/>
        <v>0</v>
      </c>
      <c r="H1068" s="65"/>
      <c r="I1068" s="275">
        <f t="shared" si="126"/>
        <v>0</v>
      </c>
      <c r="J1068" s="161"/>
      <c r="K1068" s="30"/>
      <c r="L1068" s="30"/>
      <c r="M1068" s="30"/>
      <c r="N1068" s="30"/>
      <c r="O1068" s="71">
        <f t="shared" si="127"/>
        <v>0</v>
      </c>
      <c r="P1068" s="1070">
        <f t="shared" si="128"/>
        <v>0</v>
      </c>
      <c r="Q1068" s="1071">
        <f t="shared" si="129"/>
        <v>0</v>
      </c>
    </row>
    <row r="1069" spans="1:17" x14ac:dyDescent="0.2">
      <c r="A1069" s="30"/>
      <c r="B1069" s="162"/>
      <c r="C1069" s="259"/>
      <c r="D1069" s="267"/>
      <c r="E1069" s="35"/>
      <c r="F1069" s="151"/>
      <c r="G1069" s="263">
        <f t="shared" si="130"/>
        <v>0</v>
      </c>
      <c r="H1069" s="65"/>
      <c r="I1069" s="275">
        <f t="shared" si="126"/>
        <v>0</v>
      </c>
      <c r="J1069" s="161"/>
      <c r="K1069" s="30"/>
      <c r="L1069" s="30"/>
      <c r="M1069" s="30"/>
      <c r="N1069" s="30"/>
      <c r="O1069" s="71">
        <f t="shared" si="127"/>
        <v>0</v>
      </c>
      <c r="P1069" s="1070">
        <f t="shared" si="128"/>
        <v>0</v>
      </c>
      <c r="Q1069" s="1071">
        <f t="shared" si="129"/>
        <v>0</v>
      </c>
    </row>
    <row r="1070" spans="1:17" x14ac:dyDescent="0.2">
      <c r="A1070" s="30"/>
      <c r="B1070" s="162"/>
      <c r="C1070" s="259"/>
      <c r="D1070" s="267"/>
      <c r="E1070" s="35"/>
      <c r="F1070" s="151"/>
      <c r="G1070" s="263">
        <f t="shared" si="130"/>
        <v>0</v>
      </c>
      <c r="H1070" s="65"/>
      <c r="I1070" s="275">
        <f t="shared" si="126"/>
        <v>0</v>
      </c>
      <c r="J1070" s="161"/>
      <c r="K1070" s="30"/>
      <c r="L1070" s="30"/>
      <c r="M1070" s="30"/>
      <c r="N1070" s="30"/>
      <c r="O1070" s="71">
        <f t="shared" si="127"/>
        <v>0</v>
      </c>
      <c r="P1070" s="1070">
        <f t="shared" si="128"/>
        <v>0</v>
      </c>
      <c r="Q1070" s="1071">
        <f t="shared" si="129"/>
        <v>0</v>
      </c>
    </row>
    <row r="1071" spans="1:17" x14ac:dyDescent="0.2">
      <c r="A1071" s="30"/>
      <c r="B1071" s="162"/>
      <c r="C1071" s="259"/>
      <c r="D1071" s="267"/>
      <c r="E1071" s="35"/>
      <c r="F1071" s="151"/>
      <c r="G1071" s="263">
        <f t="shared" si="130"/>
        <v>0</v>
      </c>
      <c r="H1071" s="65"/>
      <c r="I1071" s="275">
        <f t="shared" si="126"/>
        <v>0</v>
      </c>
      <c r="J1071" s="161"/>
      <c r="K1071" s="30"/>
      <c r="L1071" s="30"/>
      <c r="M1071" s="30"/>
      <c r="N1071" s="30"/>
      <c r="O1071" s="71">
        <f t="shared" si="127"/>
        <v>0</v>
      </c>
      <c r="P1071" s="1070">
        <f t="shared" si="128"/>
        <v>0</v>
      </c>
      <c r="Q1071" s="1071">
        <f t="shared" si="129"/>
        <v>0</v>
      </c>
    </row>
    <row r="1072" spans="1:17" x14ac:dyDescent="0.2">
      <c r="A1072" s="30"/>
      <c r="B1072" s="162"/>
      <c r="C1072" s="259"/>
      <c r="D1072" s="267"/>
      <c r="E1072" s="35"/>
      <c r="F1072" s="151"/>
      <c r="G1072" s="263">
        <f t="shared" si="130"/>
        <v>0</v>
      </c>
      <c r="H1072" s="65"/>
      <c r="I1072" s="275">
        <f t="shared" si="126"/>
        <v>0</v>
      </c>
      <c r="J1072" s="161"/>
      <c r="K1072" s="30"/>
      <c r="L1072" s="30"/>
      <c r="M1072" s="30"/>
      <c r="N1072" s="30"/>
      <c r="O1072" s="71">
        <f t="shared" si="127"/>
        <v>0</v>
      </c>
      <c r="P1072" s="1070">
        <f t="shared" si="128"/>
        <v>0</v>
      </c>
      <c r="Q1072" s="1071">
        <f t="shared" si="129"/>
        <v>0</v>
      </c>
    </row>
    <row r="1073" spans="1:17" x14ac:dyDescent="0.2">
      <c r="A1073" s="30"/>
      <c r="B1073" s="162"/>
      <c r="C1073" s="259"/>
      <c r="D1073" s="267"/>
      <c r="E1073" s="35"/>
      <c r="F1073" s="151"/>
      <c r="G1073" s="263">
        <f t="shared" si="130"/>
        <v>0</v>
      </c>
      <c r="H1073" s="65"/>
      <c r="I1073" s="275">
        <f t="shared" si="126"/>
        <v>0</v>
      </c>
      <c r="J1073" s="161"/>
      <c r="K1073" s="30"/>
      <c r="L1073" s="30"/>
      <c r="M1073" s="30"/>
      <c r="N1073" s="30"/>
      <c r="O1073" s="71">
        <f t="shared" si="127"/>
        <v>0</v>
      </c>
      <c r="P1073" s="1070">
        <f t="shared" si="128"/>
        <v>0</v>
      </c>
      <c r="Q1073" s="1071">
        <f t="shared" si="129"/>
        <v>0</v>
      </c>
    </row>
    <row r="1074" spans="1:17" x14ac:dyDescent="0.2">
      <c r="A1074" s="30"/>
      <c r="B1074" s="162"/>
      <c r="C1074" s="259"/>
      <c r="D1074" s="267"/>
      <c r="E1074" s="35"/>
      <c r="F1074" s="151"/>
      <c r="G1074" s="263">
        <f t="shared" si="130"/>
        <v>0</v>
      </c>
      <c r="H1074" s="65"/>
      <c r="I1074" s="275">
        <f t="shared" si="126"/>
        <v>0</v>
      </c>
      <c r="J1074" s="161"/>
      <c r="K1074" s="30"/>
      <c r="L1074" s="30"/>
      <c r="M1074" s="30"/>
      <c r="N1074" s="30"/>
      <c r="O1074" s="71">
        <f t="shared" si="127"/>
        <v>0</v>
      </c>
      <c r="P1074" s="1070">
        <f t="shared" si="128"/>
        <v>0</v>
      </c>
      <c r="Q1074" s="1071">
        <f t="shared" si="129"/>
        <v>0</v>
      </c>
    </row>
    <row r="1075" spans="1:17" x14ac:dyDescent="0.2">
      <c r="A1075" s="30"/>
      <c r="B1075" s="162"/>
      <c r="C1075" s="259"/>
      <c r="D1075" s="267"/>
      <c r="E1075" s="35"/>
      <c r="F1075" s="151"/>
      <c r="G1075" s="263">
        <f t="shared" si="130"/>
        <v>0</v>
      </c>
      <c r="H1075" s="65"/>
      <c r="I1075" s="275">
        <f t="shared" si="126"/>
        <v>0</v>
      </c>
      <c r="J1075" s="161"/>
      <c r="K1075" s="30"/>
      <c r="L1075" s="30"/>
      <c r="M1075" s="30"/>
      <c r="N1075" s="30"/>
      <c r="O1075" s="71">
        <f t="shared" si="127"/>
        <v>0</v>
      </c>
      <c r="P1075" s="1070">
        <f t="shared" si="128"/>
        <v>0</v>
      </c>
      <c r="Q1075" s="1071">
        <f t="shared" si="129"/>
        <v>0</v>
      </c>
    </row>
    <row r="1076" spans="1:17" x14ac:dyDescent="0.2">
      <c r="A1076" s="30"/>
      <c r="B1076" s="162"/>
      <c r="C1076" s="259"/>
      <c r="D1076" s="267"/>
      <c r="E1076" s="35"/>
      <c r="F1076" s="151"/>
      <c r="G1076" s="263">
        <f t="shared" si="130"/>
        <v>0</v>
      </c>
      <c r="H1076" s="65"/>
      <c r="I1076" s="275">
        <f t="shared" si="126"/>
        <v>0</v>
      </c>
      <c r="J1076" s="161"/>
      <c r="K1076" s="30"/>
      <c r="L1076" s="30"/>
      <c r="M1076" s="30"/>
      <c r="N1076" s="30"/>
      <c r="O1076" s="71">
        <f t="shared" si="127"/>
        <v>0</v>
      </c>
      <c r="P1076" s="1070">
        <f t="shared" si="128"/>
        <v>0</v>
      </c>
      <c r="Q1076" s="1071">
        <f t="shared" si="129"/>
        <v>0</v>
      </c>
    </row>
    <row r="1077" spans="1:17" x14ac:dyDescent="0.2">
      <c r="A1077" s="30"/>
      <c r="B1077" s="162"/>
      <c r="C1077" s="259"/>
      <c r="D1077" s="267"/>
      <c r="E1077" s="35"/>
      <c r="F1077" s="151"/>
      <c r="G1077" s="263">
        <f t="shared" si="130"/>
        <v>0</v>
      </c>
      <c r="H1077" s="65"/>
      <c r="I1077" s="275">
        <f t="shared" si="126"/>
        <v>0</v>
      </c>
      <c r="J1077" s="161"/>
      <c r="K1077" s="30"/>
      <c r="L1077" s="30"/>
      <c r="M1077" s="30"/>
      <c r="N1077" s="30"/>
      <c r="O1077" s="71">
        <f t="shared" si="127"/>
        <v>0</v>
      </c>
      <c r="P1077" s="1070">
        <f t="shared" si="128"/>
        <v>0</v>
      </c>
      <c r="Q1077" s="1071">
        <f t="shared" si="129"/>
        <v>0</v>
      </c>
    </row>
    <row r="1078" spans="1:17" x14ac:dyDescent="0.2">
      <c r="A1078" s="30"/>
      <c r="B1078" s="162"/>
      <c r="C1078" s="259"/>
      <c r="D1078" s="267"/>
      <c r="E1078" s="35"/>
      <c r="F1078" s="151"/>
      <c r="G1078" s="263">
        <f t="shared" si="130"/>
        <v>0</v>
      </c>
      <c r="H1078" s="65"/>
      <c r="I1078" s="275">
        <f t="shared" si="126"/>
        <v>0</v>
      </c>
      <c r="J1078" s="161"/>
      <c r="K1078" s="30"/>
      <c r="L1078" s="30"/>
      <c r="M1078" s="30"/>
      <c r="N1078" s="30"/>
      <c r="O1078" s="71">
        <f t="shared" si="127"/>
        <v>0</v>
      </c>
      <c r="P1078" s="1070">
        <f t="shared" si="128"/>
        <v>0</v>
      </c>
      <c r="Q1078" s="1071">
        <f t="shared" si="129"/>
        <v>0</v>
      </c>
    </row>
    <row r="1079" spans="1:17" x14ac:dyDescent="0.2">
      <c r="A1079" s="30"/>
      <c r="B1079" s="162"/>
      <c r="C1079" s="259"/>
      <c r="D1079" s="267"/>
      <c r="E1079" s="35"/>
      <c r="F1079" s="151"/>
      <c r="G1079" s="263">
        <f t="shared" si="130"/>
        <v>0</v>
      </c>
      <c r="H1079" s="65"/>
      <c r="I1079" s="275">
        <f t="shared" si="126"/>
        <v>0</v>
      </c>
      <c r="J1079" s="161"/>
      <c r="K1079" s="30"/>
      <c r="L1079" s="30"/>
      <c r="M1079" s="30"/>
      <c r="N1079" s="30"/>
      <c r="O1079" s="71">
        <f t="shared" si="127"/>
        <v>0</v>
      </c>
      <c r="P1079" s="1070">
        <f t="shared" si="128"/>
        <v>0</v>
      </c>
      <c r="Q1079" s="1071">
        <f t="shared" si="129"/>
        <v>0</v>
      </c>
    </row>
    <row r="1080" spans="1:17" x14ac:dyDescent="0.2">
      <c r="A1080" s="30"/>
      <c r="B1080" s="162"/>
      <c r="C1080" s="259"/>
      <c r="D1080" s="267"/>
      <c r="E1080" s="35"/>
      <c r="F1080" s="151"/>
      <c r="G1080" s="263">
        <f t="shared" si="130"/>
        <v>0</v>
      </c>
      <c r="H1080" s="65"/>
      <c r="I1080" s="275">
        <f t="shared" si="126"/>
        <v>0</v>
      </c>
      <c r="J1080" s="161"/>
      <c r="K1080" s="30"/>
      <c r="L1080" s="30"/>
      <c r="M1080" s="30"/>
      <c r="N1080" s="30"/>
      <c r="O1080" s="71">
        <f t="shared" si="127"/>
        <v>0</v>
      </c>
      <c r="P1080" s="1070">
        <f t="shared" si="128"/>
        <v>0</v>
      </c>
      <c r="Q1080" s="1071">
        <f t="shared" si="129"/>
        <v>0</v>
      </c>
    </row>
    <row r="1081" spans="1:17" x14ac:dyDescent="0.2">
      <c r="A1081" s="30"/>
      <c r="B1081" s="162"/>
      <c r="C1081" s="259"/>
      <c r="D1081" s="267"/>
      <c r="E1081" s="35"/>
      <c r="F1081" s="151"/>
      <c r="G1081" s="263">
        <f t="shared" si="130"/>
        <v>0</v>
      </c>
      <c r="H1081" s="65"/>
      <c r="I1081" s="275">
        <f t="shared" si="126"/>
        <v>0</v>
      </c>
      <c r="J1081" s="161"/>
      <c r="K1081" s="30"/>
      <c r="L1081" s="30"/>
      <c r="M1081" s="30"/>
      <c r="N1081" s="30"/>
      <c r="O1081" s="71">
        <f t="shared" si="127"/>
        <v>0</v>
      </c>
      <c r="P1081" s="1070">
        <f t="shared" si="128"/>
        <v>0</v>
      </c>
      <c r="Q1081" s="1071">
        <f t="shared" si="129"/>
        <v>0</v>
      </c>
    </row>
    <row r="1082" spans="1:17" x14ac:dyDescent="0.2">
      <c r="A1082" s="30"/>
      <c r="B1082" s="162"/>
      <c r="C1082" s="259"/>
      <c r="D1082" s="267"/>
      <c r="E1082" s="35"/>
      <c r="F1082" s="151"/>
      <c r="G1082" s="263">
        <f t="shared" si="130"/>
        <v>0</v>
      </c>
      <c r="H1082" s="65"/>
      <c r="I1082" s="275">
        <f t="shared" si="126"/>
        <v>0</v>
      </c>
      <c r="J1082" s="161"/>
      <c r="K1082" s="30"/>
      <c r="L1082" s="30"/>
      <c r="M1082" s="30"/>
      <c r="N1082" s="30"/>
      <c r="O1082" s="71">
        <f t="shared" si="127"/>
        <v>0</v>
      </c>
      <c r="P1082" s="1070">
        <f t="shared" si="128"/>
        <v>0</v>
      </c>
      <c r="Q1082" s="1071">
        <f t="shared" si="129"/>
        <v>0</v>
      </c>
    </row>
    <row r="1083" spans="1:17" x14ac:dyDescent="0.2">
      <c r="A1083" s="30"/>
      <c r="B1083" s="162"/>
      <c r="C1083" s="259"/>
      <c r="D1083" s="267"/>
      <c r="E1083" s="35"/>
      <c r="F1083" s="151"/>
      <c r="G1083" s="263">
        <f t="shared" si="130"/>
        <v>0</v>
      </c>
      <c r="H1083" s="65"/>
      <c r="I1083" s="275">
        <f t="shared" si="126"/>
        <v>0</v>
      </c>
      <c r="J1083" s="161"/>
      <c r="K1083" s="30"/>
      <c r="L1083" s="30"/>
      <c r="M1083" s="30"/>
      <c r="N1083" s="30"/>
      <c r="O1083" s="71">
        <f t="shared" si="127"/>
        <v>0</v>
      </c>
      <c r="P1083" s="1070">
        <f t="shared" si="128"/>
        <v>0</v>
      </c>
      <c r="Q1083" s="1071">
        <f t="shared" si="129"/>
        <v>0</v>
      </c>
    </row>
    <row r="1084" spans="1:17" x14ac:dyDescent="0.2">
      <c r="A1084" s="30"/>
      <c r="B1084" s="162"/>
      <c r="C1084" s="259"/>
      <c r="D1084" s="267"/>
      <c r="E1084" s="35"/>
      <c r="F1084" s="151"/>
      <c r="G1084" s="263">
        <f t="shared" si="130"/>
        <v>0</v>
      </c>
      <c r="H1084" s="65"/>
      <c r="I1084" s="275">
        <f t="shared" si="126"/>
        <v>0</v>
      </c>
      <c r="J1084" s="161"/>
      <c r="K1084" s="30"/>
      <c r="L1084" s="30"/>
      <c r="M1084" s="30"/>
      <c r="N1084" s="30"/>
      <c r="O1084" s="71">
        <f t="shared" si="127"/>
        <v>0</v>
      </c>
      <c r="P1084" s="1070">
        <f t="shared" si="128"/>
        <v>0</v>
      </c>
      <c r="Q1084" s="1071">
        <f t="shared" ref="Q1084:Q1103" si="131">IF($F1084=$Q$43,$I1084,0)</f>
        <v>0</v>
      </c>
    </row>
    <row r="1085" spans="1:17" x14ac:dyDescent="0.2">
      <c r="A1085" s="30"/>
      <c r="B1085" s="162"/>
      <c r="C1085" s="259"/>
      <c r="D1085" s="267"/>
      <c r="E1085" s="35"/>
      <c r="F1085" s="151"/>
      <c r="G1085" s="263">
        <f t="shared" si="130"/>
        <v>0</v>
      </c>
      <c r="H1085" s="65"/>
      <c r="I1085" s="275">
        <f t="shared" si="126"/>
        <v>0</v>
      </c>
      <c r="J1085" s="161"/>
      <c r="K1085" s="30"/>
      <c r="L1085" s="30"/>
      <c r="M1085" s="30"/>
      <c r="N1085" s="30"/>
      <c r="O1085" s="71">
        <f t="shared" si="127"/>
        <v>0</v>
      </c>
      <c r="P1085" s="1070">
        <f t="shared" ref="P1085:P1103" si="132">IF($F1085=$Q$42,$I1085,0)</f>
        <v>0</v>
      </c>
      <c r="Q1085" s="1071">
        <f t="shared" si="131"/>
        <v>0</v>
      </c>
    </row>
    <row r="1086" spans="1:17" x14ac:dyDescent="0.2">
      <c r="A1086" s="30"/>
      <c r="B1086" s="162"/>
      <c r="C1086" s="259"/>
      <c r="D1086" s="267"/>
      <c r="E1086" s="35"/>
      <c r="F1086" s="151"/>
      <c r="G1086" s="263">
        <f t="shared" si="130"/>
        <v>0</v>
      </c>
      <c r="H1086" s="65"/>
      <c r="I1086" s="275">
        <f t="shared" si="126"/>
        <v>0</v>
      </c>
      <c r="J1086" s="161"/>
      <c r="K1086" s="30"/>
      <c r="L1086" s="30"/>
      <c r="M1086" s="30"/>
      <c r="N1086" s="30"/>
      <c r="O1086" s="71">
        <f t="shared" si="127"/>
        <v>0</v>
      </c>
      <c r="P1086" s="1070">
        <f t="shared" si="132"/>
        <v>0</v>
      </c>
      <c r="Q1086" s="1071">
        <f t="shared" si="131"/>
        <v>0</v>
      </c>
    </row>
    <row r="1087" spans="1:17" x14ac:dyDescent="0.2">
      <c r="A1087" s="30"/>
      <c r="B1087" s="162"/>
      <c r="C1087" s="259"/>
      <c r="D1087" s="267"/>
      <c r="E1087" s="35"/>
      <c r="F1087" s="151"/>
      <c r="G1087" s="263">
        <f t="shared" si="130"/>
        <v>0</v>
      </c>
      <c r="H1087" s="65"/>
      <c r="I1087" s="275">
        <f t="shared" si="126"/>
        <v>0</v>
      </c>
      <c r="J1087" s="161"/>
      <c r="K1087" s="30"/>
      <c r="L1087" s="30"/>
      <c r="M1087" s="30"/>
      <c r="N1087" s="30"/>
      <c r="O1087" s="71">
        <f t="shared" si="127"/>
        <v>0</v>
      </c>
      <c r="P1087" s="1070">
        <f t="shared" si="132"/>
        <v>0</v>
      </c>
      <c r="Q1087" s="1071">
        <f t="shared" si="131"/>
        <v>0</v>
      </c>
    </row>
    <row r="1088" spans="1:17" x14ac:dyDescent="0.2">
      <c r="A1088" s="30"/>
      <c r="B1088" s="162"/>
      <c r="C1088" s="259"/>
      <c r="D1088" s="267"/>
      <c r="E1088" s="35"/>
      <c r="F1088" s="151"/>
      <c r="G1088" s="263">
        <f t="shared" si="130"/>
        <v>0</v>
      </c>
      <c r="H1088" s="65"/>
      <c r="I1088" s="275">
        <f t="shared" si="126"/>
        <v>0</v>
      </c>
      <c r="J1088" s="161"/>
      <c r="K1088" s="30"/>
      <c r="L1088" s="30"/>
      <c r="M1088" s="30"/>
      <c r="N1088" s="30"/>
      <c r="O1088" s="71">
        <f t="shared" si="127"/>
        <v>0</v>
      </c>
      <c r="P1088" s="1070">
        <f t="shared" si="132"/>
        <v>0</v>
      </c>
      <c r="Q1088" s="1071">
        <f t="shared" si="131"/>
        <v>0</v>
      </c>
    </row>
    <row r="1089" spans="1:17" x14ac:dyDescent="0.2">
      <c r="A1089" s="30"/>
      <c r="B1089" s="162"/>
      <c r="C1089" s="259"/>
      <c r="D1089" s="267"/>
      <c r="E1089" s="35"/>
      <c r="F1089" s="151"/>
      <c r="G1089" s="263">
        <f t="shared" si="130"/>
        <v>0</v>
      </c>
      <c r="H1089" s="65"/>
      <c r="I1089" s="275">
        <f t="shared" si="126"/>
        <v>0</v>
      </c>
      <c r="J1089" s="161"/>
      <c r="K1089" s="30"/>
      <c r="L1089" s="30"/>
      <c r="M1089" s="30"/>
      <c r="N1089" s="30"/>
      <c r="O1089" s="71">
        <f t="shared" si="127"/>
        <v>0</v>
      </c>
      <c r="P1089" s="1070">
        <f t="shared" si="132"/>
        <v>0</v>
      </c>
      <c r="Q1089" s="1071">
        <f t="shared" si="131"/>
        <v>0</v>
      </c>
    </row>
    <row r="1090" spans="1:17" x14ac:dyDescent="0.2">
      <c r="A1090" s="30"/>
      <c r="B1090" s="162"/>
      <c r="C1090" s="259"/>
      <c r="D1090" s="267"/>
      <c r="E1090" s="35"/>
      <c r="F1090" s="151"/>
      <c r="G1090" s="263">
        <f t="shared" si="130"/>
        <v>0</v>
      </c>
      <c r="H1090" s="65"/>
      <c r="I1090" s="275">
        <f t="shared" si="126"/>
        <v>0</v>
      </c>
      <c r="J1090" s="161"/>
      <c r="K1090" s="30"/>
      <c r="L1090" s="30"/>
      <c r="M1090" s="30"/>
      <c r="N1090" s="30"/>
      <c r="O1090" s="71">
        <f t="shared" si="127"/>
        <v>0</v>
      </c>
      <c r="P1090" s="1070">
        <f t="shared" si="132"/>
        <v>0</v>
      </c>
      <c r="Q1090" s="1071">
        <f t="shared" si="131"/>
        <v>0</v>
      </c>
    </row>
    <row r="1091" spans="1:17" x14ac:dyDescent="0.2">
      <c r="A1091" s="30"/>
      <c r="B1091" s="162"/>
      <c r="C1091" s="259"/>
      <c r="D1091" s="267"/>
      <c r="E1091" s="35"/>
      <c r="F1091" s="151"/>
      <c r="G1091" s="263">
        <f t="shared" si="130"/>
        <v>0</v>
      </c>
      <c r="H1091" s="65"/>
      <c r="I1091" s="275">
        <f t="shared" si="126"/>
        <v>0</v>
      </c>
      <c r="J1091" s="161"/>
      <c r="K1091" s="30"/>
      <c r="L1091" s="30"/>
      <c r="M1091" s="30"/>
      <c r="N1091" s="30"/>
      <c r="O1091" s="71">
        <f t="shared" si="127"/>
        <v>0</v>
      </c>
      <c r="P1091" s="1070">
        <f t="shared" si="132"/>
        <v>0</v>
      </c>
      <c r="Q1091" s="1071">
        <f t="shared" si="131"/>
        <v>0</v>
      </c>
    </row>
    <row r="1092" spans="1:17" x14ac:dyDescent="0.2">
      <c r="A1092" s="30"/>
      <c r="B1092" s="162"/>
      <c r="C1092" s="259"/>
      <c r="D1092" s="267"/>
      <c r="E1092" s="35"/>
      <c r="F1092" s="151"/>
      <c r="G1092" s="263">
        <f t="shared" si="130"/>
        <v>0</v>
      </c>
      <c r="H1092" s="65"/>
      <c r="I1092" s="275">
        <f t="shared" si="126"/>
        <v>0</v>
      </c>
      <c r="J1092" s="161"/>
      <c r="K1092" s="30"/>
      <c r="L1092" s="30"/>
      <c r="M1092" s="30"/>
      <c r="N1092" s="30"/>
      <c r="O1092" s="71">
        <f t="shared" si="127"/>
        <v>0</v>
      </c>
      <c r="P1092" s="1070">
        <f t="shared" si="132"/>
        <v>0</v>
      </c>
      <c r="Q1092" s="1071">
        <f t="shared" si="131"/>
        <v>0</v>
      </c>
    </row>
    <row r="1093" spans="1:17" x14ac:dyDescent="0.2">
      <c r="A1093" s="30"/>
      <c r="B1093" s="162"/>
      <c r="C1093" s="259"/>
      <c r="D1093" s="267"/>
      <c r="E1093" s="35"/>
      <c r="F1093" s="151"/>
      <c r="G1093" s="263">
        <f t="shared" si="130"/>
        <v>0</v>
      </c>
      <c r="H1093" s="65"/>
      <c r="I1093" s="275">
        <f t="shared" si="126"/>
        <v>0</v>
      </c>
      <c r="J1093" s="161"/>
      <c r="K1093" s="30"/>
      <c r="L1093" s="30"/>
      <c r="M1093" s="30"/>
      <c r="N1093" s="30"/>
      <c r="O1093" s="71">
        <f t="shared" si="127"/>
        <v>0</v>
      </c>
      <c r="P1093" s="1070">
        <f t="shared" si="132"/>
        <v>0</v>
      </c>
      <c r="Q1093" s="1071">
        <f t="shared" si="131"/>
        <v>0</v>
      </c>
    </row>
    <row r="1094" spans="1:17" x14ac:dyDescent="0.2">
      <c r="A1094" s="30"/>
      <c r="B1094" s="162"/>
      <c r="C1094" s="259"/>
      <c r="D1094" s="267"/>
      <c r="E1094" s="35"/>
      <c r="F1094" s="151"/>
      <c r="G1094" s="263">
        <f t="shared" si="130"/>
        <v>0</v>
      </c>
      <c r="H1094" s="65"/>
      <c r="I1094" s="275">
        <f t="shared" si="126"/>
        <v>0</v>
      </c>
      <c r="J1094" s="161"/>
      <c r="K1094" s="30"/>
      <c r="L1094" s="30"/>
      <c r="M1094" s="30"/>
      <c r="N1094" s="30"/>
      <c r="O1094" s="71">
        <f t="shared" si="127"/>
        <v>0</v>
      </c>
      <c r="P1094" s="1070">
        <f t="shared" si="132"/>
        <v>0</v>
      </c>
      <c r="Q1094" s="1071">
        <f t="shared" si="131"/>
        <v>0</v>
      </c>
    </row>
    <row r="1095" spans="1:17" x14ac:dyDescent="0.2">
      <c r="A1095" s="30"/>
      <c r="B1095" s="162"/>
      <c r="C1095" s="259"/>
      <c r="D1095" s="267"/>
      <c r="E1095" s="35"/>
      <c r="F1095" s="151"/>
      <c r="G1095" s="263">
        <f t="shared" si="130"/>
        <v>0</v>
      </c>
      <c r="H1095" s="65"/>
      <c r="I1095" s="275">
        <f t="shared" si="126"/>
        <v>0</v>
      </c>
      <c r="J1095" s="161"/>
      <c r="K1095" s="30"/>
      <c r="L1095" s="30"/>
      <c r="M1095" s="30"/>
      <c r="N1095" s="30"/>
      <c r="O1095" s="71">
        <f t="shared" si="127"/>
        <v>0</v>
      </c>
      <c r="P1095" s="1070">
        <f t="shared" si="132"/>
        <v>0</v>
      </c>
      <c r="Q1095" s="1071">
        <f t="shared" si="131"/>
        <v>0</v>
      </c>
    </row>
    <row r="1096" spans="1:17" x14ac:dyDescent="0.2">
      <c r="A1096" s="30"/>
      <c r="B1096" s="162"/>
      <c r="C1096" s="259"/>
      <c r="D1096" s="267"/>
      <c r="E1096" s="35"/>
      <c r="F1096" s="151"/>
      <c r="G1096" s="263">
        <f t="shared" si="130"/>
        <v>0</v>
      </c>
      <c r="H1096" s="65"/>
      <c r="I1096" s="275">
        <f t="shared" si="126"/>
        <v>0</v>
      </c>
      <c r="J1096" s="161"/>
      <c r="K1096" s="30"/>
      <c r="L1096" s="30"/>
      <c r="M1096" s="30"/>
      <c r="N1096" s="30"/>
      <c r="O1096" s="71">
        <f t="shared" si="127"/>
        <v>0</v>
      </c>
      <c r="P1096" s="1070">
        <f t="shared" si="132"/>
        <v>0</v>
      </c>
      <c r="Q1096" s="1071">
        <f t="shared" si="131"/>
        <v>0</v>
      </c>
    </row>
    <row r="1097" spans="1:17" x14ac:dyDescent="0.2">
      <c r="A1097" s="30"/>
      <c r="B1097" s="162"/>
      <c r="C1097" s="259"/>
      <c r="D1097" s="267"/>
      <c r="E1097" s="35"/>
      <c r="F1097" s="151"/>
      <c r="G1097" s="263">
        <f t="shared" si="130"/>
        <v>0</v>
      </c>
      <c r="H1097" s="65"/>
      <c r="I1097" s="275">
        <f t="shared" si="126"/>
        <v>0</v>
      </c>
      <c r="J1097" s="161"/>
      <c r="K1097" s="30"/>
      <c r="L1097" s="30"/>
      <c r="M1097" s="30"/>
      <c r="N1097" s="30"/>
      <c r="O1097" s="71">
        <f t="shared" si="127"/>
        <v>0</v>
      </c>
      <c r="P1097" s="1070">
        <f t="shared" si="132"/>
        <v>0</v>
      </c>
      <c r="Q1097" s="1071">
        <f t="shared" si="131"/>
        <v>0</v>
      </c>
    </row>
    <row r="1098" spans="1:17" x14ac:dyDescent="0.2">
      <c r="A1098" s="30"/>
      <c r="B1098" s="162"/>
      <c r="C1098" s="259"/>
      <c r="D1098" s="267"/>
      <c r="E1098" s="35"/>
      <c r="F1098" s="151"/>
      <c r="G1098" s="263">
        <f t="shared" si="130"/>
        <v>0</v>
      </c>
      <c r="H1098" s="65"/>
      <c r="I1098" s="275">
        <f t="shared" si="126"/>
        <v>0</v>
      </c>
      <c r="J1098" s="161"/>
      <c r="K1098" s="30"/>
      <c r="L1098" s="30"/>
      <c r="M1098" s="30"/>
      <c r="N1098" s="30"/>
      <c r="O1098" s="71">
        <f t="shared" si="127"/>
        <v>0</v>
      </c>
      <c r="P1098" s="1070">
        <f t="shared" si="132"/>
        <v>0</v>
      </c>
      <c r="Q1098" s="1071">
        <f t="shared" si="131"/>
        <v>0</v>
      </c>
    </row>
    <row r="1099" spans="1:17" x14ac:dyDescent="0.2">
      <c r="A1099" s="30"/>
      <c r="B1099" s="162"/>
      <c r="C1099" s="259"/>
      <c r="D1099" s="267"/>
      <c r="E1099" s="35"/>
      <c r="F1099" s="151"/>
      <c r="G1099" s="263">
        <f t="shared" si="130"/>
        <v>0</v>
      </c>
      <c r="H1099" s="65"/>
      <c r="I1099" s="275">
        <f t="shared" si="126"/>
        <v>0</v>
      </c>
      <c r="J1099" s="161"/>
      <c r="K1099" s="30"/>
      <c r="L1099" s="30"/>
      <c r="M1099" s="30"/>
      <c r="N1099" s="30"/>
      <c r="O1099" s="71">
        <f t="shared" si="127"/>
        <v>0</v>
      </c>
      <c r="P1099" s="1070">
        <f t="shared" si="132"/>
        <v>0</v>
      </c>
      <c r="Q1099" s="1071">
        <f t="shared" si="131"/>
        <v>0</v>
      </c>
    </row>
    <row r="1100" spans="1:17" x14ac:dyDescent="0.2">
      <c r="A1100" s="30"/>
      <c r="B1100" s="162"/>
      <c r="C1100" s="259"/>
      <c r="D1100" s="267"/>
      <c r="E1100" s="35"/>
      <c r="F1100" s="151"/>
      <c r="G1100" s="263">
        <f t="shared" si="130"/>
        <v>0</v>
      </c>
      <c r="H1100" s="65"/>
      <c r="I1100" s="275">
        <f t="shared" si="126"/>
        <v>0</v>
      </c>
      <c r="J1100" s="161"/>
      <c r="K1100" s="30"/>
      <c r="L1100" s="30"/>
      <c r="M1100" s="30"/>
      <c r="N1100" s="30"/>
      <c r="O1100" s="71">
        <f t="shared" si="127"/>
        <v>0</v>
      </c>
      <c r="P1100" s="1070">
        <f t="shared" si="132"/>
        <v>0</v>
      </c>
      <c r="Q1100" s="1071">
        <f t="shared" si="131"/>
        <v>0</v>
      </c>
    </row>
    <row r="1101" spans="1:17" x14ac:dyDescent="0.2">
      <c r="A1101" s="30"/>
      <c r="B1101" s="162"/>
      <c r="C1101" s="259"/>
      <c r="D1101" s="267"/>
      <c r="E1101" s="35"/>
      <c r="F1101" s="151"/>
      <c r="G1101" s="263">
        <f t="shared" si="130"/>
        <v>0</v>
      </c>
      <c r="H1101" s="65"/>
      <c r="I1101" s="275">
        <f t="shared" si="126"/>
        <v>0</v>
      </c>
      <c r="J1101" s="161"/>
      <c r="K1101" s="30"/>
      <c r="L1101" s="30"/>
      <c r="M1101" s="30"/>
      <c r="N1101" s="30"/>
      <c r="O1101" s="71">
        <f t="shared" si="127"/>
        <v>0</v>
      </c>
      <c r="P1101" s="1070">
        <f t="shared" si="132"/>
        <v>0</v>
      </c>
      <c r="Q1101" s="1071">
        <f t="shared" si="131"/>
        <v>0</v>
      </c>
    </row>
    <row r="1102" spans="1:17" x14ac:dyDescent="0.2">
      <c r="A1102" s="30"/>
      <c r="B1102" s="162"/>
      <c r="C1102" s="259"/>
      <c r="D1102" s="267"/>
      <c r="E1102" s="35"/>
      <c r="F1102" s="151"/>
      <c r="G1102" s="263">
        <f t="shared" si="130"/>
        <v>0</v>
      </c>
      <c r="H1102" s="65"/>
      <c r="I1102" s="275">
        <f t="shared" si="126"/>
        <v>0</v>
      </c>
      <c r="J1102" s="161"/>
      <c r="K1102" s="30"/>
      <c r="L1102" s="30"/>
      <c r="M1102" s="30"/>
      <c r="N1102" s="30"/>
      <c r="O1102" s="71">
        <f t="shared" si="127"/>
        <v>0</v>
      </c>
      <c r="P1102" s="1070">
        <f t="shared" si="132"/>
        <v>0</v>
      </c>
      <c r="Q1102" s="1071">
        <f t="shared" si="131"/>
        <v>0</v>
      </c>
    </row>
    <row r="1103" spans="1:17" ht="13.5" thickBot="1" x14ac:dyDescent="0.25">
      <c r="A1103" s="30"/>
      <c r="B1103" s="163"/>
      <c r="C1103" s="260"/>
      <c r="D1103" s="268"/>
      <c r="E1103" s="24"/>
      <c r="F1103" s="25"/>
      <c r="G1103" s="264">
        <f t="shared" si="130"/>
        <v>0</v>
      </c>
      <c r="H1103" s="272"/>
      <c r="I1103" s="276">
        <f t="shared" si="126"/>
        <v>0</v>
      </c>
      <c r="J1103" s="161"/>
      <c r="K1103" s="30"/>
      <c r="L1103" s="30"/>
      <c r="M1103" s="30"/>
      <c r="N1103" s="30"/>
      <c r="O1103" s="71">
        <f t="shared" si="127"/>
        <v>0</v>
      </c>
      <c r="P1103" s="1070">
        <f t="shared" si="132"/>
        <v>0</v>
      </c>
      <c r="Q1103" s="1071">
        <f t="shared" si="131"/>
        <v>0</v>
      </c>
    </row>
    <row r="1104" spans="1:17" ht="6.75" customHeight="1" thickBot="1" x14ac:dyDescent="0.25">
      <c r="A1104" s="30"/>
      <c r="B1104" s="155"/>
      <c r="C1104" s="155"/>
      <c r="D1104" s="155"/>
      <c r="E1104" s="155"/>
      <c r="F1104" s="155"/>
      <c r="G1104" s="155"/>
      <c r="H1104" s="155"/>
      <c r="I1104" s="155"/>
      <c r="J1104" s="155"/>
      <c r="K1104" s="30"/>
      <c r="L1104" s="30"/>
      <c r="M1104" s="30"/>
      <c r="N1104" s="30"/>
      <c r="O1104" s="812">
        <f>SUM(O1052:O1103)</f>
        <v>0</v>
      </c>
      <c r="P1104" s="1075">
        <f>SUM(P1052:P1103)</f>
        <v>0</v>
      </c>
      <c r="Q1104" s="813">
        <f>SUM(Q1052:Q1103)</f>
        <v>0</v>
      </c>
    </row>
    <row r="1105" spans="1:17" ht="50.1" customHeight="1" x14ac:dyDescent="0.2">
      <c r="L1105" s="30"/>
      <c r="M1105" s="30"/>
      <c r="N1105" s="30"/>
    </row>
    <row r="1106" spans="1:17" ht="18" x14ac:dyDescent="0.2">
      <c r="A1106" s="1224" t="str">
        <f>UPPER("Patching Summary Table")</f>
        <v>PATCHING SUMMARY TABLE</v>
      </c>
      <c r="B1106" s="1224"/>
      <c r="C1106" s="1224"/>
      <c r="D1106" s="1224"/>
      <c r="E1106" s="1224"/>
      <c r="F1106" s="1224"/>
      <c r="G1106" s="1224"/>
      <c r="H1106" s="1224"/>
      <c r="I1106" s="1224"/>
      <c r="J1106" s="1224"/>
      <c r="K1106" s="30"/>
      <c r="L1106" s="30"/>
      <c r="M1106" s="30"/>
      <c r="N1106" s="30"/>
      <c r="O1106" s="30"/>
      <c r="P1106" s="30"/>
    </row>
    <row r="1107" spans="1:17" ht="8.25" customHeight="1" thickBot="1" x14ac:dyDescent="0.25">
      <c r="A1107" s="30"/>
      <c r="B1107" s="31"/>
      <c r="C1107" s="31"/>
      <c r="D1107" s="31"/>
      <c r="E1107" s="31"/>
      <c r="F1107" s="31"/>
      <c r="G1107" s="31"/>
      <c r="H1107" s="31"/>
      <c r="I1107" s="31"/>
      <c r="J1107" s="31"/>
      <c r="K1107" s="30"/>
      <c r="O1107" s="30"/>
      <c r="P1107" s="30"/>
    </row>
    <row r="1108" spans="1:17" x14ac:dyDescent="0.2">
      <c r="A1108" s="30"/>
      <c r="B1108" s="1310" t="s">
        <v>2</v>
      </c>
      <c r="C1108" s="1319" t="s">
        <v>3</v>
      </c>
      <c r="D1108" s="1310" t="s">
        <v>39</v>
      </c>
      <c r="E1108" s="1308" t="s">
        <v>4</v>
      </c>
      <c r="F1108" s="1223" t="s">
        <v>535</v>
      </c>
      <c r="G1108" s="261" t="s">
        <v>129</v>
      </c>
      <c r="H1108" s="269" t="s">
        <v>102</v>
      </c>
      <c r="I1108" s="152" t="s">
        <v>209</v>
      </c>
      <c r="J1108" s="31"/>
      <c r="K1108" s="30"/>
      <c r="L1108" s="30"/>
      <c r="M1108" s="30"/>
      <c r="N1108" s="30"/>
      <c r="O1108" s="1159" t="s">
        <v>537</v>
      </c>
      <c r="P1108" s="1305"/>
      <c r="Q1108" s="1306"/>
    </row>
    <row r="1109" spans="1:17" ht="13.5" thickBot="1" x14ac:dyDescent="0.25">
      <c r="A1109" s="30"/>
      <c r="B1109" s="1285"/>
      <c r="C1109" s="1320"/>
      <c r="D1109" s="1285"/>
      <c r="E1109" s="1227"/>
      <c r="F1109" s="1242"/>
      <c r="G1109" s="262" t="s">
        <v>100</v>
      </c>
      <c r="H1109" s="270" t="s">
        <v>100</v>
      </c>
      <c r="I1109" s="273" t="s">
        <v>210</v>
      </c>
      <c r="J1109" s="31"/>
      <c r="K1109" s="30"/>
      <c r="L1109" s="30"/>
      <c r="M1109" s="30"/>
      <c r="N1109" s="30"/>
      <c r="O1109" s="41" t="str">
        <f>$Q$41</f>
        <v>Partial</v>
      </c>
      <c r="P1109" s="42" t="str">
        <f>$Q$42</f>
        <v>Full ( HMA)</v>
      </c>
      <c r="Q1109" s="43" t="str">
        <f>$Q$43</f>
        <v>Full (Composite)</v>
      </c>
    </row>
    <row r="1110" spans="1:17" x14ac:dyDescent="0.2">
      <c r="A1110" s="30"/>
      <c r="B1110" s="159"/>
      <c r="C1110" s="258"/>
      <c r="D1110" s="265"/>
      <c r="E1110" s="160"/>
      <c r="F1110" s="266"/>
      <c r="G1110" s="263">
        <f>ABS(C1110-B1110)</f>
        <v>0</v>
      </c>
      <c r="H1110" s="271"/>
      <c r="I1110" s="274">
        <f t="shared" ref="I1110:I1161" si="133">ROUNDUP((G1110*H1110)/9,0)</f>
        <v>0</v>
      </c>
      <c r="J1110" s="161"/>
      <c r="K1110" s="30"/>
      <c r="L1110" s="30"/>
      <c r="M1110" s="30"/>
      <c r="N1110" s="30"/>
      <c r="O1110" s="54">
        <f t="shared" ref="O1110:O1161" si="134">IF($F1110=$Q$41,$I1110,0)</f>
        <v>0</v>
      </c>
      <c r="P1110" s="1069">
        <f t="shared" ref="P1110:P1142" si="135">IF($F1110=$Q$42,$I1110,0)</f>
        <v>0</v>
      </c>
      <c r="Q1110" s="811">
        <f t="shared" ref="Q1110:Q1141" si="136">IF($F1110=$Q$43,$I1110,0)</f>
        <v>0</v>
      </c>
    </row>
    <row r="1111" spans="1:17" x14ac:dyDescent="0.2">
      <c r="A1111" s="30"/>
      <c r="B1111" s="162"/>
      <c r="C1111" s="259"/>
      <c r="D1111" s="267"/>
      <c r="E1111" s="35"/>
      <c r="F1111" s="151"/>
      <c r="G1111" s="263">
        <f t="shared" ref="G1111:G1161" si="137">ABS(C1111-B1111)</f>
        <v>0</v>
      </c>
      <c r="H1111" s="65"/>
      <c r="I1111" s="275">
        <f t="shared" si="133"/>
        <v>0</v>
      </c>
      <c r="J1111" s="161"/>
      <c r="K1111" s="30"/>
      <c r="L1111" s="30"/>
      <c r="M1111" s="30"/>
      <c r="N1111" s="30"/>
      <c r="O1111" s="71">
        <f t="shared" si="134"/>
        <v>0</v>
      </c>
      <c r="P1111" s="1070">
        <f t="shared" si="135"/>
        <v>0</v>
      </c>
      <c r="Q1111" s="1071">
        <f t="shared" si="136"/>
        <v>0</v>
      </c>
    </row>
    <row r="1112" spans="1:17" x14ac:dyDescent="0.2">
      <c r="A1112" s="30"/>
      <c r="B1112" s="162"/>
      <c r="C1112" s="259"/>
      <c r="D1112" s="267"/>
      <c r="E1112" s="35"/>
      <c r="F1112" s="151"/>
      <c r="G1112" s="263">
        <f t="shared" si="137"/>
        <v>0</v>
      </c>
      <c r="H1112" s="65"/>
      <c r="I1112" s="275">
        <f t="shared" si="133"/>
        <v>0</v>
      </c>
      <c r="J1112" s="161"/>
      <c r="K1112" s="30"/>
      <c r="L1112" s="30"/>
      <c r="M1112" s="30"/>
      <c r="N1112" s="30"/>
      <c r="O1112" s="71">
        <f t="shared" si="134"/>
        <v>0</v>
      </c>
      <c r="P1112" s="1070">
        <f t="shared" si="135"/>
        <v>0</v>
      </c>
      <c r="Q1112" s="1071">
        <f t="shared" si="136"/>
        <v>0</v>
      </c>
    </row>
    <row r="1113" spans="1:17" x14ac:dyDescent="0.2">
      <c r="A1113" s="30"/>
      <c r="B1113" s="162"/>
      <c r="C1113" s="259"/>
      <c r="D1113" s="267"/>
      <c r="E1113" s="35"/>
      <c r="F1113" s="151"/>
      <c r="G1113" s="263">
        <f t="shared" si="137"/>
        <v>0</v>
      </c>
      <c r="H1113" s="65"/>
      <c r="I1113" s="275">
        <f t="shared" si="133"/>
        <v>0</v>
      </c>
      <c r="J1113" s="161"/>
      <c r="K1113" s="30"/>
      <c r="L1113" s="30"/>
      <c r="M1113" s="30"/>
      <c r="N1113" s="30"/>
      <c r="O1113" s="71">
        <f t="shared" si="134"/>
        <v>0</v>
      </c>
      <c r="P1113" s="1070">
        <f t="shared" si="135"/>
        <v>0</v>
      </c>
      <c r="Q1113" s="1071">
        <f t="shared" si="136"/>
        <v>0</v>
      </c>
    </row>
    <row r="1114" spans="1:17" x14ac:dyDescent="0.2">
      <c r="A1114" s="30"/>
      <c r="B1114" s="162"/>
      <c r="C1114" s="259"/>
      <c r="D1114" s="267"/>
      <c r="E1114" s="35"/>
      <c r="F1114" s="151"/>
      <c r="G1114" s="263">
        <f t="shared" si="137"/>
        <v>0</v>
      </c>
      <c r="H1114" s="65"/>
      <c r="I1114" s="275">
        <f t="shared" si="133"/>
        <v>0</v>
      </c>
      <c r="J1114" s="161"/>
      <c r="K1114" s="30"/>
      <c r="L1114" s="30"/>
      <c r="M1114" s="30"/>
      <c r="N1114" s="30"/>
      <c r="O1114" s="71">
        <f t="shared" si="134"/>
        <v>0</v>
      </c>
      <c r="P1114" s="1070">
        <f t="shared" si="135"/>
        <v>0</v>
      </c>
      <c r="Q1114" s="1071">
        <f t="shared" si="136"/>
        <v>0</v>
      </c>
    </row>
    <row r="1115" spans="1:17" x14ac:dyDescent="0.2">
      <c r="A1115" s="30"/>
      <c r="B1115" s="162"/>
      <c r="C1115" s="259"/>
      <c r="D1115" s="267"/>
      <c r="E1115" s="35"/>
      <c r="F1115" s="151"/>
      <c r="G1115" s="263">
        <f t="shared" si="137"/>
        <v>0</v>
      </c>
      <c r="H1115" s="65"/>
      <c r="I1115" s="275">
        <f t="shared" si="133"/>
        <v>0</v>
      </c>
      <c r="J1115" s="161"/>
      <c r="K1115" s="30"/>
      <c r="L1115" s="30"/>
      <c r="M1115" s="30"/>
      <c r="N1115" s="30"/>
      <c r="O1115" s="71">
        <f t="shared" si="134"/>
        <v>0</v>
      </c>
      <c r="P1115" s="1070">
        <f t="shared" si="135"/>
        <v>0</v>
      </c>
      <c r="Q1115" s="1071">
        <f t="shared" si="136"/>
        <v>0</v>
      </c>
    </row>
    <row r="1116" spans="1:17" x14ac:dyDescent="0.2">
      <c r="A1116" s="30"/>
      <c r="B1116" s="162"/>
      <c r="C1116" s="259"/>
      <c r="D1116" s="267"/>
      <c r="E1116" s="35"/>
      <c r="F1116" s="151"/>
      <c r="G1116" s="263">
        <f t="shared" si="137"/>
        <v>0</v>
      </c>
      <c r="H1116" s="65"/>
      <c r="I1116" s="275">
        <f t="shared" si="133"/>
        <v>0</v>
      </c>
      <c r="J1116" s="161"/>
      <c r="K1116" s="30"/>
      <c r="L1116" s="30"/>
      <c r="M1116" s="30"/>
      <c r="N1116" s="30"/>
      <c r="O1116" s="71">
        <f t="shared" si="134"/>
        <v>0</v>
      </c>
      <c r="P1116" s="1070">
        <f t="shared" si="135"/>
        <v>0</v>
      </c>
      <c r="Q1116" s="1071">
        <f t="shared" si="136"/>
        <v>0</v>
      </c>
    </row>
    <row r="1117" spans="1:17" x14ac:dyDescent="0.2">
      <c r="A1117" s="30"/>
      <c r="B1117" s="162"/>
      <c r="C1117" s="259"/>
      <c r="D1117" s="267"/>
      <c r="E1117" s="35"/>
      <c r="F1117" s="151"/>
      <c r="G1117" s="263">
        <f t="shared" si="137"/>
        <v>0</v>
      </c>
      <c r="H1117" s="65"/>
      <c r="I1117" s="275">
        <f t="shared" si="133"/>
        <v>0</v>
      </c>
      <c r="J1117" s="161"/>
      <c r="K1117" s="30"/>
      <c r="L1117" s="30"/>
      <c r="M1117" s="30"/>
      <c r="N1117" s="30"/>
      <c r="O1117" s="71">
        <f t="shared" si="134"/>
        <v>0</v>
      </c>
      <c r="P1117" s="1070">
        <f t="shared" si="135"/>
        <v>0</v>
      </c>
      <c r="Q1117" s="1071">
        <f t="shared" si="136"/>
        <v>0</v>
      </c>
    </row>
    <row r="1118" spans="1:17" x14ac:dyDescent="0.2">
      <c r="A1118" s="30"/>
      <c r="B1118" s="162"/>
      <c r="C1118" s="259"/>
      <c r="D1118" s="267"/>
      <c r="E1118" s="35"/>
      <c r="F1118" s="151"/>
      <c r="G1118" s="263">
        <f t="shared" si="137"/>
        <v>0</v>
      </c>
      <c r="H1118" s="65"/>
      <c r="I1118" s="275">
        <f t="shared" si="133"/>
        <v>0</v>
      </c>
      <c r="J1118" s="161"/>
      <c r="K1118" s="30"/>
      <c r="L1118" s="30"/>
      <c r="M1118" s="30"/>
      <c r="N1118" s="30"/>
      <c r="O1118" s="71">
        <f t="shared" si="134"/>
        <v>0</v>
      </c>
      <c r="P1118" s="1070">
        <f t="shared" si="135"/>
        <v>0</v>
      </c>
      <c r="Q1118" s="1071">
        <f t="shared" si="136"/>
        <v>0</v>
      </c>
    </row>
    <row r="1119" spans="1:17" x14ac:dyDescent="0.2">
      <c r="A1119" s="30"/>
      <c r="B1119" s="162"/>
      <c r="C1119" s="259"/>
      <c r="D1119" s="267"/>
      <c r="E1119" s="35"/>
      <c r="F1119" s="151"/>
      <c r="G1119" s="263">
        <f t="shared" si="137"/>
        <v>0</v>
      </c>
      <c r="H1119" s="65"/>
      <c r="I1119" s="275">
        <f t="shared" si="133"/>
        <v>0</v>
      </c>
      <c r="J1119" s="161"/>
      <c r="K1119" s="30"/>
      <c r="L1119" s="30"/>
      <c r="M1119" s="30"/>
      <c r="N1119" s="30"/>
      <c r="O1119" s="71">
        <f t="shared" si="134"/>
        <v>0</v>
      </c>
      <c r="P1119" s="1070">
        <f t="shared" si="135"/>
        <v>0</v>
      </c>
      <c r="Q1119" s="1071">
        <f t="shared" si="136"/>
        <v>0</v>
      </c>
    </row>
    <row r="1120" spans="1:17" x14ac:dyDescent="0.2">
      <c r="A1120" s="30"/>
      <c r="B1120" s="162"/>
      <c r="C1120" s="259"/>
      <c r="D1120" s="267"/>
      <c r="E1120" s="35"/>
      <c r="F1120" s="151"/>
      <c r="G1120" s="263">
        <f t="shared" si="137"/>
        <v>0</v>
      </c>
      <c r="H1120" s="65"/>
      <c r="I1120" s="275">
        <f t="shared" si="133"/>
        <v>0</v>
      </c>
      <c r="J1120" s="161"/>
      <c r="K1120" s="30"/>
      <c r="L1120" s="30"/>
      <c r="M1120" s="30"/>
      <c r="N1120" s="30"/>
      <c r="O1120" s="71">
        <f t="shared" si="134"/>
        <v>0</v>
      </c>
      <c r="P1120" s="1070">
        <f t="shared" si="135"/>
        <v>0</v>
      </c>
      <c r="Q1120" s="1071">
        <f t="shared" si="136"/>
        <v>0</v>
      </c>
    </row>
    <row r="1121" spans="1:17" x14ac:dyDescent="0.2">
      <c r="A1121" s="30"/>
      <c r="B1121" s="162"/>
      <c r="C1121" s="259"/>
      <c r="D1121" s="267"/>
      <c r="E1121" s="35"/>
      <c r="F1121" s="151"/>
      <c r="G1121" s="263">
        <f t="shared" si="137"/>
        <v>0</v>
      </c>
      <c r="H1121" s="65"/>
      <c r="I1121" s="275">
        <f t="shared" si="133"/>
        <v>0</v>
      </c>
      <c r="J1121" s="161"/>
      <c r="K1121" s="30"/>
      <c r="L1121" s="30"/>
      <c r="M1121" s="30"/>
      <c r="N1121" s="30"/>
      <c r="O1121" s="71">
        <f t="shared" si="134"/>
        <v>0</v>
      </c>
      <c r="P1121" s="1070">
        <f t="shared" si="135"/>
        <v>0</v>
      </c>
      <c r="Q1121" s="1071">
        <f t="shared" si="136"/>
        <v>0</v>
      </c>
    </row>
    <row r="1122" spans="1:17" x14ac:dyDescent="0.2">
      <c r="A1122" s="30"/>
      <c r="B1122" s="162"/>
      <c r="C1122" s="259"/>
      <c r="D1122" s="267"/>
      <c r="E1122" s="35"/>
      <c r="F1122" s="151"/>
      <c r="G1122" s="263">
        <f t="shared" si="137"/>
        <v>0</v>
      </c>
      <c r="H1122" s="65"/>
      <c r="I1122" s="275">
        <f t="shared" si="133"/>
        <v>0</v>
      </c>
      <c r="J1122" s="161"/>
      <c r="K1122" s="30"/>
      <c r="L1122" s="30"/>
      <c r="M1122" s="30"/>
      <c r="N1122" s="30"/>
      <c r="O1122" s="71">
        <f t="shared" si="134"/>
        <v>0</v>
      </c>
      <c r="P1122" s="1070">
        <f t="shared" si="135"/>
        <v>0</v>
      </c>
      <c r="Q1122" s="1071">
        <f t="shared" si="136"/>
        <v>0</v>
      </c>
    </row>
    <row r="1123" spans="1:17" x14ac:dyDescent="0.2">
      <c r="A1123" s="30"/>
      <c r="B1123" s="162"/>
      <c r="C1123" s="259"/>
      <c r="D1123" s="267"/>
      <c r="E1123" s="35"/>
      <c r="F1123" s="151"/>
      <c r="G1123" s="263">
        <f t="shared" si="137"/>
        <v>0</v>
      </c>
      <c r="H1123" s="65"/>
      <c r="I1123" s="275">
        <f t="shared" si="133"/>
        <v>0</v>
      </c>
      <c r="J1123" s="161"/>
      <c r="K1123" s="30"/>
      <c r="L1123" s="30"/>
      <c r="M1123" s="30"/>
      <c r="N1123" s="30"/>
      <c r="O1123" s="71">
        <f t="shared" si="134"/>
        <v>0</v>
      </c>
      <c r="P1123" s="1070">
        <f t="shared" si="135"/>
        <v>0</v>
      </c>
      <c r="Q1123" s="1071">
        <f t="shared" si="136"/>
        <v>0</v>
      </c>
    </row>
    <row r="1124" spans="1:17" x14ac:dyDescent="0.2">
      <c r="A1124" s="30"/>
      <c r="B1124" s="162"/>
      <c r="C1124" s="259"/>
      <c r="D1124" s="267"/>
      <c r="E1124" s="35"/>
      <c r="F1124" s="151"/>
      <c r="G1124" s="263">
        <f t="shared" si="137"/>
        <v>0</v>
      </c>
      <c r="H1124" s="65"/>
      <c r="I1124" s="275">
        <f t="shared" si="133"/>
        <v>0</v>
      </c>
      <c r="J1124" s="161"/>
      <c r="K1124" s="30"/>
      <c r="L1124" s="30"/>
      <c r="M1124" s="30"/>
      <c r="N1124" s="30"/>
      <c r="O1124" s="71">
        <f t="shared" si="134"/>
        <v>0</v>
      </c>
      <c r="P1124" s="1070">
        <f t="shared" si="135"/>
        <v>0</v>
      </c>
      <c r="Q1124" s="1071">
        <f t="shared" si="136"/>
        <v>0</v>
      </c>
    </row>
    <row r="1125" spans="1:17" x14ac:dyDescent="0.2">
      <c r="A1125" s="30"/>
      <c r="B1125" s="162"/>
      <c r="C1125" s="259"/>
      <c r="D1125" s="267"/>
      <c r="E1125" s="35"/>
      <c r="F1125" s="151"/>
      <c r="G1125" s="263">
        <f t="shared" si="137"/>
        <v>0</v>
      </c>
      <c r="H1125" s="65"/>
      <c r="I1125" s="275">
        <f t="shared" si="133"/>
        <v>0</v>
      </c>
      <c r="J1125" s="161"/>
      <c r="K1125" s="30"/>
      <c r="L1125" s="30"/>
      <c r="M1125" s="30"/>
      <c r="N1125" s="30"/>
      <c r="O1125" s="71">
        <f t="shared" si="134"/>
        <v>0</v>
      </c>
      <c r="P1125" s="1070">
        <f t="shared" si="135"/>
        <v>0</v>
      </c>
      <c r="Q1125" s="1071">
        <f t="shared" si="136"/>
        <v>0</v>
      </c>
    </row>
    <row r="1126" spans="1:17" x14ac:dyDescent="0.2">
      <c r="A1126" s="30"/>
      <c r="B1126" s="162"/>
      <c r="C1126" s="259"/>
      <c r="D1126" s="267"/>
      <c r="E1126" s="35"/>
      <c r="F1126" s="151"/>
      <c r="G1126" s="263">
        <f t="shared" si="137"/>
        <v>0</v>
      </c>
      <c r="H1126" s="65"/>
      <c r="I1126" s="275">
        <f t="shared" si="133"/>
        <v>0</v>
      </c>
      <c r="J1126" s="161"/>
      <c r="K1126" s="30"/>
      <c r="L1126" s="30"/>
      <c r="M1126" s="30"/>
      <c r="N1126" s="30"/>
      <c r="O1126" s="71">
        <f t="shared" si="134"/>
        <v>0</v>
      </c>
      <c r="P1126" s="1070">
        <f t="shared" si="135"/>
        <v>0</v>
      </c>
      <c r="Q1126" s="1071">
        <f t="shared" si="136"/>
        <v>0</v>
      </c>
    </row>
    <row r="1127" spans="1:17" x14ac:dyDescent="0.2">
      <c r="A1127" s="30"/>
      <c r="B1127" s="162"/>
      <c r="C1127" s="259"/>
      <c r="D1127" s="267"/>
      <c r="E1127" s="35"/>
      <c r="F1127" s="151"/>
      <c r="G1127" s="263">
        <f t="shared" si="137"/>
        <v>0</v>
      </c>
      <c r="H1127" s="65"/>
      <c r="I1127" s="275">
        <f t="shared" si="133"/>
        <v>0</v>
      </c>
      <c r="J1127" s="161"/>
      <c r="K1127" s="30"/>
      <c r="L1127" s="30"/>
      <c r="M1127" s="30"/>
      <c r="N1127" s="30"/>
      <c r="O1127" s="71">
        <f t="shared" si="134"/>
        <v>0</v>
      </c>
      <c r="P1127" s="1070">
        <f t="shared" si="135"/>
        <v>0</v>
      </c>
      <c r="Q1127" s="1071">
        <f t="shared" si="136"/>
        <v>0</v>
      </c>
    </row>
    <row r="1128" spans="1:17" x14ac:dyDescent="0.2">
      <c r="A1128" s="30"/>
      <c r="B1128" s="162"/>
      <c r="C1128" s="259"/>
      <c r="D1128" s="267"/>
      <c r="E1128" s="35"/>
      <c r="F1128" s="151"/>
      <c r="G1128" s="263">
        <f t="shared" si="137"/>
        <v>0</v>
      </c>
      <c r="H1128" s="65"/>
      <c r="I1128" s="275">
        <f t="shared" si="133"/>
        <v>0</v>
      </c>
      <c r="J1128" s="161"/>
      <c r="K1128" s="30"/>
      <c r="L1128" s="30"/>
      <c r="M1128" s="30"/>
      <c r="N1128" s="30"/>
      <c r="O1128" s="71">
        <f t="shared" si="134"/>
        <v>0</v>
      </c>
      <c r="P1128" s="1070">
        <f t="shared" si="135"/>
        <v>0</v>
      </c>
      <c r="Q1128" s="1071">
        <f t="shared" si="136"/>
        <v>0</v>
      </c>
    </row>
    <row r="1129" spans="1:17" x14ac:dyDescent="0.2">
      <c r="A1129" s="30"/>
      <c r="B1129" s="162"/>
      <c r="C1129" s="259"/>
      <c r="D1129" s="267"/>
      <c r="E1129" s="35"/>
      <c r="F1129" s="151"/>
      <c r="G1129" s="263">
        <f t="shared" si="137"/>
        <v>0</v>
      </c>
      <c r="H1129" s="65"/>
      <c r="I1129" s="275">
        <f t="shared" si="133"/>
        <v>0</v>
      </c>
      <c r="J1129" s="161"/>
      <c r="K1129" s="30"/>
      <c r="L1129" s="30"/>
      <c r="M1129" s="30"/>
      <c r="N1129" s="30"/>
      <c r="O1129" s="71">
        <f t="shared" si="134"/>
        <v>0</v>
      </c>
      <c r="P1129" s="1070">
        <f t="shared" si="135"/>
        <v>0</v>
      </c>
      <c r="Q1129" s="1071">
        <f t="shared" si="136"/>
        <v>0</v>
      </c>
    </row>
    <row r="1130" spans="1:17" x14ac:dyDescent="0.2">
      <c r="A1130" s="30"/>
      <c r="B1130" s="162"/>
      <c r="C1130" s="259"/>
      <c r="D1130" s="267"/>
      <c r="E1130" s="35"/>
      <c r="F1130" s="151"/>
      <c r="G1130" s="263">
        <f t="shared" si="137"/>
        <v>0</v>
      </c>
      <c r="H1130" s="65"/>
      <c r="I1130" s="275">
        <f t="shared" si="133"/>
        <v>0</v>
      </c>
      <c r="J1130" s="161"/>
      <c r="K1130" s="30"/>
      <c r="L1130" s="30"/>
      <c r="M1130" s="30"/>
      <c r="N1130" s="30"/>
      <c r="O1130" s="71">
        <f t="shared" si="134"/>
        <v>0</v>
      </c>
      <c r="P1130" s="1070">
        <f t="shared" si="135"/>
        <v>0</v>
      </c>
      <c r="Q1130" s="1071">
        <f t="shared" si="136"/>
        <v>0</v>
      </c>
    </row>
    <row r="1131" spans="1:17" x14ac:dyDescent="0.2">
      <c r="A1131" s="30"/>
      <c r="B1131" s="162"/>
      <c r="C1131" s="259"/>
      <c r="D1131" s="267"/>
      <c r="E1131" s="35"/>
      <c r="F1131" s="151"/>
      <c r="G1131" s="263">
        <f t="shared" si="137"/>
        <v>0</v>
      </c>
      <c r="H1131" s="65"/>
      <c r="I1131" s="275">
        <f t="shared" si="133"/>
        <v>0</v>
      </c>
      <c r="J1131" s="161"/>
      <c r="K1131" s="30"/>
      <c r="L1131" s="30"/>
      <c r="M1131" s="30"/>
      <c r="N1131" s="30"/>
      <c r="O1131" s="71">
        <f t="shared" si="134"/>
        <v>0</v>
      </c>
      <c r="P1131" s="1070">
        <f t="shared" si="135"/>
        <v>0</v>
      </c>
      <c r="Q1131" s="1071">
        <f t="shared" si="136"/>
        <v>0</v>
      </c>
    </row>
    <row r="1132" spans="1:17" x14ac:dyDescent="0.2">
      <c r="A1132" s="30"/>
      <c r="B1132" s="162"/>
      <c r="C1132" s="259"/>
      <c r="D1132" s="267"/>
      <c r="E1132" s="35"/>
      <c r="F1132" s="151"/>
      <c r="G1132" s="263">
        <f t="shared" si="137"/>
        <v>0</v>
      </c>
      <c r="H1132" s="65"/>
      <c r="I1132" s="275">
        <f t="shared" si="133"/>
        <v>0</v>
      </c>
      <c r="J1132" s="161"/>
      <c r="K1132" s="30"/>
      <c r="L1132" s="30"/>
      <c r="M1132" s="30"/>
      <c r="N1132" s="30"/>
      <c r="O1132" s="71">
        <f t="shared" si="134"/>
        <v>0</v>
      </c>
      <c r="P1132" s="1070">
        <f t="shared" si="135"/>
        <v>0</v>
      </c>
      <c r="Q1132" s="1071">
        <f t="shared" si="136"/>
        <v>0</v>
      </c>
    </row>
    <row r="1133" spans="1:17" x14ac:dyDescent="0.2">
      <c r="A1133" s="30"/>
      <c r="B1133" s="162"/>
      <c r="C1133" s="259"/>
      <c r="D1133" s="267"/>
      <c r="E1133" s="35"/>
      <c r="F1133" s="151"/>
      <c r="G1133" s="263">
        <f t="shared" si="137"/>
        <v>0</v>
      </c>
      <c r="H1133" s="65"/>
      <c r="I1133" s="275">
        <f t="shared" si="133"/>
        <v>0</v>
      </c>
      <c r="J1133" s="161"/>
      <c r="K1133" s="30"/>
      <c r="L1133" s="30"/>
      <c r="M1133" s="30"/>
      <c r="N1133" s="30"/>
      <c r="O1133" s="71">
        <f t="shared" si="134"/>
        <v>0</v>
      </c>
      <c r="P1133" s="1070">
        <f t="shared" si="135"/>
        <v>0</v>
      </c>
      <c r="Q1133" s="1071">
        <f t="shared" si="136"/>
        <v>0</v>
      </c>
    </row>
    <row r="1134" spans="1:17" x14ac:dyDescent="0.2">
      <c r="A1134" s="30"/>
      <c r="B1134" s="162"/>
      <c r="C1134" s="259"/>
      <c r="D1134" s="267"/>
      <c r="E1134" s="35"/>
      <c r="F1134" s="151"/>
      <c r="G1134" s="263">
        <f t="shared" si="137"/>
        <v>0</v>
      </c>
      <c r="H1134" s="65"/>
      <c r="I1134" s="275">
        <f t="shared" si="133"/>
        <v>0</v>
      </c>
      <c r="J1134" s="161"/>
      <c r="K1134" s="30"/>
      <c r="L1134" s="30"/>
      <c r="M1134" s="30"/>
      <c r="N1134" s="30"/>
      <c r="O1134" s="71">
        <f t="shared" si="134"/>
        <v>0</v>
      </c>
      <c r="P1134" s="1070">
        <f t="shared" si="135"/>
        <v>0</v>
      </c>
      <c r="Q1134" s="1071">
        <f t="shared" si="136"/>
        <v>0</v>
      </c>
    </row>
    <row r="1135" spans="1:17" x14ac:dyDescent="0.2">
      <c r="A1135" s="30"/>
      <c r="B1135" s="162"/>
      <c r="C1135" s="259"/>
      <c r="D1135" s="267"/>
      <c r="E1135" s="35"/>
      <c r="F1135" s="151"/>
      <c r="G1135" s="263">
        <f t="shared" si="137"/>
        <v>0</v>
      </c>
      <c r="H1135" s="65"/>
      <c r="I1135" s="275">
        <f t="shared" si="133"/>
        <v>0</v>
      </c>
      <c r="J1135" s="161"/>
      <c r="K1135" s="30"/>
      <c r="L1135" s="30"/>
      <c r="M1135" s="30"/>
      <c r="N1135" s="30"/>
      <c r="O1135" s="71">
        <f t="shared" si="134"/>
        <v>0</v>
      </c>
      <c r="P1135" s="1070">
        <f t="shared" si="135"/>
        <v>0</v>
      </c>
      <c r="Q1135" s="1071">
        <f t="shared" si="136"/>
        <v>0</v>
      </c>
    </row>
    <row r="1136" spans="1:17" x14ac:dyDescent="0.2">
      <c r="A1136" s="30"/>
      <c r="B1136" s="162"/>
      <c r="C1136" s="259"/>
      <c r="D1136" s="267"/>
      <c r="E1136" s="35"/>
      <c r="F1136" s="151"/>
      <c r="G1136" s="263">
        <f t="shared" si="137"/>
        <v>0</v>
      </c>
      <c r="H1136" s="65"/>
      <c r="I1136" s="275">
        <f t="shared" si="133"/>
        <v>0</v>
      </c>
      <c r="J1136" s="161"/>
      <c r="K1136" s="30"/>
      <c r="L1136" s="30"/>
      <c r="M1136" s="30"/>
      <c r="N1136" s="30"/>
      <c r="O1136" s="71">
        <f t="shared" si="134"/>
        <v>0</v>
      </c>
      <c r="P1136" s="1070">
        <f t="shared" si="135"/>
        <v>0</v>
      </c>
      <c r="Q1136" s="1071">
        <f t="shared" si="136"/>
        <v>0</v>
      </c>
    </row>
    <row r="1137" spans="1:17" x14ac:dyDescent="0.2">
      <c r="A1137" s="30"/>
      <c r="B1137" s="162"/>
      <c r="C1137" s="259"/>
      <c r="D1137" s="267"/>
      <c r="E1137" s="35"/>
      <c r="F1137" s="151"/>
      <c r="G1137" s="263">
        <f t="shared" si="137"/>
        <v>0</v>
      </c>
      <c r="H1137" s="65"/>
      <c r="I1137" s="275">
        <f t="shared" si="133"/>
        <v>0</v>
      </c>
      <c r="J1137" s="161"/>
      <c r="K1137" s="30"/>
      <c r="L1137" s="30"/>
      <c r="M1137" s="30"/>
      <c r="N1137" s="30"/>
      <c r="O1137" s="71">
        <f t="shared" si="134"/>
        <v>0</v>
      </c>
      <c r="P1137" s="1070">
        <f t="shared" si="135"/>
        <v>0</v>
      </c>
      <c r="Q1137" s="1071">
        <f t="shared" si="136"/>
        <v>0</v>
      </c>
    </row>
    <row r="1138" spans="1:17" x14ac:dyDescent="0.2">
      <c r="A1138" s="30"/>
      <c r="B1138" s="162"/>
      <c r="C1138" s="259"/>
      <c r="D1138" s="267"/>
      <c r="E1138" s="35"/>
      <c r="F1138" s="151"/>
      <c r="G1138" s="263">
        <f t="shared" si="137"/>
        <v>0</v>
      </c>
      <c r="H1138" s="65"/>
      <c r="I1138" s="275">
        <f t="shared" si="133"/>
        <v>0</v>
      </c>
      <c r="J1138" s="161"/>
      <c r="K1138" s="30"/>
      <c r="L1138" s="30"/>
      <c r="M1138" s="30"/>
      <c r="N1138" s="30"/>
      <c r="O1138" s="71">
        <f t="shared" si="134"/>
        <v>0</v>
      </c>
      <c r="P1138" s="1070">
        <f t="shared" si="135"/>
        <v>0</v>
      </c>
      <c r="Q1138" s="1071">
        <f t="shared" si="136"/>
        <v>0</v>
      </c>
    </row>
    <row r="1139" spans="1:17" x14ac:dyDescent="0.2">
      <c r="A1139" s="30"/>
      <c r="B1139" s="162"/>
      <c r="C1139" s="259"/>
      <c r="D1139" s="267"/>
      <c r="E1139" s="35"/>
      <c r="F1139" s="151"/>
      <c r="G1139" s="263">
        <f t="shared" si="137"/>
        <v>0</v>
      </c>
      <c r="H1139" s="65"/>
      <c r="I1139" s="275">
        <f t="shared" si="133"/>
        <v>0</v>
      </c>
      <c r="J1139" s="161"/>
      <c r="K1139" s="30"/>
      <c r="L1139" s="30"/>
      <c r="M1139" s="30"/>
      <c r="N1139" s="30"/>
      <c r="O1139" s="71">
        <f t="shared" si="134"/>
        <v>0</v>
      </c>
      <c r="P1139" s="1070">
        <f t="shared" si="135"/>
        <v>0</v>
      </c>
      <c r="Q1139" s="1071">
        <f t="shared" si="136"/>
        <v>0</v>
      </c>
    </row>
    <row r="1140" spans="1:17" x14ac:dyDescent="0.2">
      <c r="A1140" s="30"/>
      <c r="B1140" s="162"/>
      <c r="C1140" s="259"/>
      <c r="D1140" s="267"/>
      <c r="E1140" s="35"/>
      <c r="F1140" s="151"/>
      <c r="G1140" s="263">
        <f t="shared" si="137"/>
        <v>0</v>
      </c>
      <c r="H1140" s="65"/>
      <c r="I1140" s="275">
        <f t="shared" si="133"/>
        <v>0</v>
      </c>
      <c r="J1140" s="161"/>
      <c r="K1140" s="30"/>
      <c r="L1140" s="30"/>
      <c r="M1140" s="30"/>
      <c r="N1140" s="30"/>
      <c r="O1140" s="71">
        <f t="shared" si="134"/>
        <v>0</v>
      </c>
      <c r="P1140" s="1070">
        <f t="shared" si="135"/>
        <v>0</v>
      </c>
      <c r="Q1140" s="1071">
        <f t="shared" si="136"/>
        <v>0</v>
      </c>
    </row>
    <row r="1141" spans="1:17" x14ac:dyDescent="0.2">
      <c r="A1141" s="30"/>
      <c r="B1141" s="162"/>
      <c r="C1141" s="259"/>
      <c r="D1141" s="267"/>
      <c r="E1141" s="35"/>
      <c r="F1141" s="151"/>
      <c r="G1141" s="263">
        <f t="shared" si="137"/>
        <v>0</v>
      </c>
      <c r="H1141" s="65"/>
      <c r="I1141" s="275">
        <f t="shared" si="133"/>
        <v>0</v>
      </c>
      <c r="J1141" s="161"/>
      <c r="K1141" s="30"/>
      <c r="L1141" s="30"/>
      <c r="M1141" s="30"/>
      <c r="N1141" s="30"/>
      <c r="O1141" s="71">
        <f t="shared" si="134"/>
        <v>0</v>
      </c>
      <c r="P1141" s="1070">
        <f t="shared" si="135"/>
        <v>0</v>
      </c>
      <c r="Q1141" s="1071">
        <f t="shared" si="136"/>
        <v>0</v>
      </c>
    </row>
    <row r="1142" spans="1:17" x14ac:dyDescent="0.2">
      <c r="A1142" s="30"/>
      <c r="B1142" s="162"/>
      <c r="C1142" s="259"/>
      <c r="D1142" s="267"/>
      <c r="E1142" s="35"/>
      <c r="F1142" s="151"/>
      <c r="G1142" s="263">
        <f t="shared" si="137"/>
        <v>0</v>
      </c>
      <c r="H1142" s="65"/>
      <c r="I1142" s="275">
        <f t="shared" si="133"/>
        <v>0</v>
      </c>
      <c r="J1142" s="161"/>
      <c r="K1142" s="30"/>
      <c r="L1142" s="30"/>
      <c r="M1142" s="30"/>
      <c r="N1142" s="30"/>
      <c r="O1142" s="71">
        <f t="shared" si="134"/>
        <v>0</v>
      </c>
      <c r="P1142" s="1070">
        <f t="shared" si="135"/>
        <v>0</v>
      </c>
      <c r="Q1142" s="1071">
        <f t="shared" ref="Q1142:Q1161" si="138">IF($F1142=$Q$43,$I1142,0)</f>
        <v>0</v>
      </c>
    </row>
    <row r="1143" spans="1:17" x14ac:dyDescent="0.2">
      <c r="A1143" s="30"/>
      <c r="B1143" s="162"/>
      <c r="C1143" s="259"/>
      <c r="D1143" s="267"/>
      <c r="E1143" s="35"/>
      <c r="F1143" s="151"/>
      <c r="G1143" s="263">
        <f t="shared" si="137"/>
        <v>0</v>
      </c>
      <c r="H1143" s="65"/>
      <c r="I1143" s="275">
        <f t="shared" si="133"/>
        <v>0</v>
      </c>
      <c r="J1143" s="161"/>
      <c r="K1143" s="30"/>
      <c r="L1143" s="30"/>
      <c r="M1143" s="30"/>
      <c r="N1143" s="30"/>
      <c r="O1143" s="71">
        <f t="shared" si="134"/>
        <v>0</v>
      </c>
      <c r="P1143" s="1070">
        <f t="shared" ref="P1143:P1161" si="139">IF($F1143=$Q$42,$I1143,0)</f>
        <v>0</v>
      </c>
      <c r="Q1143" s="1071">
        <f t="shared" si="138"/>
        <v>0</v>
      </c>
    </row>
    <row r="1144" spans="1:17" x14ac:dyDescent="0.2">
      <c r="A1144" s="30"/>
      <c r="B1144" s="162"/>
      <c r="C1144" s="259"/>
      <c r="D1144" s="267"/>
      <c r="E1144" s="35"/>
      <c r="F1144" s="151"/>
      <c r="G1144" s="263">
        <f t="shared" si="137"/>
        <v>0</v>
      </c>
      <c r="H1144" s="65"/>
      <c r="I1144" s="275">
        <f t="shared" si="133"/>
        <v>0</v>
      </c>
      <c r="J1144" s="161"/>
      <c r="K1144" s="30"/>
      <c r="L1144" s="30"/>
      <c r="M1144" s="30"/>
      <c r="N1144" s="30"/>
      <c r="O1144" s="71">
        <f t="shared" si="134"/>
        <v>0</v>
      </c>
      <c r="P1144" s="1070">
        <f t="shared" si="139"/>
        <v>0</v>
      </c>
      <c r="Q1144" s="1071">
        <f t="shared" si="138"/>
        <v>0</v>
      </c>
    </row>
    <row r="1145" spans="1:17" x14ac:dyDescent="0.2">
      <c r="A1145" s="30"/>
      <c r="B1145" s="162"/>
      <c r="C1145" s="259"/>
      <c r="D1145" s="267"/>
      <c r="E1145" s="35"/>
      <c r="F1145" s="151"/>
      <c r="G1145" s="263">
        <f t="shared" si="137"/>
        <v>0</v>
      </c>
      <c r="H1145" s="65"/>
      <c r="I1145" s="275">
        <f t="shared" si="133"/>
        <v>0</v>
      </c>
      <c r="J1145" s="161"/>
      <c r="K1145" s="30"/>
      <c r="L1145" s="30"/>
      <c r="M1145" s="30"/>
      <c r="N1145" s="30"/>
      <c r="O1145" s="71">
        <f t="shared" si="134"/>
        <v>0</v>
      </c>
      <c r="P1145" s="1070">
        <f t="shared" si="139"/>
        <v>0</v>
      </c>
      <c r="Q1145" s="1071">
        <f t="shared" si="138"/>
        <v>0</v>
      </c>
    </row>
    <row r="1146" spans="1:17" x14ac:dyDescent="0.2">
      <c r="A1146" s="30"/>
      <c r="B1146" s="162"/>
      <c r="C1146" s="259"/>
      <c r="D1146" s="267"/>
      <c r="E1146" s="35"/>
      <c r="F1146" s="151"/>
      <c r="G1146" s="263">
        <f t="shared" si="137"/>
        <v>0</v>
      </c>
      <c r="H1146" s="65"/>
      <c r="I1146" s="275">
        <f t="shared" si="133"/>
        <v>0</v>
      </c>
      <c r="J1146" s="161"/>
      <c r="K1146" s="30"/>
      <c r="L1146" s="30"/>
      <c r="M1146" s="30"/>
      <c r="N1146" s="30"/>
      <c r="O1146" s="71">
        <f t="shared" si="134"/>
        <v>0</v>
      </c>
      <c r="P1146" s="1070">
        <f t="shared" si="139"/>
        <v>0</v>
      </c>
      <c r="Q1146" s="1071">
        <f t="shared" si="138"/>
        <v>0</v>
      </c>
    </row>
    <row r="1147" spans="1:17" x14ac:dyDescent="0.2">
      <c r="A1147" s="30"/>
      <c r="B1147" s="162"/>
      <c r="C1147" s="259"/>
      <c r="D1147" s="267"/>
      <c r="E1147" s="35"/>
      <c r="F1147" s="151"/>
      <c r="G1147" s="263">
        <f t="shared" si="137"/>
        <v>0</v>
      </c>
      <c r="H1147" s="65"/>
      <c r="I1147" s="275">
        <f t="shared" si="133"/>
        <v>0</v>
      </c>
      <c r="J1147" s="161"/>
      <c r="K1147" s="30"/>
      <c r="L1147" s="30"/>
      <c r="M1147" s="30"/>
      <c r="N1147" s="30"/>
      <c r="O1147" s="71">
        <f t="shared" si="134"/>
        <v>0</v>
      </c>
      <c r="P1147" s="1070">
        <f t="shared" si="139"/>
        <v>0</v>
      </c>
      <c r="Q1147" s="1071">
        <f t="shared" si="138"/>
        <v>0</v>
      </c>
    </row>
    <row r="1148" spans="1:17" x14ac:dyDescent="0.2">
      <c r="A1148" s="30"/>
      <c r="B1148" s="162"/>
      <c r="C1148" s="259"/>
      <c r="D1148" s="267"/>
      <c r="E1148" s="35"/>
      <c r="F1148" s="151"/>
      <c r="G1148" s="263">
        <f t="shared" si="137"/>
        <v>0</v>
      </c>
      <c r="H1148" s="65"/>
      <c r="I1148" s="275">
        <f t="shared" si="133"/>
        <v>0</v>
      </c>
      <c r="J1148" s="161"/>
      <c r="K1148" s="30"/>
      <c r="L1148" s="30"/>
      <c r="M1148" s="30"/>
      <c r="N1148" s="30"/>
      <c r="O1148" s="71">
        <f t="shared" si="134"/>
        <v>0</v>
      </c>
      <c r="P1148" s="1070">
        <f t="shared" si="139"/>
        <v>0</v>
      </c>
      <c r="Q1148" s="1071">
        <f t="shared" si="138"/>
        <v>0</v>
      </c>
    </row>
    <row r="1149" spans="1:17" x14ac:dyDescent="0.2">
      <c r="A1149" s="30"/>
      <c r="B1149" s="162"/>
      <c r="C1149" s="259"/>
      <c r="D1149" s="267"/>
      <c r="E1149" s="35"/>
      <c r="F1149" s="151"/>
      <c r="G1149" s="263">
        <f t="shared" si="137"/>
        <v>0</v>
      </c>
      <c r="H1149" s="65"/>
      <c r="I1149" s="275">
        <f t="shared" si="133"/>
        <v>0</v>
      </c>
      <c r="J1149" s="161"/>
      <c r="K1149" s="30"/>
      <c r="L1149" s="30"/>
      <c r="M1149" s="30"/>
      <c r="N1149" s="30"/>
      <c r="O1149" s="71">
        <f t="shared" si="134"/>
        <v>0</v>
      </c>
      <c r="P1149" s="1070">
        <f t="shared" si="139"/>
        <v>0</v>
      </c>
      <c r="Q1149" s="1071">
        <f t="shared" si="138"/>
        <v>0</v>
      </c>
    </row>
    <row r="1150" spans="1:17" x14ac:dyDescent="0.2">
      <c r="A1150" s="30"/>
      <c r="B1150" s="162"/>
      <c r="C1150" s="259"/>
      <c r="D1150" s="267"/>
      <c r="E1150" s="35"/>
      <c r="F1150" s="151"/>
      <c r="G1150" s="263">
        <f t="shared" si="137"/>
        <v>0</v>
      </c>
      <c r="H1150" s="65"/>
      <c r="I1150" s="275">
        <f t="shared" si="133"/>
        <v>0</v>
      </c>
      <c r="J1150" s="161"/>
      <c r="K1150" s="30"/>
      <c r="L1150" s="30"/>
      <c r="M1150" s="30"/>
      <c r="N1150" s="30"/>
      <c r="O1150" s="71">
        <f t="shared" si="134"/>
        <v>0</v>
      </c>
      <c r="P1150" s="1070">
        <f t="shared" si="139"/>
        <v>0</v>
      </c>
      <c r="Q1150" s="1071">
        <f t="shared" si="138"/>
        <v>0</v>
      </c>
    </row>
    <row r="1151" spans="1:17" x14ac:dyDescent="0.2">
      <c r="A1151" s="30"/>
      <c r="B1151" s="162"/>
      <c r="C1151" s="259"/>
      <c r="D1151" s="267"/>
      <c r="E1151" s="35"/>
      <c r="F1151" s="151"/>
      <c r="G1151" s="263">
        <f t="shared" si="137"/>
        <v>0</v>
      </c>
      <c r="H1151" s="65"/>
      <c r="I1151" s="275">
        <f t="shared" si="133"/>
        <v>0</v>
      </c>
      <c r="J1151" s="161"/>
      <c r="K1151" s="30"/>
      <c r="L1151" s="30"/>
      <c r="M1151" s="30"/>
      <c r="N1151" s="30"/>
      <c r="O1151" s="71">
        <f t="shared" si="134"/>
        <v>0</v>
      </c>
      <c r="P1151" s="1070">
        <f t="shared" si="139"/>
        <v>0</v>
      </c>
      <c r="Q1151" s="1071">
        <f t="shared" si="138"/>
        <v>0</v>
      </c>
    </row>
    <row r="1152" spans="1:17" x14ac:dyDescent="0.2">
      <c r="A1152" s="30"/>
      <c r="B1152" s="162"/>
      <c r="C1152" s="259"/>
      <c r="D1152" s="267"/>
      <c r="E1152" s="35"/>
      <c r="F1152" s="151"/>
      <c r="G1152" s="263">
        <f t="shared" si="137"/>
        <v>0</v>
      </c>
      <c r="H1152" s="65"/>
      <c r="I1152" s="275">
        <f t="shared" si="133"/>
        <v>0</v>
      </c>
      <c r="J1152" s="161"/>
      <c r="K1152" s="30"/>
      <c r="L1152" s="30"/>
      <c r="M1152" s="30"/>
      <c r="N1152" s="30"/>
      <c r="O1152" s="71">
        <f t="shared" si="134"/>
        <v>0</v>
      </c>
      <c r="P1152" s="1070">
        <f t="shared" si="139"/>
        <v>0</v>
      </c>
      <c r="Q1152" s="1071">
        <f t="shared" si="138"/>
        <v>0</v>
      </c>
    </row>
    <row r="1153" spans="1:17" x14ac:dyDescent="0.2">
      <c r="A1153" s="30"/>
      <c r="B1153" s="162"/>
      <c r="C1153" s="259"/>
      <c r="D1153" s="267"/>
      <c r="E1153" s="35"/>
      <c r="F1153" s="151"/>
      <c r="G1153" s="263">
        <f t="shared" si="137"/>
        <v>0</v>
      </c>
      <c r="H1153" s="65"/>
      <c r="I1153" s="275">
        <f t="shared" si="133"/>
        <v>0</v>
      </c>
      <c r="J1153" s="161"/>
      <c r="K1153" s="30"/>
      <c r="L1153" s="30"/>
      <c r="M1153" s="30"/>
      <c r="N1153" s="30"/>
      <c r="O1153" s="71">
        <f t="shared" si="134"/>
        <v>0</v>
      </c>
      <c r="P1153" s="1070">
        <f t="shared" si="139"/>
        <v>0</v>
      </c>
      <c r="Q1153" s="1071">
        <f t="shared" si="138"/>
        <v>0</v>
      </c>
    </row>
    <row r="1154" spans="1:17" x14ac:dyDescent="0.2">
      <c r="A1154" s="30"/>
      <c r="B1154" s="162"/>
      <c r="C1154" s="259"/>
      <c r="D1154" s="267"/>
      <c r="E1154" s="35"/>
      <c r="F1154" s="151"/>
      <c r="G1154" s="263">
        <f t="shared" si="137"/>
        <v>0</v>
      </c>
      <c r="H1154" s="65"/>
      <c r="I1154" s="275">
        <f t="shared" si="133"/>
        <v>0</v>
      </c>
      <c r="J1154" s="161"/>
      <c r="K1154" s="30"/>
      <c r="L1154" s="30"/>
      <c r="M1154" s="30"/>
      <c r="N1154" s="30"/>
      <c r="O1154" s="71">
        <f t="shared" si="134"/>
        <v>0</v>
      </c>
      <c r="P1154" s="1070">
        <f t="shared" si="139"/>
        <v>0</v>
      </c>
      <c r="Q1154" s="1071">
        <f t="shared" si="138"/>
        <v>0</v>
      </c>
    </row>
    <row r="1155" spans="1:17" x14ac:dyDescent="0.2">
      <c r="A1155" s="30"/>
      <c r="B1155" s="162"/>
      <c r="C1155" s="259"/>
      <c r="D1155" s="267"/>
      <c r="E1155" s="35"/>
      <c r="F1155" s="151"/>
      <c r="G1155" s="263">
        <f t="shared" si="137"/>
        <v>0</v>
      </c>
      <c r="H1155" s="65"/>
      <c r="I1155" s="275">
        <f t="shared" si="133"/>
        <v>0</v>
      </c>
      <c r="J1155" s="161"/>
      <c r="K1155" s="30"/>
      <c r="L1155" s="30"/>
      <c r="M1155" s="30"/>
      <c r="N1155" s="30"/>
      <c r="O1155" s="71">
        <f t="shared" si="134"/>
        <v>0</v>
      </c>
      <c r="P1155" s="1070">
        <f t="shared" si="139"/>
        <v>0</v>
      </c>
      <c r="Q1155" s="1071">
        <f t="shared" si="138"/>
        <v>0</v>
      </c>
    </row>
    <row r="1156" spans="1:17" x14ac:dyDescent="0.2">
      <c r="A1156" s="30"/>
      <c r="B1156" s="162"/>
      <c r="C1156" s="259"/>
      <c r="D1156" s="267"/>
      <c r="E1156" s="35"/>
      <c r="F1156" s="151"/>
      <c r="G1156" s="263">
        <f t="shared" si="137"/>
        <v>0</v>
      </c>
      <c r="H1156" s="65"/>
      <c r="I1156" s="275">
        <f t="shared" si="133"/>
        <v>0</v>
      </c>
      <c r="J1156" s="161"/>
      <c r="K1156" s="30"/>
      <c r="L1156" s="30"/>
      <c r="M1156" s="30"/>
      <c r="N1156" s="30"/>
      <c r="O1156" s="71">
        <f t="shared" si="134"/>
        <v>0</v>
      </c>
      <c r="P1156" s="1070">
        <f t="shared" si="139"/>
        <v>0</v>
      </c>
      <c r="Q1156" s="1071">
        <f t="shared" si="138"/>
        <v>0</v>
      </c>
    </row>
    <row r="1157" spans="1:17" x14ac:dyDescent="0.2">
      <c r="A1157" s="30"/>
      <c r="B1157" s="162"/>
      <c r="C1157" s="259"/>
      <c r="D1157" s="267"/>
      <c r="E1157" s="35"/>
      <c r="F1157" s="151"/>
      <c r="G1157" s="263">
        <f t="shared" si="137"/>
        <v>0</v>
      </c>
      <c r="H1157" s="65"/>
      <c r="I1157" s="275">
        <f t="shared" si="133"/>
        <v>0</v>
      </c>
      <c r="J1157" s="161"/>
      <c r="K1157" s="30"/>
      <c r="L1157" s="30"/>
      <c r="M1157" s="30"/>
      <c r="N1157" s="30"/>
      <c r="O1157" s="71">
        <f t="shared" si="134"/>
        <v>0</v>
      </c>
      <c r="P1157" s="1070">
        <f t="shared" si="139"/>
        <v>0</v>
      </c>
      <c r="Q1157" s="1071">
        <f t="shared" si="138"/>
        <v>0</v>
      </c>
    </row>
    <row r="1158" spans="1:17" x14ac:dyDescent="0.2">
      <c r="A1158" s="30"/>
      <c r="B1158" s="162"/>
      <c r="C1158" s="259"/>
      <c r="D1158" s="267"/>
      <c r="E1158" s="35"/>
      <c r="F1158" s="151"/>
      <c r="G1158" s="263">
        <f t="shared" si="137"/>
        <v>0</v>
      </c>
      <c r="H1158" s="65"/>
      <c r="I1158" s="275">
        <f t="shared" si="133"/>
        <v>0</v>
      </c>
      <c r="J1158" s="161"/>
      <c r="K1158" s="30"/>
      <c r="L1158" s="30"/>
      <c r="M1158" s="30"/>
      <c r="N1158" s="30"/>
      <c r="O1158" s="71">
        <f t="shared" si="134"/>
        <v>0</v>
      </c>
      <c r="P1158" s="1070">
        <f t="shared" si="139"/>
        <v>0</v>
      </c>
      <c r="Q1158" s="1071">
        <f t="shared" si="138"/>
        <v>0</v>
      </c>
    </row>
    <row r="1159" spans="1:17" x14ac:dyDescent="0.2">
      <c r="A1159" s="30"/>
      <c r="B1159" s="162"/>
      <c r="C1159" s="259"/>
      <c r="D1159" s="267"/>
      <c r="E1159" s="35"/>
      <c r="F1159" s="151"/>
      <c r="G1159" s="263">
        <f t="shared" si="137"/>
        <v>0</v>
      </c>
      <c r="H1159" s="65"/>
      <c r="I1159" s="275">
        <f t="shared" si="133"/>
        <v>0</v>
      </c>
      <c r="J1159" s="161"/>
      <c r="K1159" s="30"/>
      <c r="L1159" s="30"/>
      <c r="M1159" s="30"/>
      <c r="N1159" s="30"/>
      <c r="O1159" s="71">
        <f t="shared" si="134"/>
        <v>0</v>
      </c>
      <c r="P1159" s="1070">
        <f t="shared" si="139"/>
        <v>0</v>
      </c>
      <c r="Q1159" s="1071">
        <f t="shared" si="138"/>
        <v>0</v>
      </c>
    </row>
    <row r="1160" spans="1:17" x14ac:dyDescent="0.2">
      <c r="A1160" s="30"/>
      <c r="B1160" s="162"/>
      <c r="C1160" s="259"/>
      <c r="D1160" s="267"/>
      <c r="E1160" s="35"/>
      <c r="F1160" s="151"/>
      <c r="G1160" s="263">
        <f t="shared" si="137"/>
        <v>0</v>
      </c>
      <c r="H1160" s="65"/>
      <c r="I1160" s="275">
        <f t="shared" si="133"/>
        <v>0</v>
      </c>
      <c r="J1160" s="161"/>
      <c r="K1160" s="30"/>
      <c r="L1160" s="30"/>
      <c r="M1160" s="30"/>
      <c r="N1160" s="30"/>
      <c r="O1160" s="71">
        <f t="shared" si="134"/>
        <v>0</v>
      </c>
      <c r="P1160" s="1070">
        <f t="shared" si="139"/>
        <v>0</v>
      </c>
      <c r="Q1160" s="1071">
        <f t="shared" si="138"/>
        <v>0</v>
      </c>
    </row>
    <row r="1161" spans="1:17" ht="13.5" thickBot="1" x14ac:dyDescent="0.25">
      <c r="A1161" s="30"/>
      <c r="B1161" s="163"/>
      <c r="C1161" s="260"/>
      <c r="D1161" s="268"/>
      <c r="E1161" s="24"/>
      <c r="F1161" s="25"/>
      <c r="G1161" s="264">
        <f t="shared" si="137"/>
        <v>0</v>
      </c>
      <c r="H1161" s="272"/>
      <c r="I1161" s="276">
        <f t="shared" si="133"/>
        <v>0</v>
      </c>
      <c r="J1161" s="161"/>
      <c r="K1161" s="30"/>
      <c r="L1161" s="30"/>
      <c r="M1161" s="30"/>
      <c r="N1161" s="30"/>
      <c r="O1161" s="71">
        <f t="shared" si="134"/>
        <v>0</v>
      </c>
      <c r="P1161" s="1070">
        <f t="shared" si="139"/>
        <v>0</v>
      </c>
      <c r="Q1161" s="1071">
        <f t="shared" si="138"/>
        <v>0</v>
      </c>
    </row>
    <row r="1162" spans="1:17" ht="6.75" customHeight="1" thickBot="1" x14ac:dyDescent="0.25">
      <c r="A1162" s="30"/>
      <c r="B1162" s="155"/>
      <c r="C1162" s="155"/>
      <c r="D1162" s="155"/>
      <c r="E1162" s="155"/>
      <c r="F1162" s="155"/>
      <c r="G1162" s="155"/>
      <c r="H1162" s="155"/>
      <c r="I1162" s="155"/>
      <c r="J1162" s="155"/>
      <c r="K1162" s="30"/>
      <c r="L1162" s="30"/>
      <c r="M1162" s="30"/>
      <c r="N1162" s="30"/>
      <c r="O1162" s="812">
        <f>SUM(O1110:O1161)</f>
        <v>0</v>
      </c>
      <c r="P1162" s="1075">
        <f>SUM(P1110:P1161)</f>
        <v>0</v>
      </c>
      <c r="Q1162" s="813">
        <f>SUM(Q1110:Q1161)</f>
        <v>0</v>
      </c>
    </row>
    <row r="1163" spans="1:17" ht="50.1" customHeight="1" x14ac:dyDescent="0.2">
      <c r="A1163" s="30"/>
      <c r="B1163" s="155"/>
      <c r="C1163" s="155"/>
      <c r="D1163" s="155"/>
      <c r="E1163" s="155"/>
      <c r="F1163" s="155"/>
      <c r="G1163" s="155"/>
      <c r="H1163" s="155"/>
      <c r="I1163" s="155"/>
      <c r="J1163" s="155"/>
      <c r="K1163" s="30"/>
      <c r="L1163" s="30"/>
      <c r="M1163" s="30"/>
      <c r="N1163" s="30"/>
      <c r="O1163" s="30"/>
      <c r="P1163" s="30"/>
    </row>
    <row r="1164" spans="1:17" ht="18" x14ac:dyDescent="0.2">
      <c r="A1164" s="1224" t="str">
        <f>UPPER("Patching Summary Table")</f>
        <v>PATCHING SUMMARY TABLE</v>
      </c>
      <c r="B1164" s="1224"/>
      <c r="C1164" s="1224"/>
      <c r="D1164" s="1224"/>
      <c r="E1164" s="1224"/>
      <c r="F1164" s="1224"/>
      <c r="G1164" s="1224"/>
      <c r="H1164" s="1224"/>
      <c r="I1164" s="1224"/>
      <c r="J1164" s="1224"/>
      <c r="K1164" s="30"/>
      <c r="L1164" s="30"/>
      <c r="M1164" s="30"/>
      <c r="N1164" s="30"/>
      <c r="O1164" s="30"/>
      <c r="P1164" s="30"/>
    </row>
    <row r="1165" spans="1:17" ht="8.25" customHeight="1" thickBot="1" x14ac:dyDescent="0.25">
      <c r="A1165" s="30"/>
      <c r="B1165" s="31"/>
      <c r="C1165" s="31"/>
      <c r="D1165" s="31"/>
      <c r="E1165" s="31"/>
      <c r="F1165" s="31"/>
      <c r="G1165" s="31"/>
      <c r="H1165" s="31"/>
      <c r="I1165" s="31"/>
      <c r="J1165" s="31"/>
      <c r="K1165" s="30"/>
      <c r="L1165" s="30"/>
      <c r="M1165" s="30"/>
      <c r="N1165" s="30"/>
      <c r="O1165" s="30"/>
      <c r="P1165" s="30"/>
    </row>
    <row r="1166" spans="1:17" x14ac:dyDescent="0.2">
      <c r="A1166" s="30"/>
      <c r="B1166" s="1310" t="s">
        <v>2</v>
      </c>
      <c r="C1166" s="1319" t="s">
        <v>3</v>
      </c>
      <c r="D1166" s="1310" t="s">
        <v>39</v>
      </c>
      <c r="E1166" s="1308" t="s">
        <v>4</v>
      </c>
      <c r="F1166" s="1223" t="s">
        <v>535</v>
      </c>
      <c r="G1166" s="261" t="s">
        <v>129</v>
      </c>
      <c r="H1166" s="269" t="s">
        <v>102</v>
      </c>
      <c r="I1166" s="152" t="s">
        <v>209</v>
      </c>
      <c r="J1166" s="31"/>
      <c r="K1166" s="30"/>
      <c r="L1166" s="30"/>
      <c r="M1166" s="30"/>
      <c r="N1166" s="30"/>
      <c r="O1166" s="1159" t="s">
        <v>537</v>
      </c>
      <c r="P1166" s="1305"/>
      <c r="Q1166" s="1306"/>
    </row>
    <row r="1167" spans="1:17" ht="13.5" thickBot="1" x14ac:dyDescent="0.25">
      <c r="A1167" s="30"/>
      <c r="B1167" s="1285"/>
      <c r="C1167" s="1320"/>
      <c r="D1167" s="1285"/>
      <c r="E1167" s="1227"/>
      <c r="F1167" s="1242"/>
      <c r="G1167" s="262" t="s">
        <v>100</v>
      </c>
      <c r="H1167" s="270" t="s">
        <v>100</v>
      </c>
      <c r="I1167" s="273" t="s">
        <v>210</v>
      </c>
      <c r="J1167" s="31"/>
      <c r="K1167" s="30"/>
      <c r="L1167" s="30"/>
      <c r="M1167" s="30"/>
      <c r="N1167" s="30"/>
      <c r="O1167" s="41" t="str">
        <f>$Q$41</f>
        <v>Partial</v>
      </c>
      <c r="P1167" s="42" t="str">
        <f>$Q$42</f>
        <v>Full ( HMA)</v>
      </c>
      <c r="Q1167" s="43" t="str">
        <f>$Q$43</f>
        <v>Full (Composite)</v>
      </c>
    </row>
    <row r="1168" spans="1:17" x14ac:dyDescent="0.2">
      <c r="A1168" s="30"/>
      <c r="B1168" s="159"/>
      <c r="C1168" s="258"/>
      <c r="D1168" s="265"/>
      <c r="E1168" s="160"/>
      <c r="F1168" s="266"/>
      <c r="G1168" s="263">
        <f>ABS(C1168-B1168)</f>
        <v>0</v>
      </c>
      <c r="H1168" s="271"/>
      <c r="I1168" s="274">
        <f t="shared" ref="I1168:I1219" si="140">ROUNDUP((G1168*H1168)/9,0)</f>
        <v>0</v>
      </c>
      <c r="J1168" s="161"/>
      <c r="K1168" s="30"/>
      <c r="L1168" s="30"/>
      <c r="M1168" s="30"/>
      <c r="N1168" s="30"/>
      <c r="O1168" s="54">
        <f t="shared" ref="O1168:O1219" si="141">IF($F1168=$Q$41,$I1168,0)</f>
        <v>0</v>
      </c>
      <c r="P1168" s="1069">
        <f t="shared" ref="P1168:P1200" si="142">IF($F1168=$Q$42,$I1168,0)</f>
        <v>0</v>
      </c>
      <c r="Q1168" s="811">
        <f t="shared" ref="Q1168:Q1199" si="143">IF($F1168=$Q$43,$I1168,0)</f>
        <v>0</v>
      </c>
    </row>
    <row r="1169" spans="1:17" x14ac:dyDescent="0.2">
      <c r="A1169" s="30"/>
      <c r="B1169" s="162"/>
      <c r="C1169" s="259"/>
      <c r="D1169" s="267"/>
      <c r="E1169" s="35"/>
      <c r="F1169" s="151"/>
      <c r="G1169" s="263">
        <f t="shared" ref="G1169:G1219" si="144">ABS(C1169-B1169)</f>
        <v>0</v>
      </c>
      <c r="H1169" s="65"/>
      <c r="I1169" s="275">
        <f t="shared" si="140"/>
        <v>0</v>
      </c>
      <c r="J1169" s="161"/>
      <c r="K1169" s="30"/>
      <c r="L1169" s="30"/>
      <c r="M1169" s="30"/>
      <c r="N1169" s="30"/>
      <c r="O1169" s="71">
        <f t="shared" si="141"/>
        <v>0</v>
      </c>
      <c r="P1169" s="1070">
        <f t="shared" si="142"/>
        <v>0</v>
      </c>
      <c r="Q1169" s="1071">
        <f t="shared" si="143"/>
        <v>0</v>
      </c>
    </row>
    <row r="1170" spans="1:17" x14ac:dyDescent="0.2">
      <c r="A1170" s="30"/>
      <c r="B1170" s="162"/>
      <c r="C1170" s="259"/>
      <c r="D1170" s="267"/>
      <c r="E1170" s="35"/>
      <c r="F1170" s="151"/>
      <c r="G1170" s="263">
        <f t="shared" si="144"/>
        <v>0</v>
      </c>
      <c r="H1170" s="65"/>
      <c r="I1170" s="275">
        <f t="shared" si="140"/>
        <v>0</v>
      </c>
      <c r="J1170" s="161"/>
      <c r="K1170" s="30"/>
      <c r="L1170" s="30"/>
      <c r="M1170" s="30"/>
      <c r="N1170" s="30"/>
      <c r="O1170" s="71">
        <f t="shared" si="141"/>
        <v>0</v>
      </c>
      <c r="P1170" s="1070">
        <f t="shared" si="142"/>
        <v>0</v>
      </c>
      <c r="Q1170" s="1071">
        <f t="shared" si="143"/>
        <v>0</v>
      </c>
    </row>
    <row r="1171" spans="1:17" x14ac:dyDescent="0.2">
      <c r="A1171" s="30"/>
      <c r="B1171" s="162"/>
      <c r="C1171" s="259"/>
      <c r="D1171" s="267"/>
      <c r="E1171" s="35"/>
      <c r="F1171" s="151"/>
      <c r="G1171" s="263">
        <f t="shared" si="144"/>
        <v>0</v>
      </c>
      <c r="H1171" s="65"/>
      <c r="I1171" s="275">
        <f t="shared" si="140"/>
        <v>0</v>
      </c>
      <c r="J1171" s="161"/>
      <c r="K1171" s="30"/>
      <c r="L1171" s="30"/>
      <c r="M1171" s="30"/>
      <c r="N1171" s="30"/>
      <c r="O1171" s="71">
        <f t="shared" si="141"/>
        <v>0</v>
      </c>
      <c r="P1171" s="1070">
        <f t="shared" si="142"/>
        <v>0</v>
      </c>
      <c r="Q1171" s="1071">
        <f t="shared" si="143"/>
        <v>0</v>
      </c>
    </row>
    <row r="1172" spans="1:17" x14ac:dyDescent="0.2">
      <c r="A1172" s="30"/>
      <c r="B1172" s="162"/>
      <c r="C1172" s="259"/>
      <c r="D1172" s="267"/>
      <c r="E1172" s="35"/>
      <c r="F1172" s="151"/>
      <c r="G1172" s="263">
        <f t="shared" si="144"/>
        <v>0</v>
      </c>
      <c r="H1172" s="65"/>
      <c r="I1172" s="275">
        <f t="shared" si="140"/>
        <v>0</v>
      </c>
      <c r="J1172" s="161"/>
      <c r="K1172" s="30"/>
      <c r="L1172" s="30"/>
      <c r="M1172" s="30"/>
      <c r="N1172" s="30"/>
      <c r="O1172" s="71">
        <f t="shared" si="141"/>
        <v>0</v>
      </c>
      <c r="P1172" s="1070">
        <f t="shared" si="142"/>
        <v>0</v>
      </c>
      <c r="Q1172" s="1071">
        <f t="shared" si="143"/>
        <v>0</v>
      </c>
    </row>
    <row r="1173" spans="1:17" x14ac:dyDescent="0.2">
      <c r="A1173" s="30"/>
      <c r="B1173" s="162"/>
      <c r="C1173" s="259"/>
      <c r="D1173" s="267"/>
      <c r="E1173" s="35"/>
      <c r="F1173" s="151"/>
      <c r="G1173" s="263">
        <f t="shared" si="144"/>
        <v>0</v>
      </c>
      <c r="H1173" s="65"/>
      <c r="I1173" s="275">
        <f t="shared" si="140"/>
        <v>0</v>
      </c>
      <c r="J1173" s="161"/>
      <c r="K1173" s="30"/>
      <c r="L1173" s="30"/>
      <c r="M1173" s="30"/>
      <c r="N1173" s="30"/>
      <c r="O1173" s="71">
        <f t="shared" si="141"/>
        <v>0</v>
      </c>
      <c r="P1173" s="1070">
        <f t="shared" si="142"/>
        <v>0</v>
      </c>
      <c r="Q1173" s="1071">
        <f t="shared" si="143"/>
        <v>0</v>
      </c>
    </row>
    <row r="1174" spans="1:17" x14ac:dyDescent="0.2">
      <c r="A1174" s="30"/>
      <c r="B1174" s="162"/>
      <c r="C1174" s="259"/>
      <c r="D1174" s="267"/>
      <c r="E1174" s="35"/>
      <c r="F1174" s="151"/>
      <c r="G1174" s="263">
        <f t="shared" si="144"/>
        <v>0</v>
      </c>
      <c r="H1174" s="65"/>
      <c r="I1174" s="275">
        <f t="shared" si="140"/>
        <v>0</v>
      </c>
      <c r="J1174" s="161"/>
      <c r="K1174" s="30"/>
      <c r="L1174" s="30"/>
      <c r="M1174" s="30"/>
      <c r="N1174" s="30"/>
      <c r="O1174" s="71">
        <f t="shared" si="141"/>
        <v>0</v>
      </c>
      <c r="P1174" s="1070">
        <f t="shared" si="142"/>
        <v>0</v>
      </c>
      <c r="Q1174" s="1071">
        <f t="shared" si="143"/>
        <v>0</v>
      </c>
    </row>
    <row r="1175" spans="1:17" x14ac:dyDescent="0.2">
      <c r="A1175" s="30"/>
      <c r="B1175" s="162"/>
      <c r="C1175" s="259"/>
      <c r="D1175" s="267"/>
      <c r="E1175" s="35"/>
      <c r="F1175" s="151"/>
      <c r="G1175" s="263">
        <f t="shared" si="144"/>
        <v>0</v>
      </c>
      <c r="H1175" s="65"/>
      <c r="I1175" s="275">
        <f t="shared" si="140"/>
        <v>0</v>
      </c>
      <c r="J1175" s="161"/>
      <c r="K1175" s="30"/>
      <c r="L1175" s="30"/>
      <c r="M1175" s="30"/>
      <c r="N1175" s="30"/>
      <c r="O1175" s="71">
        <f t="shared" si="141"/>
        <v>0</v>
      </c>
      <c r="P1175" s="1070">
        <f t="shared" si="142"/>
        <v>0</v>
      </c>
      <c r="Q1175" s="1071">
        <f t="shared" si="143"/>
        <v>0</v>
      </c>
    </row>
    <row r="1176" spans="1:17" x14ac:dyDescent="0.2">
      <c r="A1176" s="30"/>
      <c r="B1176" s="162"/>
      <c r="C1176" s="259"/>
      <c r="D1176" s="267"/>
      <c r="E1176" s="35"/>
      <c r="F1176" s="151"/>
      <c r="G1176" s="263">
        <f t="shared" si="144"/>
        <v>0</v>
      </c>
      <c r="H1176" s="65"/>
      <c r="I1176" s="275">
        <f t="shared" si="140"/>
        <v>0</v>
      </c>
      <c r="J1176" s="161"/>
      <c r="K1176" s="30"/>
      <c r="L1176" s="30"/>
      <c r="M1176" s="30"/>
      <c r="N1176" s="30"/>
      <c r="O1176" s="71">
        <f t="shared" si="141"/>
        <v>0</v>
      </c>
      <c r="P1176" s="1070">
        <f t="shared" si="142"/>
        <v>0</v>
      </c>
      <c r="Q1176" s="1071">
        <f t="shared" si="143"/>
        <v>0</v>
      </c>
    </row>
    <row r="1177" spans="1:17" x14ac:dyDescent="0.2">
      <c r="A1177" s="30"/>
      <c r="B1177" s="162"/>
      <c r="C1177" s="259"/>
      <c r="D1177" s="267"/>
      <c r="E1177" s="35"/>
      <c r="F1177" s="151"/>
      <c r="G1177" s="263">
        <f t="shared" si="144"/>
        <v>0</v>
      </c>
      <c r="H1177" s="65"/>
      <c r="I1177" s="275">
        <f t="shared" si="140"/>
        <v>0</v>
      </c>
      <c r="J1177" s="161"/>
      <c r="K1177" s="30"/>
      <c r="L1177" s="30"/>
      <c r="M1177" s="30"/>
      <c r="N1177" s="30"/>
      <c r="O1177" s="71">
        <f t="shared" si="141"/>
        <v>0</v>
      </c>
      <c r="P1177" s="1070">
        <f t="shared" si="142"/>
        <v>0</v>
      </c>
      <c r="Q1177" s="1071">
        <f t="shared" si="143"/>
        <v>0</v>
      </c>
    </row>
    <row r="1178" spans="1:17" x14ac:dyDescent="0.2">
      <c r="A1178" s="30"/>
      <c r="B1178" s="162"/>
      <c r="C1178" s="259"/>
      <c r="D1178" s="267"/>
      <c r="E1178" s="35"/>
      <c r="F1178" s="151"/>
      <c r="G1178" s="263">
        <f t="shared" si="144"/>
        <v>0</v>
      </c>
      <c r="H1178" s="65"/>
      <c r="I1178" s="275">
        <f t="shared" si="140"/>
        <v>0</v>
      </c>
      <c r="J1178" s="161"/>
      <c r="K1178" s="30"/>
      <c r="L1178" s="30"/>
      <c r="M1178" s="30"/>
      <c r="N1178" s="30"/>
      <c r="O1178" s="71">
        <f t="shared" si="141"/>
        <v>0</v>
      </c>
      <c r="P1178" s="1070">
        <f t="shared" si="142"/>
        <v>0</v>
      </c>
      <c r="Q1178" s="1071">
        <f t="shared" si="143"/>
        <v>0</v>
      </c>
    </row>
    <row r="1179" spans="1:17" x14ac:dyDescent="0.2">
      <c r="A1179" s="30"/>
      <c r="B1179" s="162"/>
      <c r="C1179" s="259"/>
      <c r="D1179" s="267"/>
      <c r="E1179" s="35"/>
      <c r="F1179" s="151"/>
      <c r="G1179" s="263">
        <f t="shared" si="144"/>
        <v>0</v>
      </c>
      <c r="H1179" s="65"/>
      <c r="I1179" s="275">
        <f t="shared" si="140"/>
        <v>0</v>
      </c>
      <c r="J1179" s="161"/>
      <c r="K1179" s="30"/>
      <c r="L1179" s="30"/>
      <c r="M1179" s="30"/>
      <c r="N1179" s="30"/>
      <c r="O1179" s="71">
        <f t="shared" si="141"/>
        <v>0</v>
      </c>
      <c r="P1179" s="1070">
        <f t="shared" si="142"/>
        <v>0</v>
      </c>
      <c r="Q1179" s="1071">
        <f t="shared" si="143"/>
        <v>0</v>
      </c>
    </row>
    <row r="1180" spans="1:17" x14ac:dyDescent="0.2">
      <c r="A1180" s="30"/>
      <c r="B1180" s="162"/>
      <c r="C1180" s="259"/>
      <c r="D1180" s="267"/>
      <c r="E1180" s="35"/>
      <c r="F1180" s="151"/>
      <c r="G1180" s="263">
        <f t="shared" si="144"/>
        <v>0</v>
      </c>
      <c r="H1180" s="65"/>
      <c r="I1180" s="275">
        <f t="shared" si="140"/>
        <v>0</v>
      </c>
      <c r="J1180" s="161"/>
      <c r="K1180" s="30"/>
      <c r="L1180" s="30"/>
      <c r="M1180" s="30"/>
      <c r="N1180" s="30"/>
      <c r="O1180" s="71">
        <f t="shared" si="141"/>
        <v>0</v>
      </c>
      <c r="P1180" s="1070">
        <f t="shared" si="142"/>
        <v>0</v>
      </c>
      <c r="Q1180" s="1071">
        <f t="shared" si="143"/>
        <v>0</v>
      </c>
    </row>
    <row r="1181" spans="1:17" x14ac:dyDescent="0.2">
      <c r="A1181" s="30"/>
      <c r="B1181" s="162"/>
      <c r="C1181" s="259"/>
      <c r="D1181" s="267"/>
      <c r="E1181" s="35"/>
      <c r="F1181" s="151"/>
      <c r="G1181" s="263">
        <f t="shared" si="144"/>
        <v>0</v>
      </c>
      <c r="H1181" s="65"/>
      <c r="I1181" s="275">
        <f t="shared" si="140"/>
        <v>0</v>
      </c>
      <c r="J1181" s="161"/>
      <c r="K1181" s="30"/>
      <c r="L1181" s="30"/>
      <c r="M1181" s="30"/>
      <c r="N1181" s="30"/>
      <c r="O1181" s="71">
        <f t="shared" si="141"/>
        <v>0</v>
      </c>
      <c r="P1181" s="1070">
        <f t="shared" si="142"/>
        <v>0</v>
      </c>
      <c r="Q1181" s="1071">
        <f t="shared" si="143"/>
        <v>0</v>
      </c>
    </row>
    <row r="1182" spans="1:17" x14ac:dyDescent="0.2">
      <c r="A1182" s="30"/>
      <c r="B1182" s="162"/>
      <c r="C1182" s="259"/>
      <c r="D1182" s="267"/>
      <c r="E1182" s="35"/>
      <c r="F1182" s="151"/>
      <c r="G1182" s="263">
        <f t="shared" si="144"/>
        <v>0</v>
      </c>
      <c r="H1182" s="65"/>
      <c r="I1182" s="275">
        <f t="shared" si="140"/>
        <v>0</v>
      </c>
      <c r="J1182" s="161"/>
      <c r="K1182" s="30"/>
      <c r="L1182" s="30"/>
      <c r="M1182" s="30"/>
      <c r="N1182" s="30"/>
      <c r="O1182" s="71">
        <f t="shared" si="141"/>
        <v>0</v>
      </c>
      <c r="P1182" s="1070">
        <f t="shared" si="142"/>
        <v>0</v>
      </c>
      <c r="Q1182" s="1071">
        <f t="shared" si="143"/>
        <v>0</v>
      </c>
    </row>
    <row r="1183" spans="1:17" x14ac:dyDescent="0.2">
      <c r="A1183" s="30"/>
      <c r="B1183" s="162"/>
      <c r="C1183" s="259"/>
      <c r="D1183" s="267"/>
      <c r="E1183" s="35"/>
      <c r="F1183" s="151"/>
      <c r="G1183" s="263">
        <f t="shared" si="144"/>
        <v>0</v>
      </c>
      <c r="H1183" s="65"/>
      <c r="I1183" s="275">
        <f t="shared" si="140"/>
        <v>0</v>
      </c>
      <c r="J1183" s="161"/>
      <c r="K1183" s="30"/>
      <c r="L1183" s="30"/>
      <c r="M1183" s="30"/>
      <c r="N1183" s="30"/>
      <c r="O1183" s="71">
        <f t="shared" si="141"/>
        <v>0</v>
      </c>
      <c r="P1183" s="1070">
        <f t="shared" si="142"/>
        <v>0</v>
      </c>
      <c r="Q1183" s="1071">
        <f t="shared" si="143"/>
        <v>0</v>
      </c>
    </row>
    <row r="1184" spans="1:17" x14ac:dyDescent="0.2">
      <c r="A1184" s="30"/>
      <c r="B1184" s="162"/>
      <c r="C1184" s="259"/>
      <c r="D1184" s="267"/>
      <c r="E1184" s="35"/>
      <c r="F1184" s="151"/>
      <c r="G1184" s="263">
        <f t="shared" si="144"/>
        <v>0</v>
      </c>
      <c r="H1184" s="65"/>
      <c r="I1184" s="275">
        <f t="shared" si="140"/>
        <v>0</v>
      </c>
      <c r="J1184" s="161"/>
      <c r="K1184" s="30"/>
      <c r="L1184" s="30"/>
      <c r="M1184" s="30"/>
      <c r="N1184" s="30"/>
      <c r="O1184" s="71">
        <f t="shared" si="141"/>
        <v>0</v>
      </c>
      <c r="P1184" s="1070">
        <f t="shared" si="142"/>
        <v>0</v>
      </c>
      <c r="Q1184" s="1071">
        <f t="shared" si="143"/>
        <v>0</v>
      </c>
    </row>
    <row r="1185" spans="1:17" x14ac:dyDescent="0.2">
      <c r="A1185" s="30"/>
      <c r="B1185" s="162"/>
      <c r="C1185" s="259"/>
      <c r="D1185" s="267"/>
      <c r="E1185" s="35"/>
      <c r="F1185" s="151"/>
      <c r="G1185" s="263">
        <f t="shared" si="144"/>
        <v>0</v>
      </c>
      <c r="H1185" s="65"/>
      <c r="I1185" s="275">
        <f t="shared" si="140"/>
        <v>0</v>
      </c>
      <c r="J1185" s="161"/>
      <c r="K1185" s="30"/>
      <c r="L1185" s="30"/>
      <c r="M1185" s="30"/>
      <c r="N1185" s="30"/>
      <c r="O1185" s="71">
        <f t="shared" si="141"/>
        <v>0</v>
      </c>
      <c r="P1185" s="1070">
        <f t="shared" si="142"/>
        <v>0</v>
      </c>
      <c r="Q1185" s="1071">
        <f t="shared" si="143"/>
        <v>0</v>
      </c>
    </row>
    <row r="1186" spans="1:17" x14ac:dyDescent="0.2">
      <c r="A1186" s="30"/>
      <c r="B1186" s="162"/>
      <c r="C1186" s="259"/>
      <c r="D1186" s="267"/>
      <c r="E1186" s="35"/>
      <c r="F1186" s="151"/>
      <c r="G1186" s="263">
        <f t="shared" si="144"/>
        <v>0</v>
      </c>
      <c r="H1186" s="65"/>
      <c r="I1186" s="275">
        <f t="shared" si="140"/>
        <v>0</v>
      </c>
      <c r="J1186" s="161"/>
      <c r="K1186" s="30"/>
      <c r="L1186" s="30"/>
      <c r="M1186" s="30"/>
      <c r="N1186" s="30"/>
      <c r="O1186" s="71">
        <f t="shared" si="141"/>
        <v>0</v>
      </c>
      <c r="P1186" s="1070">
        <f t="shared" si="142"/>
        <v>0</v>
      </c>
      <c r="Q1186" s="1071">
        <f t="shared" si="143"/>
        <v>0</v>
      </c>
    </row>
    <row r="1187" spans="1:17" x14ac:dyDescent="0.2">
      <c r="A1187" s="30"/>
      <c r="B1187" s="162"/>
      <c r="C1187" s="259"/>
      <c r="D1187" s="267"/>
      <c r="E1187" s="35"/>
      <c r="F1187" s="151"/>
      <c r="G1187" s="263">
        <f t="shared" si="144"/>
        <v>0</v>
      </c>
      <c r="H1187" s="65"/>
      <c r="I1187" s="275">
        <f t="shared" si="140"/>
        <v>0</v>
      </c>
      <c r="J1187" s="161"/>
      <c r="K1187" s="30"/>
      <c r="L1187" s="30"/>
      <c r="M1187" s="30"/>
      <c r="N1187" s="30"/>
      <c r="O1187" s="71">
        <f t="shared" si="141"/>
        <v>0</v>
      </c>
      <c r="P1187" s="1070">
        <f t="shared" si="142"/>
        <v>0</v>
      </c>
      <c r="Q1187" s="1071">
        <f t="shared" si="143"/>
        <v>0</v>
      </c>
    </row>
    <row r="1188" spans="1:17" x14ac:dyDescent="0.2">
      <c r="A1188" s="30"/>
      <c r="B1188" s="162"/>
      <c r="C1188" s="259"/>
      <c r="D1188" s="267"/>
      <c r="E1188" s="35"/>
      <c r="F1188" s="151"/>
      <c r="G1188" s="263">
        <f t="shared" si="144"/>
        <v>0</v>
      </c>
      <c r="H1188" s="65"/>
      <c r="I1188" s="275">
        <f t="shared" si="140"/>
        <v>0</v>
      </c>
      <c r="J1188" s="161"/>
      <c r="K1188" s="30"/>
      <c r="L1188" s="30"/>
      <c r="M1188" s="30"/>
      <c r="N1188" s="30"/>
      <c r="O1188" s="71">
        <f t="shared" si="141"/>
        <v>0</v>
      </c>
      <c r="P1188" s="1070">
        <f t="shared" si="142"/>
        <v>0</v>
      </c>
      <c r="Q1188" s="1071">
        <f t="shared" si="143"/>
        <v>0</v>
      </c>
    </row>
    <row r="1189" spans="1:17" x14ac:dyDescent="0.2">
      <c r="A1189" s="30"/>
      <c r="B1189" s="162"/>
      <c r="C1189" s="259"/>
      <c r="D1189" s="267"/>
      <c r="E1189" s="35"/>
      <c r="F1189" s="151"/>
      <c r="G1189" s="263">
        <f t="shared" si="144"/>
        <v>0</v>
      </c>
      <c r="H1189" s="65"/>
      <c r="I1189" s="275">
        <f t="shared" si="140"/>
        <v>0</v>
      </c>
      <c r="J1189" s="161"/>
      <c r="K1189" s="30"/>
      <c r="L1189" s="30"/>
      <c r="M1189" s="30"/>
      <c r="N1189" s="30"/>
      <c r="O1189" s="71">
        <f t="shared" si="141"/>
        <v>0</v>
      </c>
      <c r="P1189" s="1070">
        <f t="shared" si="142"/>
        <v>0</v>
      </c>
      <c r="Q1189" s="1071">
        <f t="shared" si="143"/>
        <v>0</v>
      </c>
    </row>
    <row r="1190" spans="1:17" x14ac:dyDescent="0.2">
      <c r="A1190" s="30"/>
      <c r="B1190" s="162"/>
      <c r="C1190" s="259"/>
      <c r="D1190" s="267"/>
      <c r="E1190" s="35"/>
      <c r="F1190" s="151"/>
      <c r="G1190" s="263">
        <f t="shared" si="144"/>
        <v>0</v>
      </c>
      <c r="H1190" s="65"/>
      <c r="I1190" s="275">
        <f t="shared" si="140"/>
        <v>0</v>
      </c>
      <c r="J1190" s="161"/>
      <c r="K1190" s="30"/>
      <c r="L1190" s="30"/>
      <c r="M1190" s="30"/>
      <c r="N1190" s="30"/>
      <c r="O1190" s="71">
        <f t="shared" si="141"/>
        <v>0</v>
      </c>
      <c r="P1190" s="1070">
        <f t="shared" si="142"/>
        <v>0</v>
      </c>
      <c r="Q1190" s="1071">
        <f t="shared" si="143"/>
        <v>0</v>
      </c>
    </row>
    <row r="1191" spans="1:17" x14ac:dyDescent="0.2">
      <c r="A1191" s="30"/>
      <c r="B1191" s="162"/>
      <c r="C1191" s="259"/>
      <c r="D1191" s="267"/>
      <c r="E1191" s="35"/>
      <c r="F1191" s="151"/>
      <c r="G1191" s="263">
        <f t="shared" si="144"/>
        <v>0</v>
      </c>
      <c r="H1191" s="65"/>
      <c r="I1191" s="275">
        <f t="shared" si="140"/>
        <v>0</v>
      </c>
      <c r="J1191" s="161"/>
      <c r="K1191" s="30"/>
      <c r="L1191" s="30"/>
      <c r="M1191" s="30"/>
      <c r="N1191" s="30"/>
      <c r="O1191" s="71">
        <f t="shared" si="141"/>
        <v>0</v>
      </c>
      <c r="P1191" s="1070">
        <f t="shared" si="142"/>
        <v>0</v>
      </c>
      <c r="Q1191" s="1071">
        <f t="shared" si="143"/>
        <v>0</v>
      </c>
    </row>
    <row r="1192" spans="1:17" x14ac:dyDescent="0.2">
      <c r="A1192" s="30"/>
      <c r="B1192" s="162"/>
      <c r="C1192" s="259"/>
      <c r="D1192" s="267"/>
      <c r="E1192" s="35"/>
      <c r="F1192" s="151"/>
      <c r="G1192" s="263">
        <f t="shared" si="144"/>
        <v>0</v>
      </c>
      <c r="H1192" s="65"/>
      <c r="I1192" s="275">
        <f t="shared" si="140"/>
        <v>0</v>
      </c>
      <c r="J1192" s="161"/>
      <c r="K1192" s="30"/>
      <c r="L1192" s="30"/>
      <c r="M1192" s="30"/>
      <c r="N1192" s="30"/>
      <c r="O1192" s="71">
        <f t="shared" si="141"/>
        <v>0</v>
      </c>
      <c r="P1192" s="1070">
        <f t="shared" si="142"/>
        <v>0</v>
      </c>
      <c r="Q1192" s="1071">
        <f t="shared" si="143"/>
        <v>0</v>
      </c>
    </row>
    <row r="1193" spans="1:17" x14ac:dyDescent="0.2">
      <c r="A1193" s="30"/>
      <c r="B1193" s="162"/>
      <c r="C1193" s="259"/>
      <c r="D1193" s="267"/>
      <c r="E1193" s="35"/>
      <c r="F1193" s="151"/>
      <c r="G1193" s="263">
        <f t="shared" si="144"/>
        <v>0</v>
      </c>
      <c r="H1193" s="65"/>
      <c r="I1193" s="275">
        <f t="shared" si="140"/>
        <v>0</v>
      </c>
      <c r="J1193" s="161"/>
      <c r="K1193" s="30"/>
      <c r="L1193" s="30"/>
      <c r="M1193" s="30"/>
      <c r="N1193" s="30"/>
      <c r="O1193" s="71">
        <f t="shared" si="141"/>
        <v>0</v>
      </c>
      <c r="P1193" s="1070">
        <f t="shared" si="142"/>
        <v>0</v>
      </c>
      <c r="Q1193" s="1071">
        <f t="shared" si="143"/>
        <v>0</v>
      </c>
    </row>
    <row r="1194" spans="1:17" x14ac:dyDescent="0.2">
      <c r="A1194" s="30"/>
      <c r="B1194" s="162"/>
      <c r="C1194" s="259"/>
      <c r="D1194" s="267"/>
      <c r="E1194" s="35"/>
      <c r="F1194" s="151"/>
      <c r="G1194" s="263">
        <f t="shared" si="144"/>
        <v>0</v>
      </c>
      <c r="H1194" s="65"/>
      <c r="I1194" s="275">
        <f t="shared" si="140"/>
        <v>0</v>
      </c>
      <c r="J1194" s="161"/>
      <c r="K1194" s="30"/>
      <c r="L1194" s="30"/>
      <c r="M1194" s="30"/>
      <c r="N1194" s="30"/>
      <c r="O1194" s="71">
        <f t="shared" si="141"/>
        <v>0</v>
      </c>
      <c r="P1194" s="1070">
        <f t="shared" si="142"/>
        <v>0</v>
      </c>
      <c r="Q1194" s="1071">
        <f t="shared" si="143"/>
        <v>0</v>
      </c>
    </row>
    <row r="1195" spans="1:17" x14ac:dyDescent="0.2">
      <c r="A1195" s="30"/>
      <c r="B1195" s="162"/>
      <c r="C1195" s="259"/>
      <c r="D1195" s="267"/>
      <c r="E1195" s="35"/>
      <c r="F1195" s="151"/>
      <c r="G1195" s="263">
        <f t="shared" si="144"/>
        <v>0</v>
      </c>
      <c r="H1195" s="65"/>
      <c r="I1195" s="275">
        <f t="shared" si="140"/>
        <v>0</v>
      </c>
      <c r="J1195" s="161"/>
      <c r="K1195" s="30"/>
      <c r="L1195" s="30"/>
      <c r="M1195" s="30"/>
      <c r="N1195" s="30"/>
      <c r="O1195" s="71">
        <f t="shared" si="141"/>
        <v>0</v>
      </c>
      <c r="P1195" s="1070">
        <f t="shared" si="142"/>
        <v>0</v>
      </c>
      <c r="Q1195" s="1071">
        <f t="shared" si="143"/>
        <v>0</v>
      </c>
    </row>
    <row r="1196" spans="1:17" x14ac:dyDescent="0.2">
      <c r="A1196" s="30"/>
      <c r="B1196" s="162"/>
      <c r="C1196" s="259"/>
      <c r="D1196" s="267"/>
      <c r="E1196" s="35"/>
      <c r="F1196" s="151"/>
      <c r="G1196" s="263">
        <f t="shared" si="144"/>
        <v>0</v>
      </c>
      <c r="H1196" s="65"/>
      <c r="I1196" s="275">
        <f t="shared" si="140"/>
        <v>0</v>
      </c>
      <c r="J1196" s="161"/>
      <c r="K1196" s="30"/>
      <c r="L1196" s="30"/>
      <c r="M1196" s="30"/>
      <c r="N1196" s="30"/>
      <c r="O1196" s="71">
        <f t="shared" si="141"/>
        <v>0</v>
      </c>
      <c r="P1196" s="1070">
        <f t="shared" si="142"/>
        <v>0</v>
      </c>
      <c r="Q1196" s="1071">
        <f t="shared" si="143"/>
        <v>0</v>
      </c>
    </row>
    <row r="1197" spans="1:17" x14ac:dyDescent="0.2">
      <c r="A1197" s="30"/>
      <c r="B1197" s="162"/>
      <c r="C1197" s="259"/>
      <c r="D1197" s="267"/>
      <c r="E1197" s="35"/>
      <c r="F1197" s="151"/>
      <c r="G1197" s="263">
        <f t="shared" si="144"/>
        <v>0</v>
      </c>
      <c r="H1197" s="65"/>
      <c r="I1197" s="275">
        <f t="shared" si="140"/>
        <v>0</v>
      </c>
      <c r="J1197" s="161"/>
      <c r="K1197" s="30"/>
      <c r="L1197" s="30"/>
      <c r="M1197" s="30"/>
      <c r="N1197" s="30"/>
      <c r="O1197" s="71">
        <f t="shared" si="141"/>
        <v>0</v>
      </c>
      <c r="P1197" s="1070">
        <f t="shared" si="142"/>
        <v>0</v>
      </c>
      <c r="Q1197" s="1071">
        <f t="shared" si="143"/>
        <v>0</v>
      </c>
    </row>
    <row r="1198" spans="1:17" x14ac:dyDescent="0.2">
      <c r="A1198" s="30"/>
      <c r="B1198" s="162"/>
      <c r="C1198" s="259"/>
      <c r="D1198" s="267"/>
      <c r="E1198" s="35"/>
      <c r="F1198" s="151"/>
      <c r="G1198" s="263">
        <f t="shared" si="144"/>
        <v>0</v>
      </c>
      <c r="H1198" s="65"/>
      <c r="I1198" s="275">
        <f t="shared" si="140"/>
        <v>0</v>
      </c>
      <c r="J1198" s="161"/>
      <c r="K1198" s="30"/>
      <c r="L1198" s="30"/>
      <c r="M1198" s="30"/>
      <c r="N1198" s="30"/>
      <c r="O1198" s="71">
        <f t="shared" si="141"/>
        <v>0</v>
      </c>
      <c r="P1198" s="1070">
        <f t="shared" si="142"/>
        <v>0</v>
      </c>
      <c r="Q1198" s="1071">
        <f t="shared" si="143"/>
        <v>0</v>
      </c>
    </row>
    <row r="1199" spans="1:17" x14ac:dyDescent="0.2">
      <c r="A1199" s="30"/>
      <c r="B1199" s="162"/>
      <c r="C1199" s="259"/>
      <c r="D1199" s="267"/>
      <c r="E1199" s="35"/>
      <c r="F1199" s="151"/>
      <c r="G1199" s="263">
        <f t="shared" si="144"/>
        <v>0</v>
      </c>
      <c r="H1199" s="65"/>
      <c r="I1199" s="275">
        <f t="shared" si="140"/>
        <v>0</v>
      </c>
      <c r="J1199" s="161"/>
      <c r="K1199" s="30"/>
      <c r="L1199" s="30"/>
      <c r="M1199" s="30"/>
      <c r="N1199" s="30"/>
      <c r="O1199" s="71">
        <f t="shared" si="141"/>
        <v>0</v>
      </c>
      <c r="P1199" s="1070">
        <f t="shared" si="142"/>
        <v>0</v>
      </c>
      <c r="Q1199" s="1071">
        <f t="shared" si="143"/>
        <v>0</v>
      </c>
    </row>
    <row r="1200" spans="1:17" x14ac:dyDescent="0.2">
      <c r="A1200" s="30"/>
      <c r="B1200" s="162"/>
      <c r="C1200" s="259"/>
      <c r="D1200" s="267"/>
      <c r="E1200" s="35"/>
      <c r="F1200" s="151"/>
      <c r="G1200" s="263">
        <f t="shared" si="144"/>
        <v>0</v>
      </c>
      <c r="H1200" s="65"/>
      <c r="I1200" s="275">
        <f t="shared" si="140"/>
        <v>0</v>
      </c>
      <c r="J1200" s="161"/>
      <c r="K1200" s="30"/>
      <c r="L1200" s="30"/>
      <c r="M1200" s="30"/>
      <c r="N1200" s="30"/>
      <c r="O1200" s="71">
        <f t="shared" si="141"/>
        <v>0</v>
      </c>
      <c r="P1200" s="1070">
        <f t="shared" si="142"/>
        <v>0</v>
      </c>
      <c r="Q1200" s="1071">
        <f t="shared" ref="Q1200:Q1219" si="145">IF($F1200=$Q$43,$I1200,0)</f>
        <v>0</v>
      </c>
    </row>
    <row r="1201" spans="1:17" x14ac:dyDescent="0.2">
      <c r="A1201" s="30"/>
      <c r="B1201" s="162"/>
      <c r="C1201" s="259"/>
      <c r="D1201" s="267"/>
      <c r="E1201" s="35"/>
      <c r="F1201" s="151"/>
      <c r="G1201" s="263">
        <f t="shared" si="144"/>
        <v>0</v>
      </c>
      <c r="H1201" s="65"/>
      <c r="I1201" s="275">
        <f t="shared" si="140"/>
        <v>0</v>
      </c>
      <c r="J1201" s="161"/>
      <c r="K1201" s="30"/>
      <c r="L1201" s="30"/>
      <c r="M1201" s="30"/>
      <c r="N1201" s="30"/>
      <c r="O1201" s="71">
        <f t="shared" si="141"/>
        <v>0</v>
      </c>
      <c r="P1201" s="1070">
        <f t="shared" ref="P1201:P1219" si="146">IF($F1201=$Q$42,$I1201,0)</f>
        <v>0</v>
      </c>
      <c r="Q1201" s="1071">
        <f t="shared" si="145"/>
        <v>0</v>
      </c>
    </row>
    <row r="1202" spans="1:17" x14ac:dyDescent="0.2">
      <c r="A1202" s="30"/>
      <c r="B1202" s="162"/>
      <c r="C1202" s="259"/>
      <c r="D1202" s="267"/>
      <c r="E1202" s="35"/>
      <c r="F1202" s="151"/>
      <c r="G1202" s="263">
        <f t="shared" si="144"/>
        <v>0</v>
      </c>
      <c r="H1202" s="65"/>
      <c r="I1202" s="275">
        <f t="shared" si="140"/>
        <v>0</v>
      </c>
      <c r="J1202" s="161"/>
      <c r="K1202" s="30"/>
      <c r="L1202" s="30"/>
      <c r="M1202" s="30"/>
      <c r="N1202" s="30"/>
      <c r="O1202" s="71">
        <f t="shared" si="141"/>
        <v>0</v>
      </c>
      <c r="P1202" s="1070">
        <f t="shared" si="146"/>
        <v>0</v>
      </c>
      <c r="Q1202" s="1071">
        <f t="shared" si="145"/>
        <v>0</v>
      </c>
    </row>
    <row r="1203" spans="1:17" x14ac:dyDescent="0.2">
      <c r="A1203" s="30"/>
      <c r="B1203" s="162"/>
      <c r="C1203" s="259"/>
      <c r="D1203" s="267"/>
      <c r="E1203" s="35"/>
      <c r="F1203" s="151"/>
      <c r="G1203" s="263">
        <f t="shared" si="144"/>
        <v>0</v>
      </c>
      <c r="H1203" s="65"/>
      <c r="I1203" s="275">
        <f t="shared" si="140"/>
        <v>0</v>
      </c>
      <c r="J1203" s="161"/>
      <c r="K1203" s="30"/>
      <c r="L1203" s="30"/>
      <c r="M1203" s="30"/>
      <c r="N1203" s="30"/>
      <c r="O1203" s="71">
        <f t="shared" si="141"/>
        <v>0</v>
      </c>
      <c r="P1203" s="1070">
        <f t="shared" si="146"/>
        <v>0</v>
      </c>
      <c r="Q1203" s="1071">
        <f t="shared" si="145"/>
        <v>0</v>
      </c>
    </row>
    <row r="1204" spans="1:17" x14ac:dyDescent="0.2">
      <c r="A1204" s="30"/>
      <c r="B1204" s="162"/>
      <c r="C1204" s="259"/>
      <c r="D1204" s="267"/>
      <c r="E1204" s="35"/>
      <c r="F1204" s="151"/>
      <c r="G1204" s="263">
        <f t="shared" si="144"/>
        <v>0</v>
      </c>
      <c r="H1204" s="65"/>
      <c r="I1204" s="275">
        <f t="shared" si="140"/>
        <v>0</v>
      </c>
      <c r="J1204" s="161"/>
      <c r="K1204" s="30"/>
      <c r="L1204" s="30"/>
      <c r="M1204" s="30"/>
      <c r="N1204" s="30"/>
      <c r="O1204" s="71">
        <f t="shared" si="141"/>
        <v>0</v>
      </c>
      <c r="P1204" s="1070">
        <f t="shared" si="146"/>
        <v>0</v>
      </c>
      <c r="Q1204" s="1071">
        <f t="shared" si="145"/>
        <v>0</v>
      </c>
    </row>
    <row r="1205" spans="1:17" x14ac:dyDescent="0.2">
      <c r="A1205" s="30"/>
      <c r="B1205" s="162"/>
      <c r="C1205" s="259"/>
      <c r="D1205" s="267"/>
      <c r="E1205" s="35"/>
      <c r="F1205" s="151"/>
      <c r="G1205" s="263">
        <f t="shared" si="144"/>
        <v>0</v>
      </c>
      <c r="H1205" s="65"/>
      <c r="I1205" s="275">
        <f t="shared" si="140"/>
        <v>0</v>
      </c>
      <c r="J1205" s="161"/>
      <c r="K1205" s="30"/>
      <c r="L1205" s="30"/>
      <c r="M1205" s="30"/>
      <c r="N1205" s="30"/>
      <c r="O1205" s="71">
        <f t="shared" si="141"/>
        <v>0</v>
      </c>
      <c r="P1205" s="1070">
        <f t="shared" si="146"/>
        <v>0</v>
      </c>
      <c r="Q1205" s="1071">
        <f t="shared" si="145"/>
        <v>0</v>
      </c>
    </row>
    <row r="1206" spans="1:17" x14ac:dyDescent="0.2">
      <c r="A1206" s="30"/>
      <c r="B1206" s="162"/>
      <c r="C1206" s="259"/>
      <c r="D1206" s="267"/>
      <c r="E1206" s="35"/>
      <c r="F1206" s="151"/>
      <c r="G1206" s="263">
        <f t="shared" si="144"/>
        <v>0</v>
      </c>
      <c r="H1206" s="65"/>
      <c r="I1206" s="275">
        <f t="shared" si="140"/>
        <v>0</v>
      </c>
      <c r="J1206" s="161"/>
      <c r="K1206" s="30"/>
      <c r="L1206" s="30"/>
      <c r="M1206" s="30"/>
      <c r="N1206" s="30"/>
      <c r="O1206" s="71">
        <f t="shared" si="141"/>
        <v>0</v>
      </c>
      <c r="P1206" s="1070">
        <f t="shared" si="146"/>
        <v>0</v>
      </c>
      <c r="Q1206" s="1071">
        <f t="shared" si="145"/>
        <v>0</v>
      </c>
    </row>
    <row r="1207" spans="1:17" x14ac:dyDescent="0.2">
      <c r="A1207" s="30"/>
      <c r="B1207" s="162"/>
      <c r="C1207" s="259"/>
      <c r="D1207" s="267"/>
      <c r="E1207" s="35"/>
      <c r="F1207" s="151"/>
      <c r="G1207" s="263">
        <f t="shared" si="144"/>
        <v>0</v>
      </c>
      <c r="H1207" s="65"/>
      <c r="I1207" s="275">
        <f t="shared" si="140"/>
        <v>0</v>
      </c>
      <c r="J1207" s="161"/>
      <c r="K1207" s="30"/>
      <c r="L1207" s="30"/>
      <c r="M1207" s="30"/>
      <c r="N1207" s="30"/>
      <c r="O1207" s="71">
        <f t="shared" si="141"/>
        <v>0</v>
      </c>
      <c r="P1207" s="1070">
        <f t="shared" si="146"/>
        <v>0</v>
      </c>
      <c r="Q1207" s="1071">
        <f t="shared" si="145"/>
        <v>0</v>
      </c>
    </row>
    <row r="1208" spans="1:17" x14ac:dyDescent="0.2">
      <c r="A1208" s="30"/>
      <c r="B1208" s="162"/>
      <c r="C1208" s="259"/>
      <c r="D1208" s="267"/>
      <c r="E1208" s="35"/>
      <c r="F1208" s="151"/>
      <c r="G1208" s="263">
        <f t="shared" si="144"/>
        <v>0</v>
      </c>
      <c r="H1208" s="65"/>
      <c r="I1208" s="275">
        <f t="shared" si="140"/>
        <v>0</v>
      </c>
      <c r="J1208" s="161"/>
      <c r="K1208" s="30"/>
      <c r="L1208" s="30"/>
      <c r="M1208" s="30"/>
      <c r="N1208" s="30"/>
      <c r="O1208" s="71">
        <f t="shared" si="141"/>
        <v>0</v>
      </c>
      <c r="P1208" s="1070">
        <f t="shared" si="146"/>
        <v>0</v>
      </c>
      <c r="Q1208" s="1071">
        <f t="shared" si="145"/>
        <v>0</v>
      </c>
    </row>
    <row r="1209" spans="1:17" x14ac:dyDescent="0.2">
      <c r="A1209" s="30"/>
      <c r="B1209" s="162"/>
      <c r="C1209" s="259"/>
      <c r="D1209" s="267"/>
      <c r="E1209" s="35"/>
      <c r="F1209" s="151"/>
      <c r="G1209" s="263">
        <f t="shared" si="144"/>
        <v>0</v>
      </c>
      <c r="H1209" s="65"/>
      <c r="I1209" s="275">
        <f t="shared" si="140"/>
        <v>0</v>
      </c>
      <c r="J1209" s="161"/>
      <c r="K1209" s="30"/>
      <c r="L1209" s="30"/>
      <c r="M1209" s="30"/>
      <c r="N1209" s="30"/>
      <c r="O1209" s="71">
        <f t="shared" si="141"/>
        <v>0</v>
      </c>
      <c r="P1209" s="1070">
        <f t="shared" si="146"/>
        <v>0</v>
      </c>
      <c r="Q1209" s="1071">
        <f t="shared" si="145"/>
        <v>0</v>
      </c>
    </row>
    <row r="1210" spans="1:17" x14ac:dyDescent="0.2">
      <c r="A1210" s="30"/>
      <c r="B1210" s="162"/>
      <c r="C1210" s="259"/>
      <c r="D1210" s="267"/>
      <c r="E1210" s="35"/>
      <c r="F1210" s="151"/>
      <c r="G1210" s="263">
        <f t="shared" si="144"/>
        <v>0</v>
      </c>
      <c r="H1210" s="65"/>
      <c r="I1210" s="275">
        <f t="shared" si="140"/>
        <v>0</v>
      </c>
      <c r="J1210" s="161"/>
      <c r="K1210" s="30"/>
      <c r="L1210" s="30"/>
      <c r="M1210" s="30"/>
      <c r="N1210" s="30"/>
      <c r="O1210" s="71">
        <f t="shared" si="141"/>
        <v>0</v>
      </c>
      <c r="P1210" s="1070">
        <f t="shared" si="146"/>
        <v>0</v>
      </c>
      <c r="Q1210" s="1071">
        <f t="shared" si="145"/>
        <v>0</v>
      </c>
    </row>
    <row r="1211" spans="1:17" x14ac:dyDescent="0.2">
      <c r="A1211" s="30"/>
      <c r="B1211" s="162"/>
      <c r="C1211" s="259"/>
      <c r="D1211" s="267"/>
      <c r="E1211" s="35"/>
      <c r="F1211" s="151"/>
      <c r="G1211" s="263">
        <f t="shared" si="144"/>
        <v>0</v>
      </c>
      <c r="H1211" s="65"/>
      <c r="I1211" s="275">
        <f t="shared" si="140"/>
        <v>0</v>
      </c>
      <c r="J1211" s="161"/>
      <c r="K1211" s="30"/>
      <c r="L1211" s="30"/>
      <c r="M1211" s="30"/>
      <c r="N1211" s="30"/>
      <c r="O1211" s="71">
        <f t="shared" si="141"/>
        <v>0</v>
      </c>
      <c r="P1211" s="1070">
        <f t="shared" si="146"/>
        <v>0</v>
      </c>
      <c r="Q1211" s="1071">
        <f t="shared" si="145"/>
        <v>0</v>
      </c>
    </row>
    <row r="1212" spans="1:17" x14ac:dyDescent="0.2">
      <c r="A1212" s="30"/>
      <c r="B1212" s="162"/>
      <c r="C1212" s="259"/>
      <c r="D1212" s="267"/>
      <c r="E1212" s="35"/>
      <c r="F1212" s="151"/>
      <c r="G1212" s="263">
        <f t="shared" si="144"/>
        <v>0</v>
      </c>
      <c r="H1212" s="65"/>
      <c r="I1212" s="275">
        <f t="shared" si="140"/>
        <v>0</v>
      </c>
      <c r="J1212" s="161"/>
      <c r="K1212" s="30"/>
      <c r="L1212" s="30"/>
      <c r="M1212" s="30"/>
      <c r="N1212" s="30"/>
      <c r="O1212" s="71">
        <f t="shared" si="141"/>
        <v>0</v>
      </c>
      <c r="P1212" s="1070">
        <f t="shared" si="146"/>
        <v>0</v>
      </c>
      <c r="Q1212" s="1071">
        <f t="shared" si="145"/>
        <v>0</v>
      </c>
    </row>
    <row r="1213" spans="1:17" x14ac:dyDescent="0.2">
      <c r="A1213" s="30"/>
      <c r="B1213" s="162"/>
      <c r="C1213" s="259"/>
      <c r="D1213" s="267"/>
      <c r="E1213" s="35"/>
      <c r="F1213" s="151"/>
      <c r="G1213" s="263">
        <f t="shared" si="144"/>
        <v>0</v>
      </c>
      <c r="H1213" s="65"/>
      <c r="I1213" s="275">
        <f t="shared" si="140"/>
        <v>0</v>
      </c>
      <c r="J1213" s="161"/>
      <c r="K1213" s="30"/>
      <c r="L1213" s="30"/>
      <c r="M1213" s="30"/>
      <c r="N1213" s="30"/>
      <c r="O1213" s="71">
        <f t="shared" si="141"/>
        <v>0</v>
      </c>
      <c r="P1213" s="1070">
        <f t="shared" si="146"/>
        <v>0</v>
      </c>
      <c r="Q1213" s="1071">
        <f t="shared" si="145"/>
        <v>0</v>
      </c>
    </row>
    <row r="1214" spans="1:17" x14ac:dyDescent="0.2">
      <c r="A1214" s="30"/>
      <c r="B1214" s="162"/>
      <c r="C1214" s="259"/>
      <c r="D1214" s="267"/>
      <c r="E1214" s="35"/>
      <c r="F1214" s="151"/>
      <c r="G1214" s="263">
        <f t="shared" si="144"/>
        <v>0</v>
      </c>
      <c r="H1214" s="65"/>
      <c r="I1214" s="275">
        <f t="shared" si="140"/>
        <v>0</v>
      </c>
      <c r="J1214" s="161"/>
      <c r="K1214" s="30"/>
      <c r="L1214" s="30"/>
      <c r="M1214" s="30"/>
      <c r="N1214" s="30"/>
      <c r="O1214" s="71">
        <f t="shared" si="141"/>
        <v>0</v>
      </c>
      <c r="P1214" s="1070">
        <f t="shared" si="146"/>
        <v>0</v>
      </c>
      <c r="Q1214" s="1071">
        <f t="shared" si="145"/>
        <v>0</v>
      </c>
    </row>
    <row r="1215" spans="1:17" x14ac:dyDescent="0.2">
      <c r="A1215" s="30"/>
      <c r="B1215" s="162"/>
      <c r="C1215" s="259"/>
      <c r="D1215" s="267"/>
      <c r="E1215" s="35"/>
      <c r="F1215" s="151"/>
      <c r="G1215" s="263">
        <f t="shared" si="144"/>
        <v>0</v>
      </c>
      <c r="H1215" s="65"/>
      <c r="I1215" s="275">
        <f t="shared" si="140"/>
        <v>0</v>
      </c>
      <c r="J1215" s="161"/>
      <c r="K1215" s="30"/>
      <c r="L1215" s="30"/>
      <c r="M1215" s="30"/>
      <c r="N1215" s="30"/>
      <c r="O1215" s="71">
        <f t="shared" si="141"/>
        <v>0</v>
      </c>
      <c r="P1215" s="1070">
        <f t="shared" si="146"/>
        <v>0</v>
      </c>
      <c r="Q1215" s="1071">
        <f t="shared" si="145"/>
        <v>0</v>
      </c>
    </row>
    <row r="1216" spans="1:17" x14ac:dyDescent="0.2">
      <c r="A1216" s="30"/>
      <c r="B1216" s="162"/>
      <c r="C1216" s="259"/>
      <c r="D1216" s="267"/>
      <c r="E1216" s="35"/>
      <c r="F1216" s="151"/>
      <c r="G1216" s="263">
        <f t="shared" si="144"/>
        <v>0</v>
      </c>
      <c r="H1216" s="65"/>
      <c r="I1216" s="275">
        <f t="shared" si="140"/>
        <v>0</v>
      </c>
      <c r="J1216" s="161"/>
      <c r="K1216" s="30"/>
      <c r="L1216" s="30"/>
      <c r="M1216" s="30"/>
      <c r="N1216" s="30"/>
      <c r="O1216" s="71">
        <f t="shared" si="141"/>
        <v>0</v>
      </c>
      <c r="P1216" s="1070">
        <f t="shared" si="146"/>
        <v>0</v>
      </c>
      <c r="Q1216" s="1071">
        <f t="shared" si="145"/>
        <v>0</v>
      </c>
    </row>
    <row r="1217" spans="1:17" x14ac:dyDescent="0.2">
      <c r="A1217" s="30"/>
      <c r="B1217" s="162"/>
      <c r="C1217" s="259"/>
      <c r="D1217" s="267"/>
      <c r="E1217" s="35"/>
      <c r="F1217" s="151"/>
      <c r="G1217" s="263">
        <f t="shared" si="144"/>
        <v>0</v>
      </c>
      <c r="H1217" s="65"/>
      <c r="I1217" s="275">
        <f t="shared" si="140"/>
        <v>0</v>
      </c>
      <c r="J1217" s="161"/>
      <c r="K1217" s="30"/>
      <c r="L1217" s="30"/>
      <c r="M1217" s="30"/>
      <c r="N1217" s="30"/>
      <c r="O1217" s="71">
        <f t="shared" si="141"/>
        <v>0</v>
      </c>
      <c r="P1217" s="1070">
        <f t="shared" si="146"/>
        <v>0</v>
      </c>
      <c r="Q1217" s="1071">
        <f t="shared" si="145"/>
        <v>0</v>
      </c>
    </row>
    <row r="1218" spans="1:17" x14ac:dyDescent="0.2">
      <c r="A1218" s="30"/>
      <c r="B1218" s="162"/>
      <c r="C1218" s="259"/>
      <c r="D1218" s="267"/>
      <c r="E1218" s="35"/>
      <c r="F1218" s="151"/>
      <c r="G1218" s="263">
        <f t="shared" si="144"/>
        <v>0</v>
      </c>
      <c r="H1218" s="65"/>
      <c r="I1218" s="275">
        <f t="shared" si="140"/>
        <v>0</v>
      </c>
      <c r="J1218" s="161"/>
      <c r="K1218" s="30"/>
      <c r="L1218" s="30"/>
      <c r="M1218" s="30"/>
      <c r="N1218" s="30"/>
      <c r="O1218" s="71">
        <f t="shared" si="141"/>
        <v>0</v>
      </c>
      <c r="P1218" s="1070">
        <f t="shared" si="146"/>
        <v>0</v>
      </c>
      <c r="Q1218" s="1071">
        <f t="shared" si="145"/>
        <v>0</v>
      </c>
    </row>
    <row r="1219" spans="1:17" ht="13.5" thickBot="1" x14ac:dyDescent="0.25">
      <c r="A1219" s="30"/>
      <c r="B1219" s="163"/>
      <c r="C1219" s="260"/>
      <c r="D1219" s="268"/>
      <c r="E1219" s="24"/>
      <c r="F1219" s="25"/>
      <c r="G1219" s="264">
        <f t="shared" si="144"/>
        <v>0</v>
      </c>
      <c r="H1219" s="272"/>
      <c r="I1219" s="276">
        <f t="shared" si="140"/>
        <v>0</v>
      </c>
      <c r="J1219" s="161"/>
      <c r="K1219" s="30"/>
      <c r="L1219" s="30"/>
      <c r="M1219" s="30"/>
      <c r="N1219" s="30"/>
      <c r="O1219" s="71">
        <f t="shared" si="141"/>
        <v>0</v>
      </c>
      <c r="P1219" s="1070">
        <f t="shared" si="146"/>
        <v>0</v>
      </c>
      <c r="Q1219" s="1071">
        <f t="shared" si="145"/>
        <v>0</v>
      </c>
    </row>
    <row r="1220" spans="1:17" ht="6.75" customHeight="1" thickBot="1" x14ac:dyDescent="0.25">
      <c r="A1220" s="30"/>
      <c r="B1220" s="155"/>
      <c r="C1220" s="155"/>
      <c r="D1220" s="155"/>
      <c r="E1220" s="155"/>
      <c r="F1220" s="155"/>
      <c r="G1220" s="155"/>
      <c r="H1220" s="155"/>
      <c r="I1220" s="155"/>
      <c r="J1220" s="155"/>
      <c r="K1220" s="30"/>
      <c r="L1220" s="30"/>
      <c r="M1220" s="30"/>
      <c r="N1220" s="30"/>
      <c r="O1220" s="812">
        <f>SUM(O1168:O1219)</f>
        <v>0</v>
      </c>
      <c r="P1220" s="1075">
        <f>SUM(P1168:P1219)</f>
        <v>0</v>
      </c>
      <c r="Q1220" s="813">
        <f>SUM(Q1168:Q1219)</f>
        <v>0</v>
      </c>
    </row>
    <row r="1221" spans="1:17" ht="50.1" customHeight="1" x14ac:dyDescent="0.2">
      <c r="L1221" s="30"/>
      <c r="M1221" s="30"/>
      <c r="N1221" s="30"/>
    </row>
    <row r="1222" spans="1:17" ht="18" x14ac:dyDescent="0.2">
      <c r="A1222" s="1224" t="str">
        <f>UPPER("Patching Summary Table")</f>
        <v>PATCHING SUMMARY TABLE</v>
      </c>
      <c r="B1222" s="1224"/>
      <c r="C1222" s="1224"/>
      <c r="D1222" s="1224"/>
      <c r="E1222" s="1224"/>
      <c r="F1222" s="1224"/>
      <c r="G1222" s="1224"/>
      <c r="H1222" s="1224"/>
      <c r="I1222" s="1224"/>
      <c r="J1222" s="1224"/>
      <c r="K1222" s="30"/>
      <c r="L1222" s="30"/>
      <c r="M1222" s="30"/>
      <c r="N1222" s="30"/>
      <c r="O1222" s="30"/>
      <c r="P1222" s="30"/>
    </row>
    <row r="1223" spans="1:17" ht="8.25" customHeight="1" thickBot="1" x14ac:dyDescent="0.25">
      <c r="A1223" s="30"/>
      <c r="B1223" s="31"/>
      <c r="C1223" s="31"/>
      <c r="D1223" s="31"/>
      <c r="E1223" s="31"/>
      <c r="F1223" s="31"/>
      <c r="G1223" s="31"/>
      <c r="H1223" s="31"/>
      <c r="I1223" s="31"/>
      <c r="J1223" s="31"/>
      <c r="K1223" s="30"/>
      <c r="O1223" s="30"/>
      <c r="P1223" s="30"/>
    </row>
    <row r="1224" spans="1:17" x14ac:dyDescent="0.2">
      <c r="A1224" s="30"/>
      <c r="B1224" s="1310" t="s">
        <v>2</v>
      </c>
      <c r="C1224" s="1319" t="s">
        <v>3</v>
      </c>
      <c r="D1224" s="1310" t="s">
        <v>39</v>
      </c>
      <c r="E1224" s="1308" t="s">
        <v>4</v>
      </c>
      <c r="F1224" s="1223" t="s">
        <v>535</v>
      </c>
      <c r="G1224" s="261" t="s">
        <v>129</v>
      </c>
      <c r="H1224" s="269" t="s">
        <v>102</v>
      </c>
      <c r="I1224" s="152" t="s">
        <v>209</v>
      </c>
      <c r="J1224" s="31"/>
      <c r="K1224" s="30"/>
      <c r="L1224" s="30"/>
      <c r="M1224" s="30"/>
      <c r="N1224" s="30"/>
      <c r="O1224" s="1159" t="s">
        <v>537</v>
      </c>
      <c r="P1224" s="1305"/>
      <c r="Q1224" s="1306"/>
    </row>
    <row r="1225" spans="1:17" ht="13.5" thickBot="1" x14ac:dyDescent="0.25">
      <c r="A1225" s="30"/>
      <c r="B1225" s="1285"/>
      <c r="C1225" s="1320"/>
      <c r="D1225" s="1285"/>
      <c r="E1225" s="1227"/>
      <c r="F1225" s="1242"/>
      <c r="G1225" s="262" t="s">
        <v>100</v>
      </c>
      <c r="H1225" s="270" t="s">
        <v>100</v>
      </c>
      <c r="I1225" s="273" t="s">
        <v>210</v>
      </c>
      <c r="J1225" s="31"/>
      <c r="K1225" s="30"/>
      <c r="L1225" s="30"/>
      <c r="M1225" s="30"/>
      <c r="N1225" s="30"/>
      <c r="O1225" s="41" t="str">
        <f>$Q$41</f>
        <v>Partial</v>
      </c>
      <c r="P1225" s="42" t="str">
        <f>$Q$42</f>
        <v>Full ( HMA)</v>
      </c>
      <c r="Q1225" s="43" t="str">
        <f>$Q$43</f>
        <v>Full (Composite)</v>
      </c>
    </row>
    <row r="1226" spans="1:17" x14ac:dyDescent="0.2">
      <c r="A1226" s="30"/>
      <c r="B1226" s="159"/>
      <c r="C1226" s="258"/>
      <c r="D1226" s="265"/>
      <c r="E1226" s="160"/>
      <c r="F1226" s="266"/>
      <c r="G1226" s="263">
        <f>ABS(C1226-B1226)</f>
        <v>0</v>
      </c>
      <c r="H1226" s="271"/>
      <c r="I1226" s="274">
        <f t="shared" ref="I1226:I1277" si="147">ROUNDUP((G1226*H1226)/9,0)</f>
        <v>0</v>
      </c>
      <c r="J1226" s="161"/>
      <c r="K1226" s="30"/>
      <c r="L1226" s="30"/>
      <c r="M1226" s="30"/>
      <c r="N1226" s="30"/>
      <c r="O1226" s="54">
        <f t="shared" ref="O1226:O1277" si="148">IF($F1226=$Q$41,$I1226,0)</f>
        <v>0</v>
      </c>
      <c r="P1226" s="1069">
        <f t="shared" ref="P1226:P1258" si="149">IF($F1226=$Q$42,$I1226,0)</f>
        <v>0</v>
      </c>
      <c r="Q1226" s="811">
        <f t="shared" ref="Q1226:Q1257" si="150">IF($F1226=$Q$43,$I1226,0)</f>
        <v>0</v>
      </c>
    </row>
    <row r="1227" spans="1:17" x14ac:dyDescent="0.2">
      <c r="A1227" s="30"/>
      <c r="B1227" s="162"/>
      <c r="C1227" s="259"/>
      <c r="D1227" s="267"/>
      <c r="E1227" s="35"/>
      <c r="F1227" s="151"/>
      <c r="G1227" s="263">
        <f t="shared" ref="G1227:G1277" si="151">ABS(C1227-B1227)</f>
        <v>0</v>
      </c>
      <c r="H1227" s="65"/>
      <c r="I1227" s="275">
        <f t="shared" si="147"/>
        <v>0</v>
      </c>
      <c r="J1227" s="161"/>
      <c r="K1227" s="30"/>
      <c r="L1227" s="30"/>
      <c r="M1227" s="30"/>
      <c r="N1227" s="30"/>
      <c r="O1227" s="71">
        <f t="shared" si="148"/>
        <v>0</v>
      </c>
      <c r="P1227" s="1070">
        <f t="shared" si="149"/>
        <v>0</v>
      </c>
      <c r="Q1227" s="1071">
        <f t="shared" si="150"/>
        <v>0</v>
      </c>
    </row>
    <row r="1228" spans="1:17" x14ac:dyDescent="0.2">
      <c r="A1228" s="30"/>
      <c r="B1228" s="162"/>
      <c r="C1228" s="259"/>
      <c r="D1228" s="267"/>
      <c r="E1228" s="35"/>
      <c r="F1228" s="151"/>
      <c r="G1228" s="263">
        <f t="shared" si="151"/>
        <v>0</v>
      </c>
      <c r="H1228" s="65"/>
      <c r="I1228" s="275">
        <f t="shared" si="147"/>
        <v>0</v>
      </c>
      <c r="J1228" s="161"/>
      <c r="K1228" s="30"/>
      <c r="L1228" s="30"/>
      <c r="M1228" s="30"/>
      <c r="N1228" s="30"/>
      <c r="O1228" s="71">
        <f t="shared" si="148"/>
        <v>0</v>
      </c>
      <c r="P1228" s="1070">
        <f t="shared" si="149"/>
        <v>0</v>
      </c>
      <c r="Q1228" s="1071">
        <f t="shared" si="150"/>
        <v>0</v>
      </c>
    </row>
    <row r="1229" spans="1:17" x14ac:dyDescent="0.2">
      <c r="A1229" s="30"/>
      <c r="B1229" s="162"/>
      <c r="C1229" s="259"/>
      <c r="D1229" s="267"/>
      <c r="E1229" s="35"/>
      <c r="F1229" s="151"/>
      <c r="G1229" s="263">
        <f t="shared" si="151"/>
        <v>0</v>
      </c>
      <c r="H1229" s="65"/>
      <c r="I1229" s="275">
        <f t="shared" si="147"/>
        <v>0</v>
      </c>
      <c r="J1229" s="161"/>
      <c r="K1229" s="30"/>
      <c r="L1229" s="30"/>
      <c r="M1229" s="30"/>
      <c r="N1229" s="30"/>
      <c r="O1229" s="71">
        <f t="shared" si="148"/>
        <v>0</v>
      </c>
      <c r="P1229" s="1070">
        <f t="shared" si="149"/>
        <v>0</v>
      </c>
      <c r="Q1229" s="1071">
        <f t="shared" si="150"/>
        <v>0</v>
      </c>
    </row>
    <row r="1230" spans="1:17" x14ac:dyDescent="0.2">
      <c r="A1230" s="30"/>
      <c r="B1230" s="162"/>
      <c r="C1230" s="259"/>
      <c r="D1230" s="267"/>
      <c r="E1230" s="35"/>
      <c r="F1230" s="151"/>
      <c r="G1230" s="263">
        <f t="shared" si="151"/>
        <v>0</v>
      </c>
      <c r="H1230" s="65"/>
      <c r="I1230" s="275">
        <f t="shared" si="147"/>
        <v>0</v>
      </c>
      <c r="J1230" s="161"/>
      <c r="K1230" s="30"/>
      <c r="L1230" s="30"/>
      <c r="M1230" s="30"/>
      <c r="N1230" s="30"/>
      <c r="O1230" s="71">
        <f t="shared" si="148"/>
        <v>0</v>
      </c>
      <c r="P1230" s="1070">
        <f t="shared" si="149"/>
        <v>0</v>
      </c>
      <c r="Q1230" s="1071">
        <f t="shared" si="150"/>
        <v>0</v>
      </c>
    </row>
    <row r="1231" spans="1:17" x14ac:dyDescent="0.2">
      <c r="A1231" s="30"/>
      <c r="B1231" s="162"/>
      <c r="C1231" s="259"/>
      <c r="D1231" s="267"/>
      <c r="E1231" s="35"/>
      <c r="F1231" s="151"/>
      <c r="G1231" s="263">
        <f t="shared" si="151"/>
        <v>0</v>
      </c>
      <c r="H1231" s="65"/>
      <c r="I1231" s="275">
        <f t="shared" si="147"/>
        <v>0</v>
      </c>
      <c r="J1231" s="161"/>
      <c r="K1231" s="30"/>
      <c r="L1231" s="30"/>
      <c r="M1231" s="30"/>
      <c r="N1231" s="30"/>
      <c r="O1231" s="71">
        <f t="shared" si="148"/>
        <v>0</v>
      </c>
      <c r="P1231" s="1070">
        <f t="shared" si="149"/>
        <v>0</v>
      </c>
      <c r="Q1231" s="1071">
        <f t="shared" si="150"/>
        <v>0</v>
      </c>
    </row>
    <row r="1232" spans="1:17" x14ac:dyDescent="0.2">
      <c r="A1232" s="30"/>
      <c r="B1232" s="162"/>
      <c r="C1232" s="259"/>
      <c r="D1232" s="267"/>
      <c r="E1232" s="35"/>
      <c r="F1232" s="151"/>
      <c r="G1232" s="263">
        <f t="shared" si="151"/>
        <v>0</v>
      </c>
      <c r="H1232" s="65"/>
      <c r="I1232" s="275">
        <f t="shared" si="147"/>
        <v>0</v>
      </c>
      <c r="J1232" s="161"/>
      <c r="K1232" s="30"/>
      <c r="L1232" s="30"/>
      <c r="M1232" s="30"/>
      <c r="N1232" s="30"/>
      <c r="O1232" s="71">
        <f t="shared" si="148"/>
        <v>0</v>
      </c>
      <c r="P1232" s="1070">
        <f t="shared" si="149"/>
        <v>0</v>
      </c>
      <c r="Q1232" s="1071">
        <f t="shared" si="150"/>
        <v>0</v>
      </c>
    </row>
    <row r="1233" spans="1:17" x14ac:dyDescent="0.2">
      <c r="A1233" s="30"/>
      <c r="B1233" s="162"/>
      <c r="C1233" s="259"/>
      <c r="D1233" s="267"/>
      <c r="E1233" s="35"/>
      <c r="F1233" s="151"/>
      <c r="G1233" s="263">
        <f t="shared" si="151"/>
        <v>0</v>
      </c>
      <c r="H1233" s="65"/>
      <c r="I1233" s="275">
        <f t="shared" si="147"/>
        <v>0</v>
      </c>
      <c r="J1233" s="161"/>
      <c r="K1233" s="30"/>
      <c r="L1233" s="30"/>
      <c r="M1233" s="30"/>
      <c r="N1233" s="30"/>
      <c r="O1233" s="71">
        <f t="shared" si="148"/>
        <v>0</v>
      </c>
      <c r="P1233" s="1070">
        <f t="shared" si="149"/>
        <v>0</v>
      </c>
      <c r="Q1233" s="1071">
        <f t="shared" si="150"/>
        <v>0</v>
      </c>
    </row>
    <row r="1234" spans="1:17" x14ac:dyDescent="0.2">
      <c r="A1234" s="30"/>
      <c r="B1234" s="162"/>
      <c r="C1234" s="259"/>
      <c r="D1234" s="267"/>
      <c r="E1234" s="35"/>
      <c r="F1234" s="151"/>
      <c r="G1234" s="263">
        <f t="shared" si="151"/>
        <v>0</v>
      </c>
      <c r="H1234" s="65"/>
      <c r="I1234" s="275">
        <f t="shared" si="147"/>
        <v>0</v>
      </c>
      <c r="J1234" s="161"/>
      <c r="K1234" s="30"/>
      <c r="L1234" s="30"/>
      <c r="M1234" s="30"/>
      <c r="N1234" s="30"/>
      <c r="O1234" s="71">
        <f t="shared" si="148"/>
        <v>0</v>
      </c>
      <c r="P1234" s="1070">
        <f t="shared" si="149"/>
        <v>0</v>
      </c>
      <c r="Q1234" s="1071">
        <f t="shared" si="150"/>
        <v>0</v>
      </c>
    </row>
    <row r="1235" spans="1:17" x14ac:dyDescent="0.2">
      <c r="A1235" s="30"/>
      <c r="B1235" s="162"/>
      <c r="C1235" s="259"/>
      <c r="D1235" s="267"/>
      <c r="E1235" s="35"/>
      <c r="F1235" s="151"/>
      <c r="G1235" s="263">
        <f t="shared" si="151"/>
        <v>0</v>
      </c>
      <c r="H1235" s="65"/>
      <c r="I1235" s="275">
        <f t="shared" si="147"/>
        <v>0</v>
      </c>
      <c r="J1235" s="161"/>
      <c r="K1235" s="30"/>
      <c r="L1235" s="30"/>
      <c r="M1235" s="30"/>
      <c r="N1235" s="30"/>
      <c r="O1235" s="71">
        <f t="shared" si="148"/>
        <v>0</v>
      </c>
      <c r="P1235" s="1070">
        <f t="shared" si="149"/>
        <v>0</v>
      </c>
      <c r="Q1235" s="1071">
        <f t="shared" si="150"/>
        <v>0</v>
      </c>
    </row>
    <row r="1236" spans="1:17" x14ac:dyDescent="0.2">
      <c r="A1236" s="30"/>
      <c r="B1236" s="162"/>
      <c r="C1236" s="259"/>
      <c r="D1236" s="267"/>
      <c r="E1236" s="35"/>
      <c r="F1236" s="151"/>
      <c r="G1236" s="263">
        <f t="shared" si="151"/>
        <v>0</v>
      </c>
      <c r="H1236" s="65"/>
      <c r="I1236" s="275">
        <f t="shared" si="147"/>
        <v>0</v>
      </c>
      <c r="J1236" s="161"/>
      <c r="K1236" s="30"/>
      <c r="L1236" s="30"/>
      <c r="M1236" s="30"/>
      <c r="N1236" s="30"/>
      <c r="O1236" s="71">
        <f t="shared" si="148"/>
        <v>0</v>
      </c>
      <c r="P1236" s="1070">
        <f t="shared" si="149"/>
        <v>0</v>
      </c>
      <c r="Q1236" s="1071">
        <f t="shared" si="150"/>
        <v>0</v>
      </c>
    </row>
    <row r="1237" spans="1:17" x14ac:dyDescent="0.2">
      <c r="A1237" s="30"/>
      <c r="B1237" s="162"/>
      <c r="C1237" s="259"/>
      <c r="D1237" s="267"/>
      <c r="E1237" s="35"/>
      <c r="F1237" s="151"/>
      <c r="G1237" s="263">
        <f t="shared" si="151"/>
        <v>0</v>
      </c>
      <c r="H1237" s="65"/>
      <c r="I1237" s="275">
        <f t="shared" si="147"/>
        <v>0</v>
      </c>
      <c r="J1237" s="161"/>
      <c r="K1237" s="30"/>
      <c r="L1237" s="30"/>
      <c r="M1237" s="30"/>
      <c r="N1237" s="30"/>
      <c r="O1237" s="71">
        <f t="shared" si="148"/>
        <v>0</v>
      </c>
      <c r="P1237" s="1070">
        <f t="shared" si="149"/>
        <v>0</v>
      </c>
      <c r="Q1237" s="1071">
        <f t="shared" si="150"/>
        <v>0</v>
      </c>
    </row>
    <row r="1238" spans="1:17" x14ac:dyDescent="0.2">
      <c r="A1238" s="30"/>
      <c r="B1238" s="162"/>
      <c r="C1238" s="259"/>
      <c r="D1238" s="267"/>
      <c r="E1238" s="35"/>
      <c r="F1238" s="151"/>
      <c r="G1238" s="263">
        <f t="shared" si="151"/>
        <v>0</v>
      </c>
      <c r="H1238" s="65"/>
      <c r="I1238" s="275">
        <f t="shared" si="147"/>
        <v>0</v>
      </c>
      <c r="J1238" s="161"/>
      <c r="K1238" s="30"/>
      <c r="L1238" s="30"/>
      <c r="M1238" s="30"/>
      <c r="N1238" s="30"/>
      <c r="O1238" s="71">
        <f t="shared" si="148"/>
        <v>0</v>
      </c>
      <c r="P1238" s="1070">
        <f t="shared" si="149"/>
        <v>0</v>
      </c>
      <c r="Q1238" s="1071">
        <f t="shared" si="150"/>
        <v>0</v>
      </c>
    </row>
    <row r="1239" spans="1:17" x14ac:dyDescent="0.2">
      <c r="A1239" s="30"/>
      <c r="B1239" s="162"/>
      <c r="C1239" s="259"/>
      <c r="D1239" s="267"/>
      <c r="E1239" s="35"/>
      <c r="F1239" s="151"/>
      <c r="G1239" s="263">
        <f t="shared" si="151"/>
        <v>0</v>
      </c>
      <c r="H1239" s="65"/>
      <c r="I1239" s="275">
        <f t="shared" si="147"/>
        <v>0</v>
      </c>
      <c r="J1239" s="161"/>
      <c r="K1239" s="30"/>
      <c r="L1239" s="30"/>
      <c r="M1239" s="30"/>
      <c r="N1239" s="30"/>
      <c r="O1239" s="71">
        <f t="shared" si="148"/>
        <v>0</v>
      </c>
      <c r="P1239" s="1070">
        <f t="shared" si="149"/>
        <v>0</v>
      </c>
      <c r="Q1239" s="1071">
        <f t="shared" si="150"/>
        <v>0</v>
      </c>
    </row>
    <row r="1240" spans="1:17" x14ac:dyDescent="0.2">
      <c r="A1240" s="30"/>
      <c r="B1240" s="162"/>
      <c r="C1240" s="259"/>
      <c r="D1240" s="267"/>
      <c r="E1240" s="35"/>
      <c r="F1240" s="151"/>
      <c r="G1240" s="263">
        <f t="shared" si="151"/>
        <v>0</v>
      </c>
      <c r="H1240" s="65"/>
      <c r="I1240" s="275">
        <f t="shared" si="147"/>
        <v>0</v>
      </c>
      <c r="J1240" s="161"/>
      <c r="K1240" s="30"/>
      <c r="L1240" s="30"/>
      <c r="M1240" s="30"/>
      <c r="N1240" s="30"/>
      <c r="O1240" s="71">
        <f t="shared" si="148"/>
        <v>0</v>
      </c>
      <c r="P1240" s="1070">
        <f t="shared" si="149"/>
        <v>0</v>
      </c>
      <c r="Q1240" s="1071">
        <f t="shared" si="150"/>
        <v>0</v>
      </c>
    </row>
    <row r="1241" spans="1:17" x14ac:dyDescent="0.2">
      <c r="A1241" s="30"/>
      <c r="B1241" s="162"/>
      <c r="C1241" s="259"/>
      <c r="D1241" s="267"/>
      <c r="E1241" s="35"/>
      <c r="F1241" s="151"/>
      <c r="G1241" s="263">
        <f t="shared" si="151"/>
        <v>0</v>
      </c>
      <c r="H1241" s="65"/>
      <c r="I1241" s="275">
        <f t="shared" si="147"/>
        <v>0</v>
      </c>
      <c r="J1241" s="161"/>
      <c r="K1241" s="30"/>
      <c r="L1241" s="30"/>
      <c r="M1241" s="30"/>
      <c r="N1241" s="30"/>
      <c r="O1241" s="71">
        <f t="shared" si="148"/>
        <v>0</v>
      </c>
      <c r="P1241" s="1070">
        <f t="shared" si="149"/>
        <v>0</v>
      </c>
      <c r="Q1241" s="1071">
        <f t="shared" si="150"/>
        <v>0</v>
      </c>
    </row>
    <row r="1242" spans="1:17" x14ac:dyDescent="0.2">
      <c r="A1242" s="30"/>
      <c r="B1242" s="162"/>
      <c r="C1242" s="259"/>
      <c r="D1242" s="267"/>
      <c r="E1242" s="35"/>
      <c r="F1242" s="151"/>
      <c r="G1242" s="263">
        <f t="shared" si="151"/>
        <v>0</v>
      </c>
      <c r="H1242" s="65"/>
      <c r="I1242" s="275">
        <f t="shared" si="147"/>
        <v>0</v>
      </c>
      <c r="J1242" s="161"/>
      <c r="K1242" s="30"/>
      <c r="L1242" s="30"/>
      <c r="M1242" s="30"/>
      <c r="N1242" s="30"/>
      <c r="O1242" s="71">
        <f t="shared" si="148"/>
        <v>0</v>
      </c>
      <c r="P1242" s="1070">
        <f t="shared" si="149"/>
        <v>0</v>
      </c>
      <c r="Q1242" s="1071">
        <f t="shared" si="150"/>
        <v>0</v>
      </c>
    </row>
    <row r="1243" spans="1:17" x14ac:dyDescent="0.2">
      <c r="A1243" s="30"/>
      <c r="B1243" s="162"/>
      <c r="C1243" s="259"/>
      <c r="D1243" s="267"/>
      <c r="E1243" s="35"/>
      <c r="F1243" s="151"/>
      <c r="G1243" s="263">
        <f t="shared" si="151"/>
        <v>0</v>
      </c>
      <c r="H1243" s="65"/>
      <c r="I1243" s="275">
        <f t="shared" si="147"/>
        <v>0</v>
      </c>
      <c r="J1243" s="161"/>
      <c r="K1243" s="30"/>
      <c r="L1243" s="30"/>
      <c r="M1243" s="30"/>
      <c r="N1243" s="30"/>
      <c r="O1243" s="71">
        <f t="shared" si="148"/>
        <v>0</v>
      </c>
      <c r="P1243" s="1070">
        <f t="shared" si="149"/>
        <v>0</v>
      </c>
      <c r="Q1243" s="1071">
        <f t="shared" si="150"/>
        <v>0</v>
      </c>
    </row>
    <row r="1244" spans="1:17" x14ac:dyDescent="0.2">
      <c r="A1244" s="30"/>
      <c r="B1244" s="162"/>
      <c r="C1244" s="259"/>
      <c r="D1244" s="267"/>
      <c r="E1244" s="35"/>
      <c r="F1244" s="151"/>
      <c r="G1244" s="263">
        <f t="shared" si="151"/>
        <v>0</v>
      </c>
      <c r="H1244" s="65"/>
      <c r="I1244" s="275">
        <f t="shared" si="147"/>
        <v>0</v>
      </c>
      <c r="J1244" s="161"/>
      <c r="K1244" s="30"/>
      <c r="L1244" s="30"/>
      <c r="M1244" s="30"/>
      <c r="N1244" s="30"/>
      <c r="O1244" s="71">
        <f t="shared" si="148"/>
        <v>0</v>
      </c>
      <c r="P1244" s="1070">
        <f t="shared" si="149"/>
        <v>0</v>
      </c>
      <c r="Q1244" s="1071">
        <f t="shared" si="150"/>
        <v>0</v>
      </c>
    </row>
    <row r="1245" spans="1:17" x14ac:dyDescent="0.2">
      <c r="A1245" s="30"/>
      <c r="B1245" s="162"/>
      <c r="C1245" s="259"/>
      <c r="D1245" s="267"/>
      <c r="E1245" s="35"/>
      <c r="F1245" s="151"/>
      <c r="G1245" s="263">
        <f t="shared" si="151"/>
        <v>0</v>
      </c>
      <c r="H1245" s="65"/>
      <c r="I1245" s="275">
        <f t="shared" si="147"/>
        <v>0</v>
      </c>
      <c r="J1245" s="161"/>
      <c r="K1245" s="30"/>
      <c r="L1245" s="30"/>
      <c r="M1245" s="30"/>
      <c r="N1245" s="30"/>
      <c r="O1245" s="71">
        <f t="shared" si="148"/>
        <v>0</v>
      </c>
      <c r="P1245" s="1070">
        <f t="shared" si="149"/>
        <v>0</v>
      </c>
      <c r="Q1245" s="1071">
        <f t="shared" si="150"/>
        <v>0</v>
      </c>
    </row>
    <row r="1246" spans="1:17" x14ac:dyDescent="0.2">
      <c r="A1246" s="30"/>
      <c r="B1246" s="162"/>
      <c r="C1246" s="259"/>
      <c r="D1246" s="267"/>
      <c r="E1246" s="35"/>
      <c r="F1246" s="151"/>
      <c r="G1246" s="263">
        <f t="shared" si="151"/>
        <v>0</v>
      </c>
      <c r="H1246" s="65"/>
      <c r="I1246" s="275">
        <f t="shared" si="147"/>
        <v>0</v>
      </c>
      <c r="J1246" s="161"/>
      <c r="K1246" s="30"/>
      <c r="L1246" s="30"/>
      <c r="M1246" s="30"/>
      <c r="N1246" s="30"/>
      <c r="O1246" s="71">
        <f t="shared" si="148"/>
        <v>0</v>
      </c>
      <c r="P1246" s="1070">
        <f t="shared" si="149"/>
        <v>0</v>
      </c>
      <c r="Q1246" s="1071">
        <f t="shared" si="150"/>
        <v>0</v>
      </c>
    </row>
    <row r="1247" spans="1:17" x14ac:dyDescent="0.2">
      <c r="A1247" s="30"/>
      <c r="B1247" s="162"/>
      <c r="C1247" s="259"/>
      <c r="D1247" s="267"/>
      <c r="E1247" s="35"/>
      <c r="F1247" s="151"/>
      <c r="G1247" s="263">
        <f t="shared" si="151"/>
        <v>0</v>
      </c>
      <c r="H1247" s="65"/>
      <c r="I1247" s="275">
        <f t="shared" si="147"/>
        <v>0</v>
      </c>
      <c r="J1247" s="161"/>
      <c r="K1247" s="30"/>
      <c r="L1247" s="30"/>
      <c r="M1247" s="30"/>
      <c r="N1247" s="30"/>
      <c r="O1247" s="71">
        <f t="shared" si="148"/>
        <v>0</v>
      </c>
      <c r="P1247" s="1070">
        <f t="shared" si="149"/>
        <v>0</v>
      </c>
      <c r="Q1247" s="1071">
        <f t="shared" si="150"/>
        <v>0</v>
      </c>
    </row>
    <row r="1248" spans="1:17" x14ac:dyDescent="0.2">
      <c r="A1248" s="30"/>
      <c r="B1248" s="162"/>
      <c r="C1248" s="259"/>
      <c r="D1248" s="267"/>
      <c r="E1248" s="35"/>
      <c r="F1248" s="151"/>
      <c r="G1248" s="263">
        <f t="shared" si="151"/>
        <v>0</v>
      </c>
      <c r="H1248" s="65"/>
      <c r="I1248" s="275">
        <f t="shared" si="147"/>
        <v>0</v>
      </c>
      <c r="J1248" s="161"/>
      <c r="K1248" s="30"/>
      <c r="L1248" s="30"/>
      <c r="M1248" s="30"/>
      <c r="N1248" s="30"/>
      <c r="O1248" s="71">
        <f t="shared" si="148"/>
        <v>0</v>
      </c>
      <c r="P1248" s="1070">
        <f t="shared" si="149"/>
        <v>0</v>
      </c>
      <c r="Q1248" s="1071">
        <f t="shared" si="150"/>
        <v>0</v>
      </c>
    </row>
    <row r="1249" spans="1:17" x14ac:dyDescent="0.2">
      <c r="A1249" s="30"/>
      <c r="B1249" s="162"/>
      <c r="C1249" s="259"/>
      <c r="D1249" s="267"/>
      <c r="E1249" s="35"/>
      <c r="F1249" s="151"/>
      <c r="G1249" s="263">
        <f t="shared" si="151"/>
        <v>0</v>
      </c>
      <c r="H1249" s="65"/>
      <c r="I1249" s="275">
        <f t="shared" si="147"/>
        <v>0</v>
      </c>
      <c r="J1249" s="161"/>
      <c r="K1249" s="30"/>
      <c r="L1249" s="30"/>
      <c r="M1249" s="30"/>
      <c r="N1249" s="30"/>
      <c r="O1249" s="71">
        <f t="shared" si="148"/>
        <v>0</v>
      </c>
      <c r="P1249" s="1070">
        <f t="shared" si="149"/>
        <v>0</v>
      </c>
      <c r="Q1249" s="1071">
        <f t="shared" si="150"/>
        <v>0</v>
      </c>
    </row>
    <row r="1250" spans="1:17" x14ac:dyDescent="0.2">
      <c r="A1250" s="30"/>
      <c r="B1250" s="162"/>
      <c r="C1250" s="259"/>
      <c r="D1250" s="267"/>
      <c r="E1250" s="35"/>
      <c r="F1250" s="151"/>
      <c r="G1250" s="263">
        <f t="shared" si="151"/>
        <v>0</v>
      </c>
      <c r="H1250" s="65"/>
      <c r="I1250" s="275">
        <f t="shared" si="147"/>
        <v>0</v>
      </c>
      <c r="J1250" s="161"/>
      <c r="K1250" s="30"/>
      <c r="L1250" s="30"/>
      <c r="M1250" s="30"/>
      <c r="N1250" s="30"/>
      <c r="O1250" s="71">
        <f t="shared" si="148"/>
        <v>0</v>
      </c>
      <c r="P1250" s="1070">
        <f t="shared" si="149"/>
        <v>0</v>
      </c>
      <c r="Q1250" s="1071">
        <f t="shared" si="150"/>
        <v>0</v>
      </c>
    </row>
    <row r="1251" spans="1:17" x14ac:dyDescent="0.2">
      <c r="A1251" s="30"/>
      <c r="B1251" s="162"/>
      <c r="C1251" s="259"/>
      <c r="D1251" s="267"/>
      <c r="E1251" s="35"/>
      <c r="F1251" s="151"/>
      <c r="G1251" s="263">
        <f t="shared" si="151"/>
        <v>0</v>
      </c>
      <c r="H1251" s="65"/>
      <c r="I1251" s="275">
        <f t="shared" si="147"/>
        <v>0</v>
      </c>
      <c r="J1251" s="161"/>
      <c r="K1251" s="30"/>
      <c r="L1251" s="30"/>
      <c r="M1251" s="30"/>
      <c r="N1251" s="30"/>
      <c r="O1251" s="71">
        <f t="shared" si="148"/>
        <v>0</v>
      </c>
      <c r="P1251" s="1070">
        <f t="shared" si="149"/>
        <v>0</v>
      </c>
      <c r="Q1251" s="1071">
        <f t="shared" si="150"/>
        <v>0</v>
      </c>
    </row>
    <row r="1252" spans="1:17" x14ac:dyDescent="0.2">
      <c r="A1252" s="30"/>
      <c r="B1252" s="162"/>
      <c r="C1252" s="259"/>
      <c r="D1252" s="267"/>
      <c r="E1252" s="35"/>
      <c r="F1252" s="151"/>
      <c r="G1252" s="263">
        <f t="shared" si="151"/>
        <v>0</v>
      </c>
      <c r="H1252" s="65"/>
      <c r="I1252" s="275">
        <f t="shared" si="147"/>
        <v>0</v>
      </c>
      <c r="J1252" s="161"/>
      <c r="K1252" s="30"/>
      <c r="L1252" s="30"/>
      <c r="M1252" s="30"/>
      <c r="N1252" s="30"/>
      <c r="O1252" s="71">
        <f t="shared" si="148"/>
        <v>0</v>
      </c>
      <c r="P1252" s="1070">
        <f t="shared" si="149"/>
        <v>0</v>
      </c>
      <c r="Q1252" s="1071">
        <f t="shared" si="150"/>
        <v>0</v>
      </c>
    </row>
    <row r="1253" spans="1:17" x14ac:dyDescent="0.2">
      <c r="A1253" s="30"/>
      <c r="B1253" s="162"/>
      <c r="C1253" s="259"/>
      <c r="D1253" s="267"/>
      <c r="E1253" s="35"/>
      <c r="F1253" s="151"/>
      <c r="G1253" s="263">
        <f t="shared" si="151"/>
        <v>0</v>
      </c>
      <c r="H1253" s="65"/>
      <c r="I1253" s="275">
        <f t="shared" si="147"/>
        <v>0</v>
      </c>
      <c r="J1253" s="161"/>
      <c r="K1253" s="30"/>
      <c r="L1253" s="30"/>
      <c r="M1253" s="30"/>
      <c r="N1253" s="30"/>
      <c r="O1253" s="71">
        <f t="shared" si="148"/>
        <v>0</v>
      </c>
      <c r="P1253" s="1070">
        <f t="shared" si="149"/>
        <v>0</v>
      </c>
      <c r="Q1253" s="1071">
        <f t="shared" si="150"/>
        <v>0</v>
      </c>
    </row>
    <row r="1254" spans="1:17" x14ac:dyDescent="0.2">
      <c r="A1254" s="30"/>
      <c r="B1254" s="162"/>
      <c r="C1254" s="259"/>
      <c r="D1254" s="267"/>
      <c r="E1254" s="35"/>
      <c r="F1254" s="151"/>
      <c r="G1254" s="263">
        <f t="shared" si="151"/>
        <v>0</v>
      </c>
      <c r="H1254" s="65"/>
      <c r="I1254" s="275">
        <f t="shared" si="147"/>
        <v>0</v>
      </c>
      <c r="J1254" s="161"/>
      <c r="K1254" s="30"/>
      <c r="L1254" s="30"/>
      <c r="M1254" s="30"/>
      <c r="N1254" s="30"/>
      <c r="O1254" s="71">
        <f t="shared" si="148"/>
        <v>0</v>
      </c>
      <c r="P1254" s="1070">
        <f t="shared" si="149"/>
        <v>0</v>
      </c>
      <c r="Q1254" s="1071">
        <f t="shared" si="150"/>
        <v>0</v>
      </c>
    </row>
    <row r="1255" spans="1:17" x14ac:dyDescent="0.2">
      <c r="A1255" s="30"/>
      <c r="B1255" s="162"/>
      <c r="C1255" s="259"/>
      <c r="D1255" s="267"/>
      <c r="E1255" s="35"/>
      <c r="F1255" s="151"/>
      <c r="G1255" s="263">
        <f t="shared" si="151"/>
        <v>0</v>
      </c>
      <c r="H1255" s="65"/>
      <c r="I1255" s="275">
        <f t="shared" si="147"/>
        <v>0</v>
      </c>
      <c r="J1255" s="161"/>
      <c r="K1255" s="30"/>
      <c r="L1255" s="30"/>
      <c r="M1255" s="30"/>
      <c r="N1255" s="30"/>
      <c r="O1255" s="71">
        <f t="shared" si="148"/>
        <v>0</v>
      </c>
      <c r="P1255" s="1070">
        <f t="shared" si="149"/>
        <v>0</v>
      </c>
      <c r="Q1255" s="1071">
        <f t="shared" si="150"/>
        <v>0</v>
      </c>
    </row>
    <row r="1256" spans="1:17" x14ac:dyDescent="0.2">
      <c r="A1256" s="30"/>
      <c r="B1256" s="162"/>
      <c r="C1256" s="259"/>
      <c r="D1256" s="267"/>
      <c r="E1256" s="35"/>
      <c r="F1256" s="151"/>
      <c r="G1256" s="263">
        <f t="shared" si="151"/>
        <v>0</v>
      </c>
      <c r="H1256" s="65"/>
      <c r="I1256" s="275">
        <f t="shared" si="147"/>
        <v>0</v>
      </c>
      <c r="J1256" s="161"/>
      <c r="K1256" s="30"/>
      <c r="L1256" s="30"/>
      <c r="M1256" s="30"/>
      <c r="N1256" s="30"/>
      <c r="O1256" s="71">
        <f t="shared" si="148"/>
        <v>0</v>
      </c>
      <c r="P1256" s="1070">
        <f t="shared" si="149"/>
        <v>0</v>
      </c>
      <c r="Q1256" s="1071">
        <f t="shared" si="150"/>
        <v>0</v>
      </c>
    </row>
    <row r="1257" spans="1:17" x14ac:dyDescent="0.2">
      <c r="A1257" s="30"/>
      <c r="B1257" s="162"/>
      <c r="C1257" s="259"/>
      <c r="D1257" s="267"/>
      <c r="E1257" s="35"/>
      <c r="F1257" s="151"/>
      <c r="G1257" s="263">
        <f t="shared" si="151"/>
        <v>0</v>
      </c>
      <c r="H1257" s="65"/>
      <c r="I1257" s="275">
        <f t="shared" si="147"/>
        <v>0</v>
      </c>
      <c r="J1257" s="161"/>
      <c r="K1257" s="30"/>
      <c r="L1257" s="30"/>
      <c r="M1257" s="30"/>
      <c r="N1257" s="30"/>
      <c r="O1257" s="71">
        <f t="shared" si="148"/>
        <v>0</v>
      </c>
      <c r="P1257" s="1070">
        <f t="shared" si="149"/>
        <v>0</v>
      </c>
      <c r="Q1257" s="1071">
        <f t="shared" si="150"/>
        <v>0</v>
      </c>
    </row>
    <row r="1258" spans="1:17" x14ac:dyDescent="0.2">
      <c r="A1258" s="30"/>
      <c r="B1258" s="162"/>
      <c r="C1258" s="259"/>
      <c r="D1258" s="267"/>
      <c r="E1258" s="35"/>
      <c r="F1258" s="151"/>
      <c r="G1258" s="263">
        <f t="shared" si="151"/>
        <v>0</v>
      </c>
      <c r="H1258" s="65"/>
      <c r="I1258" s="275">
        <f t="shared" si="147"/>
        <v>0</v>
      </c>
      <c r="J1258" s="161"/>
      <c r="K1258" s="30"/>
      <c r="L1258" s="30"/>
      <c r="M1258" s="30"/>
      <c r="N1258" s="30"/>
      <c r="O1258" s="71">
        <f t="shared" si="148"/>
        <v>0</v>
      </c>
      <c r="P1258" s="1070">
        <f t="shared" si="149"/>
        <v>0</v>
      </c>
      <c r="Q1258" s="1071">
        <f t="shared" ref="Q1258:Q1277" si="152">IF($F1258=$Q$43,$I1258,0)</f>
        <v>0</v>
      </c>
    </row>
    <row r="1259" spans="1:17" x14ac:dyDescent="0.2">
      <c r="A1259" s="30"/>
      <c r="B1259" s="162"/>
      <c r="C1259" s="259"/>
      <c r="D1259" s="267"/>
      <c r="E1259" s="35"/>
      <c r="F1259" s="151"/>
      <c r="G1259" s="263">
        <f t="shared" si="151"/>
        <v>0</v>
      </c>
      <c r="H1259" s="65"/>
      <c r="I1259" s="275">
        <f t="shared" si="147"/>
        <v>0</v>
      </c>
      <c r="J1259" s="161"/>
      <c r="K1259" s="30"/>
      <c r="L1259" s="30"/>
      <c r="M1259" s="30"/>
      <c r="N1259" s="30"/>
      <c r="O1259" s="71">
        <f t="shared" si="148"/>
        <v>0</v>
      </c>
      <c r="P1259" s="1070">
        <f t="shared" ref="P1259:P1277" si="153">IF($F1259=$Q$42,$I1259,0)</f>
        <v>0</v>
      </c>
      <c r="Q1259" s="1071">
        <f t="shared" si="152"/>
        <v>0</v>
      </c>
    </row>
    <row r="1260" spans="1:17" x14ac:dyDescent="0.2">
      <c r="A1260" s="30"/>
      <c r="B1260" s="162"/>
      <c r="C1260" s="259"/>
      <c r="D1260" s="267"/>
      <c r="E1260" s="35"/>
      <c r="F1260" s="151"/>
      <c r="G1260" s="263">
        <f t="shared" si="151"/>
        <v>0</v>
      </c>
      <c r="H1260" s="65"/>
      <c r="I1260" s="275">
        <f t="shared" si="147"/>
        <v>0</v>
      </c>
      <c r="J1260" s="161"/>
      <c r="K1260" s="30"/>
      <c r="L1260" s="30"/>
      <c r="M1260" s="30"/>
      <c r="N1260" s="30"/>
      <c r="O1260" s="71">
        <f t="shared" si="148"/>
        <v>0</v>
      </c>
      <c r="P1260" s="1070">
        <f t="shared" si="153"/>
        <v>0</v>
      </c>
      <c r="Q1260" s="1071">
        <f t="shared" si="152"/>
        <v>0</v>
      </c>
    </row>
    <row r="1261" spans="1:17" x14ac:dyDescent="0.2">
      <c r="A1261" s="30"/>
      <c r="B1261" s="162"/>
      <c r="C1261" s="259"/>
      <c r="D1261" s="267"/>
      <c r="E1261" s="35"/>
      <c r="F1261" s="151"/>
      <c r="G1261" s="263">
        <f t="shared" si="151"/>
        <v>0</v>
      </c>
      <c r="H1261" s="65"/>
      <c r="I1261" s="275">
        <f t="shared" si="147"/>
        <v>0</v>
      </c>
      <c r="J1261" s="161"/>
      <c r="K1261" s="30"/>
      <c r="L1261" s="30"/>
      <c r="M1261" s="30"/>
      <c r="N1261" s="30"/>
      <c r="O1261" s="71">
        <f t="shared" si="148"/>
        <v>0</v>
      </c>
      <c r="P1261" s="1070">
        <f t="shared" si="153"/>
        <v>0</v>
      </c>
      <c r="Q1261" s="1071">
        <f t="shared" si="152"/>
        <v>0</v>
      </c>
    </row>
    <row r="1262" spans="1:17" x14ac:dyDescent="0.2">
      <c r="A1262" s="30"/>
      <c r="B1262" s="162"/>
      <c r="C1262" s="259"/>
      <c r="D1262" s="267"/>
      <c r="E1262" s="35"/>
      <c r="F1262" s="151"/>
      <c r="G1262" s="263">
        <f t="shared" si="151"/>
        <v>0</v>
      </c>
      <c r="H1262" s="65"/>
      <c r="I1262" s="275">
        <f t="shared" si="147"/>
        <v>0</v>
      </c>
      <c r="J1262" s="161"/>
      <c r="K1262" s="30"/>
      <c r="L1262" s="30"/>
      <c r="M1262" s="30"/>
      <c r="N1262" s="30"/>
      <c r="O1262" s="71">
        <f t="shared" si="148"/>
        <v>0</v>
      </c>
      <c r="P1262" s="1070">
        <f t="shared" si="153"/>
        <v>0</v>
      </c>
      <c r="Q1262" s="1071">
        <f t="shared" si="152"/>
        <v>0</v>
      </c>
    </row>
    <row r="1263" spans="1:17" x14ac:dyDescent="0.2">
      <c r="A1263" s="30"/>
      <c r="B1263" s="162"/>
      <c r="C1263" s="259"/>
      <c r="D1263" s="267"/>
      <c r="E1263" s="35"/>
      <c r="F1263" s="151"/>
      <c r="G1263" s="263">
        <f t="shared" si="151"/>
        <v>0</v>
      </c>
      <c r="H1263" s="65"/>
      <c r="I1263" s="275">
        <f t="shared" si="147"/>
        <v>0</v>
      </c>
      <c r="J1263" s="161"/>
      <c r="K1263" s="30"/>
      <c r="L1263" s="30"/>
      <c r="M1263" s="30"/>
      <c r="N1263" s="30"/>
      <c r="O1263" s="71">
        <f t="shared" si="148"/>
        <v>0</v>
      </c>
      <c r="P1263" s="1070">
        <f t="shared" si="153"/>
        <v>0</v>
      </c>
      <c r="Q1263" s="1071">
        <f t="shared" si="152"/>
        <v>0</v>
      </c>
    </row>
    <row r="1264" spans="1:17" x14ac:dyDescent="0.2">
      <c r="A1264" s="30"/>
      <c r="B1264" s="162"/>
      <c r="C1264" s="259"/>
      <c r="D1264" s="267"/>
      <c r="E1264" s="35"/>
      <c r="F1264" s="151"/>
      <c r="G1264" s="263">
        <f t="shared" si="151"/>
        <v>0</v>
      </c>
      <c r="H1264" s="65"/>
      <c r="I1264" s="275">
        <f t="shared" si="147"/>
        <v>0</v>
      </c>
      <c r="J1264" s="161"/>
      <c r="K1264" s="30"/>
      <c r="L1264" s="30"/>
      <c r="M1264" s="30"/>
      <c r="N1264" s="30"/>
      <c r="O1264" s="71">
        <f t="shared" si="148"/>
        <v>0</v>
      </c>
      <c r="P1264" s="1070">
        <f t="shared" si="153"/>
        <v>0</v>
      </c>
      <c r="Q1264" s="1071">
        <f t="shared" si="152"/>
        <v>0</v>
      </c>
    </row>
    <row r="1265" spans="1:17" x14ac:dyDescent="0.2">
      <c r="A1265" s="30"/>
      <c r="B1265" s="162"/>
      <c r="C1265" s="259"/>
      <c r="D1265" s="267"/>
      <c r="E1265" s="35"/>
      <c r="F1265" s="151"/>
      <c r="G1265" s="263">
        <f t="shared" si="151"/>
        <v>0</v>
      </c>
      <c r="H1265" s="65"/>
      <c r="I1265" s="275">
        <f t="shared" si="147"/>
        <v>0</v>
      </c>
      <c r="J1265" s="161"/>
      <c r="K1265" s="30"/>
      <c r="L1265" s="30"/>
      <c r="M1265" s="30"/>
      <c r="N1265" s="30"/>
      <c r="O1265" s="71">
        <f t="shared" si="148"/>
        <v>0</v>
      </c>
      <c r="P1265" s="1070">
        <f t="shared" si="153"/>
        <v>0</v>
      </c>
      <c r="Q1265" s="1071">
        <f t="shared" si="152"/>
        <v>0</v>
      </c>
    </row>
    <row r="1266" spans="1:17" x14ac:dyDescent="0.2">
      <c r="A1266" s="30"/>
      <c r="B1266" s="162"/>
      <c r="C1266" s="259"/>
      <c r="D1266" s="267"/>
      <c r="E1266" s="35"/>
      <c r="F1266" s="151"/>
      <c r="G1266" s="263">
        <f t="shared" si="151"/>
        <v>0</v>
      </c>
      <c r="H1266" s="65"/>
      <c r="I1266" s="275">
        <f t="shared" si="147"/>
        <v>0</v>
      </c>
      <c r="J1266" s="161"/>
      <c r="K1266" s="30"/>
      <c r="L1266" s="30"/>
      <c r="M1266" s="30"/>
      <c r="N1266" s="30"/>
      <c r="O1266" s="71">
        <f t="shared" si="148"/>
        <v>0</v>
      </c>
      <c r="P1266" s="1070">
        <f t="shared" si="153"/>
        <v>0</v>
      </c>
      <c r="Q1266" s="1071">
        <f t="shared" si="152"/>
        <v>0</v>
      </c>
    </row>
    <row r="1267" spans="1:17" x14ac:dyDescent="0.2">
      <c r="A1267" s="30"/>
      <c r="B1267" s="162"/>
      <c r="C1267" s="259"/>
      <c r="D1267" s="267"/>
      <c r="E1267" s="35"/>
      <c r="F1267" s="151"/>
      <c r="G1267" s="263">
        <f t="shared" si="151"/>
        <v>0</v>
      </c>
      <c r="H1267" s="65"/>
      <c r="I1267" s="275">
        <f t="shared" si="147"/>
        <v>0</v>
      </c>
      <c r="J1267" s="161"/>
      <c r="K1267" s="30"/>
      <c r="L1267" s="30"/>
      <c r="M1267" s="30"/>
      <c r="N1267" s="30"/>
      <c r="O1267" s="71">
        <f t="shared" si="148"/>
        <v>0</v>
      </c>
      <c r="P1267" s="1070">
        <f t="shared" si="153"/>
        <v>0</v>
      </c>
      <c r="Q1267" s="1071">
        <f t="shared" si="152"/>
        <v>0</v>
      </c>
    </row>
    <row r="1268" spans="1:17" x14ac:dyDescent="0.2">
      <c r="A1268" s="30"/>
      <c r="B1268" s="162"/>
      <c r="C1268" s="259"/>
      <c r="D1268" s="267"/>
      <c r="E1268" s="35"/>
      <c r="F1268" s="151"/>
      <c r="G1268" s="263">
        <f t="shared" si="151"/>
        <v>0</v>
      </c>
      <c r="H1268" s="65"/>
      <c r="I1268" s="275">
        <f t="shared" si="147"/>
        <v>0</v>
      </c>
      <c r="J1268" s="161"/>
      <c r="K1268" s="30"/>
      <c r="L1268" s="30"/>
      <c r="M1268" s="30"/>
      <c r="N1268" s="30"/>
      <c r="O1268" s="71">
        <f t="shared" si="148"/>
        <v>0</v>
      </c>
      <c r="P1268" s="1070">
        <f t="shared" si="153"/>
        <v>0</v>
      </c>
      <c r="Q1268" s="1071">
        <f t="shared" si="152"/>
        <v>0</v>
      </c>
    </row>
    <row r="1269" spans="1:17" x14ac:dyDescent="0.2">
      <c r="A1269" s="30"/>
      <c r="B1269" s="162"/>
      <c r="C1269" s="259"/>
      <c r="D1269" s="267"/>
      <c r="E1269" s="35"/>
      <c r="F1269" s="151"/>
      <c r="G1269" s="263">
        <f t="shared" si="151"/>
        <v>0</v>
      </c>
      <c r="H1269" s="65"/>
      <c r="I1269" s="275">
        <f t="shared" si="147"/>
        <v>0</v>
      </c>
      <c r="J1269" s="161"/>
      <c r="K1269" s="30"/>
      <c r="L1269" s="30"/>
      <c r="M1269" s="30"/>
      <c r="N1269" s="30"/>
      <c r="O1269" s="71">
        <f t="shared" si="148"/>
        <v>0</v>
      </c>
      <c r="P1269" s="1070">
        <f t="shared" si="153"/>
        <v>0</v>
      </c>
      <c r="Q1269" s="1071">
        <f t="shared" si="152"/>
        <v>0</v>
      </c>
    </row>
    <row r="1270" spans="1:17" x14ac:dyDescent="0.2">
      <c r="A1270" s="30"/>
      <c r="B1270" s="162"/>
      <c r="C1270" s="259"/>
      <c r="D1270" s="267"/>
      <c r="E1270" s="35"/>
      <c r="F1270" s="151"/>
      <c r="G1270" s="263">
        <f t="shared" si="151"/>
        <v>0</v>
      </c>
      <c r="H1270" s="65"/>
      <c r="I1270" s="275">
        <f t="shared" si="147"/>
        <v>0</v>
      </c>
      <c r="J1270" s="161"/>
      <c r="K1270" s="30"/>
      <c r="L1270" s="30"/>
      <c r="M1270" s="30"/>
      <c r="N1270" s="30"/>
      <c r="O1270" s="71">
        <f t="shared" si="148"/>
        <v>0</v>
      </c>
      <c r="P1270" s="1070">
        <f t="shared" si="153"/>
        <v>0</v>
      </c>
      <c r="Q1270" s="1071">
        <f t="shared" si="152"/>
        <v>0</v>
      </c>
    </row>
    <row r="1271" spans="1:17" x14ac:dyDescent="0.2">
      <c r="A1271" s="30"/>
      <c r="B1271" s="162"/>
      <c r="C1271" s="259"/>
      <c r="D1271" s="267"/>
      <c r="E1271" s="35"/>
      <c r="F1271" s="151"/>
      <c r="G1271" s="263">
        <f t="shared" si="151"/>
        <v>0</v>
      </c>
      <c r="H1271" s="65"/>
      <c r="I1271" s="275">
        <f t="shared" si="147"/>
        <v>0</v>
      </c>
      <c r="J1271" s="161"/>
      <c r="K1271" s="30"/>
      <c r="L1271" s="30"/>
      <c r="M1271" s="30"/>
      <c r="N1271" s="30"/>
      <c r="O1271" s="71">
        <f t="shared" si="148"/>
        <v>0</v>
      </c>
      <c r="P1271" s="1070">
        <f t="shared" si="153"/>
        <v>0</v>
      </c>
      <c r="Q1271" s="1071">
        <f t="shared" si="152"/>
        <v>0</v>
      </c>
    </row>
    <row r="1272" spans="1:17" x14ac:dyDescent="0.2">
      <c r="A1272" s="30"/>
      <c r="B1272" s="162"/>
      <c r="C1272" s="259"/>
      <c r="D1272" s="267"/>
      <c r="E1272" s="35"/>
      <c r="F1272" s="151"/>
      <c r="G1272" s="263">
        <f t="shared" si="151"/>
        <v>0</v>
      </c>
      <c r="H1272" s="65"/>
      <c r="I1272" s="275">
        <f t="shared" si="147"/>
        <v>0</v>
      </c>
      <c r="J1272" s="161"/>
      <c r="K1272" s="30"/>
      <c r="L1272" s="30"/>
      <c r="M1272" s="30"/>
      <c r="N1272" s="30"/>
      <c r="O1272" s="71">
        <f t="shared" si="148"/>
        <v>0</v>
      </c>
      <c r="P1272" s="1070">
        <f t="shared" si="153"/>
        <v>0</v>
      </c>
      <c r="Q1272" s="1071">
        <f t="shared" si="152"/>
        <v>0</v>
      </c>
    </row>
    <row r="1273" spans="1:17" x14ac:dyDescent="0.2">
      <c r="A1273" s="30"/>
      <c r="B1273" s="162"/>
      <c r="C1273" s="259"/>
      <c r="D1273" s="267"/>
      <c r="E1273" s="35"/>
      <c r="F1273" s="151"/>
      <c r="G1273" s="263">
        <f t="shared" si="151"/>
        <v>0</v>
      </c>
      <c r="H1273" s="65"/>
      <c r="I1273" s="275">
        <f t="shared" si="147"/>
        <v>0</v>
      </c>
      <c r="J1273" s="161"/>
      <c r="K1273" s="30"/>
      <c r="L1273" s="30"/>
      <c r="M1273" s="30"/>
      <c r="N1273" s="30"/>
      <c r="O1273" s="71">
        <f t="shared" si="148"/>
        <v>0</v>
      </c>
      <c r="P1273" s="1070">
        <f t="shared" si="153"/>
        <v>0</v>
      </c>
      <c r="Q1273" s="1071">
        <f t="shared" si="152"/>
        <v>0</v>
      </c>
    </row>
    <row r="1274" spans="1:17" x14ac:dyDescent="0.2">
      <c r="A1274" s="30"/>
      <c r="B1274" s="162"/>
      <c r="C1274" s="259"/>
      <c r="D1274" s="267"/>
      <c r="E1274" s="35"/>
      <c r="F1274" s="151"/>
      <c r="G1274" s="263">
        <f t="shared" si="151"/>
        <v>0</v>
      </c>
      <c r="H1274" s="65"/>
      <c r="I1274" s="275">
        <f t="shared" si="147"/>
        <v>0</v>
      </c>
      <c r="J1274" s="161"/>
      <c r="K1274" s="30"/>
      <c r="L1274" s="30"/>
      <c r="M1274" s="30"/>
      <c r="N1274" s="30"/>
      <c r="O1274" s="71">
        <f t="shared" si="148"/>
        <v>0</v>
      </c>
      <c r="P1274" s="1070">
        <f t="shared" si="153"/>
        <v>0</v>
      </c>
      <c r="Q1274" s="1071">
        <f t="shared" si="152"/>
        <v>0</v>
      </c>
    </row>
    <row r="1275" spans="1:17" x14ac:dyDescent="0.2">
      <c r="A1275" s="30"/>
      <c r="B1275" s="162"/>
      <c r="C1275" s="259"/>
      <c r="D1275" s="267"/>
      <c r="E1275" s="35"/>
      <c r="F1275" s="151"/>
      <c r="G1275" s="263">
        <f t="shared" si="151"/>
        <v>0</v>
      </c>
      <c r="H1275" s="65"/>
      <c r="I1275" s="275">
        <f t="shared" si="147"/>
        <v>0</v>
      </c>
      <c r="J1275" s="161"/>
      <c r="K1275" s="30"/>
      <c r="L1275" s="30"/>
      <c r="M1275" s="30"/>
      <c r="N1275" s="30"/>
      <c r="O1275" s="71">
        <f t="shared" si="148"/>
        <v>0</v>
      </c>
      <c r="P1275" s="1070">
        <f t="shared" si="153"/>
        <v>0</v>
      </c>
      <c r="Q1275" s="1071">
        <f t="shared" si="152"/>
        <v>0</v>
      </c>
    </row>
    <row r="1276" spans="1:17" x14ac:dyDescent="0.2">
      <c r="A1276" s="30"/>
      <c r="B1276" s="162"/>
      <c r="C1276" s="259"/>
      <c r="D1276" s="267"/>
      <c r="E1276" s="35"/>
      <c r="F1276" s="151"/>
      <c r="G1276" s="263">
        <f t="shared" si="151"/>
        <v>0</v>
      </c>
      <c r="H1276" s="65"/>
      <c r="I1276" s="275">
        <f t="shared" si="147"/>
        <v>0</v>
      </c>
      <c r="J1276" s="161"/>
      <c r="K1276" s="30"/>
      <c r="L1276" s="30"/>
      <c r="M1276" s="30"/>
      <c r="N1276" s="30"/>
      <c r="O1276" s="71">
        <f t="shared" si="148"/>
        <v>0</v>
      </c>
      <c r="P1276" s="1070">
        <f t="shared" si="153"/>
        <v>0</v>
      </c>
      <c r="Q1276" s="1071">
        <f t="shared" si="152"/>
        <v>0</v>
      </c>
    </row>
    <row r="1277" spans="1:17" ht="13.5" thickBot="1" x14ac:dyDescent="0.25">
      <c r="A1277" s="30"/>
      <c r="B1277" s="163"/>
      <c r="C1277" s="260"/>
      <c r="D1277" s="268"/>
      <c r="E1277" s="24"/>
      <c r="F1277" s="25"/>
      <c r="G1277" s="264">
        <f t="shared" si="151"/>
        <v>0</v>
      </c>
      <c r="H1277" s="272"/>
      <c r="I1277" s="276">
        <f t="shared" si="147"/>
        <v>0</v>
      </c>
      <c r="J1277" s="161"/>
      <c r="K1277" s="30"/>
      <c r="L1277" s="30"/>
      <c r="M1277" s="30"/>
      <c r="N1277" s="30"/>
      <c r="O1277" s="71">
        <f t="shared" si="148"/>
        <v>0</v>
      </c>
      <c r="P1277" s="1070">
        <f t="shared" si="153"/>
        <v>0</v>
      </c>
      <c r="Q1277" s="1071">
        <f t="shared" si="152"/>
        <v>0</v>
      </c>
    </row>
    <row r="1278" spans="1:17" ht="6.75" customHeight="1" thickBot="1" x14ac:dyDescent="0.25">
      <c r="A1278" s="30"/>
      <c r="B1278" s="155"/>
      <c r="C1278" s="155"/>
      <c r="D1278" s="155"/>
      <c r="E1278" s="155"/>
      <c r="F1278" s="155"/>
      <c r="G1278" s="155"/>
      <c r="H1278" s="155"/>
      <c r="I1278" s="155"/>
      <c r="J1278" s="155"/>
      <c r="K1278" s="30"/>
      <c r="L1278" s="30"/>
      <c r="M1278" s="30"/>
      <c r="N1278" s="30"/>
      <c r="O1278" s="812">
        <f>SUM(O1226:O1277)</f>
        <v>0</v>
      </c>
      <c r="P1278" s="1075">
        <f>SUM(P1226:P1277)</f>
        <v>0</v>
      </c>
      <c r="Q1278" s="813">
        <f>SUM(Q1226:Q1277)</f>
        <v>0</v>
      </c>
    </row>
    <row r="1279" spans="1:17" ht="50.1" customHeight="1" x14ac:dyDescent="0.2">
      <c r="A1279" s="30"/>
      <c r="B1279" s="155"/>
      <c r="C1279" s="155"/>
      <c r="D1279" s="155"/>
      <c r="E1279" s="155"/>
      <c r="F1279" s="155"/>
      <c r="G1279" s="155"/>
      <c r="H1279" s="155"/>
      <c r="I1279" s="155"/>
      <c r="J1279" s="155"/>
      <c r="K1279" s="30"/>
      <c r="L1279" s="30"/>
      <c r="M1279" s="30"/>
      <c r="N1279" s="30"/>
      <c r="O1279" s="30"/>
      <c r="P1279" s="30"/>
    </row>
    <row r="1280" spans="1:17" ht="18" x14ac:dyDescent="0.2">
      <c r="A1280" s="1224" t="str">
        <f>UPPER("Patching Summary Table")</f>
        <v>PATCHING SUMMARY TABLE</v>
      </c>
      <c r="B1280" s="1224"/>
      <c r="C1280" s="1224"/>
      <c r="D1280" s="1224"/>
      <c r="E1280" s="1224"/>
      <c r="F1280" s="1224"/>
      <c r="G1280" s="1224"/>
      <c r="H1280" s="1224"/>
      <c r="I1280" s="1224"/>
      <c r="J1280" s="1224"/>
      <c r="K1280" s="30"/>
      <c r="L1280" s="30"/>
      <c r="M1280" s="30"/>
      <c r="N1280" s="30"/>
      <c r="O1280" s="30"/>
      <c r="P1280" s="30"/>
    </row>
    <row r="1281" spans="1:17" ht="8.25" customHeight="1" thickBot="1" x14ac:dyDescent="0.25">
      <c r="A1281" s="30"/>
      <c r="B1281" s="31"/>
      <c r="C1281" s="31"/>
      <c r="D1281" s="31"/>
      <c r="E1281" s="31"/>
      <c r="F1281" s="31"/>
      <c r="G1281" s="31"/>
      <c r="H1281" s="31"/>
      <c r="I1281" s="31"/>
      <c r="J1281" s="31"/>
      <c r="K1281" s="30"/>
      <c r="L1281" s="30"/>
      <c r="M1281" s="30"/>
      <c r="N1281" s="30"/>
      <c r="O1281" s="30"/>
      <c r="P1281" s="30"/>
    </row>
    <row r="1282" spans="1:17" x14ac:dyDescent="0.2">
      <c r="A1282" s="30"/>
      <c r="B1282" s="1310" t="s">
        <v>2</v>
      </c>
      <c r="C1282" s="1319" t="s">
        <v>3</v>
      </c>
      <c r="D1282" s="1310" t="s">
        <v>39</v>
      </c>
      <c r="E1282" s="1308" t="s">
        <v>4</v>
      </c>
      <c r="F1282" s="1223" t="s">
        <v>535</v>
      </c>
      <c r="G1282" s="261" t="s">
        <v>129</v>
      </c>
      <c r="H1282" s="269" t="s">
        <v>102</v>
      </c>
      <c r="I1282" s="152" t="s">
        <v>209</v>
      </c>
      <c r="J1282" s="31"/>
      <c r="K1282" s="30"/>
      <c r="L1282" s="30"/>
      <c r="M1282" s="30"/>
      <c r="N1282" s="30"/>
      <c r="O1282" s="1159" t="s">
        <v>537</v>
      </c>
      <c r="P1282" s="1305"/>
      <c r="Q1282" s="1306"/>
    </row>
    <row r="1283" spans="1:17" ht="13.5" thickBot="1" x14ac:dyDescent="0.25">
      <c r="A1283" s="30"/>
      <c r="B1283" s="1285"/>
      <c r="C1283" s="1320"/>
      <c r="D1283" s="1285"/>
      <c r="E1283" s="1227"/>
      <c r="F1283" s="1242"/>
      <c r="G1283" s="262" t="s">
        <v>100</v>
      </c>
      <c r="H1283" s="270" t="s">
        <v>100</v>
      </c>
      <c r="I1283" s="273" t="s">
        <v>210</v>
      </c>
      <c r="J1283" s="31"/>
      <c r="K1283" s="30"/>
      <c r="L1283" s="30"/>
      <c r="M1283" s="30"/>
      <c r="N1283" s="30"/>
      <c r="O1283" s="41" t="str">
        <f>$Q$41</f>
        <v>Partial</v>
      </c>
      <c r="P1283" s="42" t="str">
        <f>$Q$42</f>
        <v>Full ( HMA)</v>
      </c>
      <c r="Q1283" s="43" t="str">
        <f>$Q$43</f>
        <v>Full (Composite)</v>
      </c>
    </row>
    <row r="1284" spans="1:17" x14ac:dyDescent="0.2">
      <c r="A1284" s="30"/>
      <c r="B1284" s="159"/>
      <c r="C1284" s="258"/>
      <c r="D1284" s="265"/>
      <c r="E1284" s="160"/>
      <c r="F1284" s="266"/>
      <c r="G1284" s="263">
        <f>ABS(C1284-B1284)</f>
        <v>0</v>
      </c>
      <c r="H1284" s="271"/>
      <c r="I1284" s="274">
        <f t="shared" ref="I1284:I1335" si="154">ROUNDUP((G1284*H1284)/9,0)</f>
        <v>0</v>
      </c>
      <c r="J1284" s="161"/>
      <c r="K1284" s="30"/>
      <c r="L1284" s="30"/>
      <c r="M1284" s="30"/>
      <c r="N1284" s="30"/>
      <c r="O1284" s="54">
        <f t="shared" ref="O1284:O1335" si="155">IF($F1284=$Q$41,$I1284,0)</f>
        <v>0</v>
      </c>
      <c r="P1284" s="1069">
        <f t="shared" ref="P1284:P1316" si="156">IF($F1284=$Q$42,$I1284,0)</f>
        <v>0</v>
      </c>
      <c r="Q1284" s="811">
        <f t="shared" ref="Q1284:Q1315" si="157">IF($F1284=$Q$43,$I1284,0)</f>
        <v>0</v>
      </c>
    </row>
    <row r="1285" spans="1:17" x14ac:dyDescent="0.2">
      <c r="A1285" s="30"/>
      <c r="B1285" s="162"/>
      <c r="C1285" s="259"/>
      <c r="D1285" s="267"/>
      <c r="E1285" s="35"/>
      <c r="F1285" s="151"/>
      <c r="G1285" s="263">
        <f t="shared" ref="G1285:G1335" si="158">ABS(C1285-B1285)</f>
        <v>0</v>
      </c>
      <c r="H1285" s="65"/>
      <c r="I1285" s="275">
        <f t="shared" si="154"/>
        <v>0</v>
      </c>
      <c r="J1285" s="161"/>
      <c r="K1285" s="30"/>
      <c r="L1285" s="30"/>
      <c r="M1285" s="30"/>
      <c r="N1285" s="30"/>
      <c r="O1285" s="71">
        <f t="shared" si="155"/>
        <v>0</v>
      </c>
      <c r="P1285" s="1070">
        <f t="shared" si="156"/>
        <v>0</v>
      </c>
      <c r="Q1285" s="1071">
        <f t="shared" si="157"/>
        <v>0</v>
      </c>
    </row>
    <row r="1286" spans="1:17" x14ac:dyDescent="0.2">
      <c r="A1286" s="30"/>
      <c r="B1286" s="162"/>
      <c r="C1286" s="259"/>
      <c r="D1286" s="267"/>
      <c r="E1286" s="35"/>
      <c r="F1286" s="151"/>
      <c r="G1286" s="263">
        <f t="shared" si="158"/>
        <v>0</v>
      </c>
      <c r="H1286" s="65"/>
      <c r="I1286" s="275">
        <f t="shared" si="154"/>
        <v>0</v>
      </c>
      <c r="J1286" s="161"/>
      <c r="K1286" s="30"/>
      <c r="L1286" s="30"/>
      <c r="M1286" s="30"/>
      <c r="N1286" s="30"/>
      <c r="O1286" s="71">
        <f t="shared" si="155"/>
        <v>0</v>
      </c>
      <c r="P1286" s="1070">
        <f t="shared" si="156"/>
        <v>0</v>
      </c>
      <c r="Q1286" s="1071">
        <f t="shared" si="157"/>
        <v>0</v>
      </c>
    </row>
    <row r="1287" spans="1:17" x14ac:dyDescent="0.2">
      <c r="A1287" s="30"/>
      <c r="B1287" s="162"/>
      <c r="C1287" s="259"/>
      <c r="D1287" s="267"/>
      <c r="E1287" s="35"/>
      <c r="F1287" s="151"/>
      <c r="G1287" s="263">
        <f t="shared" si="158"/>
        <v>0</v>
      </c>
      <c r="H1287" s="65"/>
      <c r="I1287" s="275">
        <f t="shared" si="154"/>
        <v>0</v>
      </c>
      <c r="J1287" s="161"/>
      <c r="K1287" s="30"/>
      <c r="L1287" s="30"/>
      <c r="M1287" s="30"/>
      <c r="N1287" s="30"/>
      <c r="O1287" s="71">
        <f t="shared" si="155"/>
        <v>0</v>
      </c>
      <c r="P1287" s="1070">
        <f t="shared" si="156"/>
        <v>0</v>
      </c>
      <c r="Q1287" s="1071">
        <f t="shared" si="157"/>
        <v>0</v>
      </c>
    </row>
    <row r="1288" spans="1:17" x14ac:dyDescent="0.2">
      <c r="A1288" s="30"/>
      <c r="B1288" s="162"/>
      <c r="C1288" s="259"/>
      <c r="D1288" s="267"/>
      <c r="E1288" s="35"/>
      <c r="F1288" s="151"/>
      <c r="G1288" s="263">
        <f t="shared" si="158"/>
        <v>0</v>
      </c>
      <c r="H1288" s="65"/>
      <c r="I1288" s="275">
        <f t="shared" si="154"/>
        <v>0</v>
      </c>
      <c r="J1288" s="161"/>
      <c r="K1288" s="30"/>
      <c r="L1288" s="30"/>
      <c r="M1288" s="30"/>
      <c r="N1288" s="30"/>
      <c r="O1288" s="71">
        <f t="shared" si="155"/>
        <v>0</v>
      </c>
      <c r="P1288" s="1070">
        <f t="shared" si="156"/>
        <v>0</v>
      </c>
      <c r="Q1288" s="1071">
        <f t="shared" si="157"/>
        <v>0</v>
      </c>
    </row>
    <row r="1289" spans="1:17" x14ac:dyDescent="0.2">
      <c r="A1289" s="30"/>
      <c r="B1289" s="162"/>
      <c r="C1289" s="259"/>
      <c r="D1289" s="267"/>
      <c r="E1289" s="35"/>
      <c r="F1289" s="151"/>
      <c r="G1289" s="263">
        <f t="shared" si="158"/>
        <v>0</v>
      </c>
      <c r="H1289" s="65"/>
      <c r="I1289" s="275">
        <f t="shared" si="154"/>
        <v>0</v>
      </c>
      <c r="J1289" s="161"/>
      <c r="K1289" s="30"/>
      <c r="L1289" s="30"/>
      <c r="M1289" s="30"/>
      <c r="N1289" s="30"/>
      <c r="O1289" s="71">
        <f t="shared" si="155"/>
        <v>0</v>
      </c>
      <c r="P1289" s="1070">
        <f t="shared" si="156"/>
        <v>0</v>
      </c>
      <c r="Q1289" s="1071">
        <f t="shared" si="157"/>
        <v>0</v>
      </c>
    </row>
    <row r="1290" spans="1:17" x14ac:dyDescent="0.2">
      <c r="A1290" s="30"/>
      <c r="B1290" s="162"/>
      <c r="C1290" s="259"/>
      <c r="D1290" s="267"/>
      <c r="E1290" s="35"/>
      <c r="F1290" s="151"/>
      <c r="G1290" s="263">
        <f t="shared" si="158"/>
        <v>0</v>
      </c>
      <c r="H1290" s="65"/>
      <c r="I1290" s="275">
        <f t="shared" si="154"/>
        <v>0</v>
      </c>
      <c r="J1290" s="161"/>
      <c r="K1290" s="30"/>
      <c r="L1290" s="30"/>
      <c r="M1290" s="30"/>
      <c r="N1290" s="30"/>
      <c r="O1290" s="71">
        <f t="shared" si="155"/>
        <v>0</v>
      </c>
      <c r="P1290" s="1070">
        <f t="shared" si="156"/>
        <v>0</v>
      </c>
      <c r="Q1290" s="1071">
        <f t="shared" si="157"/>
        <v>0</v>
      </c>
    </row>
    <row r="1291" spans="1:17" x14ac:dyDescent="0.2">
      <c r="A1291" s="30"/>
      <c r="B1291" s="162"/>
      <c r="C1291" s="259"/>
      <c r="D1291" s="267"/>
      <c r="E1291" s="35"/>
      <c r="F1291" s="151"/>
      <c r="G1291" s="263">
        <f t="shared" si="158"/>
        <v>0</v>
      </c>
      <c r="H1291" s="65"/>
      <c r="I1291" s="275">
        <f t="shared" si="154"/>
        <v>0</v>
      </c>
      <c r="J1291" s="161"/>
      <c r="K1291" s="30"/>
      <c r="L1291" s="30"/>
      <c r="M1291" s="30"/>
      <c r="N1291" s="30"/>
      <c r="O1291" s="71">
        <f t="shared" si="155"/>
        <v>0</v>
      </c>
      <c r="P1291" s="1070">
        <f t="shared" si="156"/>
        <v>0</v>
      </c>
      <c r="Q1291" s="1071">
        <f t="shared" si="157"/>
        <v>0</v>
      </c>
    </row>
    <row r="1292" spans="1:17" x14ac:dyDescent="0.2">
      <c r="A1292" s="30"/>
      <c r="B1292" s="162"/>
      <c r="C1292" s="259"/>
      <c r="D1292" s="267"/>
      <c r="E1292" s="35"/>
      <c r="F1292" s="151"/>
      <c r="G1292" s="263">
        <f t="shared" si="158"/>
        <v>0</v>
      </c>
      <c r="H1292" s="65"/>
      <c r="I1292" s="275">
        <f t="shared" si="154"/>
        <v>0</v>
      </c>
      <c r="J1292" s="161"/>
      <c r="K1292" s="30"/>
      <c r="L1292" s="30"/>
      <c r="M1292" s="30"/>
      <c r="N1292" s="30"/>
      <c r="O1292" s="71">
        <f t="shared" si="155"/>
        <v>0</v>
      </c>
      <c r="P1292" s="1070">
        <f t="shared" si="156"/>
        <v>0</v>
      </c>
      <c r="Q1292" s="1071">
        <f t="shared" si="157"/>
        <v>0</v>
      </c>
    </row>
    <row r="1293" spans="1:17" x14ac:dyDescent="0.2">
      <c r="A1293" s="30"/>
      <c r="B1293" s="162"/>
      <c r="C1293" s="259"/>
      <c r="D1293" s="267"/>
      <c r="E1293" s="35"/>
      <c r="F1293" s="151"/>
      <c r="G1293" s="263">
        <f t="shared" si="158"/>
        <v>0</v>
      </c>
      <c r="H1293" s="65"/>
      <c r="I1293" s="275">
        <f t="shared" si="154"/>
        <v>0</v>
      </c>
      <c r="J1293" s="161"/>
      <c r="K1293" s="30"/>
      <c r="L1293" s="30"/>
      <c r="M1293" s="30"/>
      <c r="N1293" s="30"/>
      <c r="O1293" s="71">
        <f t="shared" si="155"/>
        <v>0</v>
      </c>
      <c r="P1293" s="1070">
        <f t="shared" si="156"/>
        <v>0</v>
      </c>
      <c r="Q1293" s="1071">
        <f t="shared" si="157"/>
        <v>0</v>
      </c>
    </row>
    <row r="1294" spans="1:17" x14ac:dyDescent="0.2">
      <c r="A1294" s="30"/>
      <c r="B1294" s="162"/>
      <c r="C1294" s="259"/>
      <c r="D1294" s="267"/>
      <c r="E1294" s="35"/>
      <c r="F1294" s="151"/>
      <c r="G1294" s="263">
        <f t="shared" si="158"/>
        <v>0</v>
      </c>
      <c r="H1294" s="65"/>
      <c r="I1294" s="275">
        <f t="shared" si="154"/>
        <v>0</v>
      </c>
      <c r="J1294" s="161"/>
      <c r="K1294" s="30"/>
      <c r="L1294" s="30"/>
      <c r="M1294" s="30"/>
      <c r="N1294" s="30"/>
      <c r="O1294" s="71">
        <f t="shared" si="155"/>
        <v>0</v>
      </c>
      <c r="P1294" s="1070">
        <f t="shared" si="156"/>
        <v>0</v>
      </c>
      <c r="Q1294" s="1071">
        <f t="shared" si="157"/>
        <v>0</v>
      </c>
    </row>
    <row r="1295" spans="1:17" x14ac:dyDescent="0.2">
      <c r="A1295" s="30"/>
      <c r="B1295" s="162"/>
      <c r="C1295" s="259"/>
      <c r="D1295" s="267"/>
      <c r="E1295" s="35"/>
      <c r="F1295" s="151"/>
      <c r="G1295" s="263">
        <f t="shared" si="158"/>
        <v>0</v>
      </c>
      <c r="H1295" s="65"/>
      <c r="I1295" s="275">
        <f t="shared" si="154"/>
        <v>0</v>
      </c>
      <c r="J1295" s="161"/>
      <c r="K1295" s="30"/>
      <c r="L1295" s="30"/>
      <c r="M1295" s="30"/>
      <c r="N1295" s="30"/>
      <c r="O1295" s="71">
        <f t="shared" si="155"/>
        <v>0</v>
      </c>
      <c r="P1295" s="1070">
        <f t="shared" si="156"/>
        <v>0</v>
      </c>
      <c r="Q1295" s="1071">
        <f t="shared" si="157"/>
        <v>0</v>
      </c>
    </row>
    <row r="1296" spans="1:17" x14ac:dyDescent="0.2">
      <c r="A1296" s="30"/>
      <c r="B1296" s="162"/>
      <c r="C1296" s="259"/>
      <c r="D1296" s="267"/>
      <c r="E1296" s="35"/>
      <c r="F1296" s="151"/>
      <c r="G1296" s="263">
        <f t="shared" si="158"/>
        <v>0</v>
      </c>
      <c r="H1296" s="65"/>
      <c r="I1296" s="275">
        <f t="shared" si="154"/>
        <v>0</v>
      </c>
      <c r="J1296" s="161"/>
      <c r="K1296" s="30"/>
      <c r="L1296" s="30"/>
      <c r="M1296" s="30"/>
      <c r="N1296" s="30"/>
      <c r="O1296" s="71">
        <f t="shared" si="155"/>
        <v>0</v>
      </c>
      <c r="P1296" s="1070">
        <f t="shared" si="156"/>
        <v>0</v>
      </c>
      <c r="Q1296" s="1071">
        <f t="shared" si="157"/>
        <v>0</v>
      </c>
    </row>
    <row r="1297" spans="1:17" x14ac:dyDescent="0.2">
      <c r="A1297" s="30"/>
      <c r="B1297" s="162"/>
      <c r="C1297" s="259"/>
      <c r="D1297" s="267"/>
      <c r="E1297" s="35"/>
      <c r="F1297" s="151"/>
      <c r="G1297" s="263">
        <f t="shared" si="158"/>
        <v>0</v>
      </c>
      <c r="H1297" s="65"/>
      <c r="I1297" s="275">
        <f t="shared" si="154"/>
        <v>0</v>
      </c>
      <c r="J1297" s="161"/>
      <c r="K1297" s="30"/>
      <c r="L1297" s="30"/>
      <c r="M1297" s="30"/>
      <c r="N1297" s="30"/>
      <c r="O1297" s="71">
        <f t="shared" si="155"/>
        <v>0</v>
      </c>
      <c r="P1297" s="1070">
        <f t="shared" si="156"/>
        <v>0</v>
      </c>
      <c r="Q1297" s="1071">
        <f t="shared" si="157"/>
        <v>0</v>
      </c>
    </row>
    <row r="1298" spans="1:17" x14ac:dyDescent="0.2">
      <c r="A1298" s="30"/>
      <c r="B1298" s="162"/>
      <c r="C1298" s="259"/>
      <c r="D1298" s="267"/>
      <c r="E1298" s="35"/>
      <c r="F1298" s="151"/>
      <c r="G1298" s="263">
        <f t="shared" si="158"/>
        <v>0</v>
      </c>
      <c r="H1298" s="65"/>
      <c r="I1298" s="275">
        <f t="shared" si="154"/>
        <v>0</v>
      </c>
      <c r="J1298" s="161"/>
      <c r="K1298" s="30"/>
      <c r="L1298" s="30"/>
      <c r="M1298" s="30"/>
      <c r="N1298" s="30"/>
      <c r="O1298" s="71">
        <f t="shared" si="155"/>
        <v>0</v>
      </c>
      <c r="P1298" s="1070">
        <f t="shared" si="156"/>
        <v>0</v>
      </c>
      <c r="Q1298" s="1071">
        <f t="shared" si="157"/>
        <v>0</v>
      </c>
    </row>
    <row r="1299" spans="1:17" x14ac:dyDescent="0.2">
      <c r="A1299" s="30"/>
      <c r="B1299" s="162"/>
      <c r="C1299" s="259"/>
      <c r="D1299" s="267"/>
      <c r="E1299" s="35"/>
      <c r="F1299" s="151"/>
      <c r="G1299" s="263">
        <f t="shared" si="158"/>
        <v>0</v>
      </c>
      <c r="H1299" s="65"/>
      <c r="I1299" s="275">
        <f t="shared" si="154"/>
        <v>0</v>
      </c>
      <c r="J1299" s="161"/>
      <c r="K1299" s="30"/>
      <c r="L1299" s="30"/>
      <c r="M1299" s="30"/>
      <c r="N1299" s="30"/>
      <c r="O1299" s="71">
        <f t="shared" si="155"/>
        <v>0</v>
      </c>
      <c r="P1299" s="1070">
        <f t="shared" si="156"/>
        <v>0</v>
      </c>
      <c r="Q1299" s="1071">
        <f t="shared" si="157"/>
        <v>0</v>
      </c>
    </row>
    <row r="1300" spans="1:17" x14ac:dyDescent="0.2">
      <c r="A1300" s="30"/>
      <c r="B1300" s="162"/>
      <c r="C1300" s="259"/>
      <c r="D1300" s="267"/>
      <c r="E1300" s="35"/>
      <c r="F1300" s="151"/>
      <c r="G1300" s="263">
        <f t="shared" si="158"/>
        <v>0</v>
      </c>
      <c r="H1300" s="65"/>
      <c r="I1300" s="275">
        <f t="shared" si="154"/>
        <v>0</v>
      </c>
      <c r="J1300" s="161"/>
      <c r="K1300" s="30"/>
      <c r="L1300" s="30"/>
      <c r="M1300" s="30"/>
      <c r="N1300" s="30"/>
      <c r="O1300" s="71">
        <f t="shared" si="155"/>
        <v>0</v>
      </c>
      <c r="P1300" s="1070">
        <f t="shared" si="156"/>
        <v>0</v>
      </c>
      <c r="Q1300" s="1071">
        <f t="shared" si="157"/>
        <v>0</v>
      </c>
    </row>
    <row r="1301" spans="1:17" x14ac:dyDescent="0.2">
      <c r="A1301" s="30"/>
      <c r="B1301" s="162"/>
      <c r="C1301" s="259"/>
      <c r="D1301" s="267"/>
      <c r="E1301" s="35"/>
      <c r="F1301" s="151"/>
      <c r="G1301" s="263">
        <f t="shared" si="158"/>
        <v>0</v>
      </c>
      <c r="H1301" s="65"/>
      <c r="I1301" s="275">
        <f t="shared" si="154"/>
        <v>0</v>
      </c>
      <c r="J1301" s="161"/>
      <c r="K1301" s="30"/>
      <c r="L1301" s="30"/>
      <c r="M1301" s="30"/>
      <c r="N1301" s="30"/>
      <c r="O1301" s="71">
        <f t="shared" si="155"/>
        <v>0</v>
      </c>
      <c r="P1301" s="1070">
        <f t="shared" si="156"/>
        <v>0</v>
      </c>
      <c r="Q1301" s="1071">
        <f t="shared" si="157"/>
        <v>0</v>
      </c>
    </row>
    <row r="1302" spans="1:17" x14ac:dyDescent="0.2">
      <c r="A1302" s="30"/>
      <c r="B1302" s="162"/>
      <c r="C1302" s="259"/>
      <c r="D1302" s="267"/>
      <c r="E1302" s="35"/>
      <c r="F1302" s="151"/>
      <c r="G1302" s="263">
        <f t="shared" si="158"/>
        <v>0</v>
      </c>
      <c r="H1302" s="65"/>
      <c r="I1302" s="275">
        <f t="shared" si="154"/>
        <v>0</v>
      </c>
      <c r="J1302" s="161"/>
      <c r="K1302" s="30"/>
      <c r="L1302" s="30"/>
      <c r="M1302" s="30"/>
      <c r="N1302" s="30"/>
      <c r="O1302" s="71">
        <f t="shared" si="155"/>
        <v>0</v>
      </c>
      <c r="P1302" s="1070">
        <f t="shared" si="156"/>
        <v>0</v>
      </c>
      <c r="Q1302" s="1071">
        <f t="shared" si="157"/>
        <v>0</v>
      </c>
    </row>
    <row r="1303" spans="1:17" x14ac:dyDescent="0.2">
      <c r="A1303" s="30"/>
      <c r="B1303" s="162"/>
      <c r="C1303" s="259"/>
      <c r="D1303" s="267"/>
      <c r="E1303" s="35"/>
      <c r="F1303" s="151"/>
      <c r="G1303" s="263">
        <f t="shared" si="158"/>
        <v>0</v>
      </c>
      <c r="H1303" s="65"/>
      <c r="I1303" s="275">
        <f t="shared" si="154"/>
        <v>0</v>
      </c>
      <c r="J1303" s="161"/>
      <c r="K1303" s="30"/>
      <c r="L1303" s="30"/>
      <c r="M1303" s="30"/>
      <c r="N1303" s="30"/>
      <c r="O1303" s="71">
        <f t="shared" si="155"/>
        <v>0</v>
      </c>
      <c r="P1303" s="1070">
        <f t="shared" si="156"/>
        <v>0</v>
      </c>
      <c r="Q1303" s="1071">
        <f t="shared" si="157"/>
        <v>0</v>
      </c>
    </row>
    <row r="1304" spans="1:17" x14ac:dyDescent="0.2">
      <c r="A1304" s="30"/>
      <c r="B1304" s="162"/>
      <c r="C1304" s="259"/>
      <c r="D1304" s="267"/>
      <c r="E1304" s="35"/>
      <c r="F1304" s="151"/>
      <c r="G1304" s="263">
        <f t="shared" si="158"/>
        <v>0</v>
      </c>
      <c r="H1304" s="65"/>
      <c r="I1304" s="275">
        <f t="shared" si="154"/>
        <v>0</v>
      </c>
      <c r="J1304" s="161"/>
      <c r="K1304" s="30"/>
      <c r="L1304" s="30"/>
      <c r="M1304" s="30"/>
      <c r="N1304" s="30"/>
      <c r="O1304" s="71">
        <f t="shared" si="155"/>
        <v>0</v>
      </c>
      <c r="P1304" s="1070">
        <f t="shared" si="156"/>
        <v>0</v>
      </c>
      <c r="Q1304" s="1071">
        <f t="shared" si="157"/>
        <v>0</v>
      </c>
    </row>
    <row r="1305" spans="1:17" x14ac:dyDescent="0.2">
      <c r="A1305" s="30"/>
      <c r="B1305" s="162"/>
      <c r="C1305" s="259"/>
      <c r="D1305" s="267"/>
      <c r="E1305" s="35"/>
      <c r="F1305" s="151"/>
      <c r="G1305" s="263">
        <f t="shared" si="158"/>
        <v>0</v>
      </c>
      <c r="H1305" s="65"/>
      <c r="I1305" s="275">
        <f t="shared" si="154"/>
        <v>0</v>
      </c>
      <c r="J1305" s="161"/>
      <c r="K1305" s="30"/>
      <c r="L1305" s="30"/>
      <c r="M1305" s="30"/>
      <c r="N1305" s="30"/>
      <c r="O1305" s="71">
        <f t="shared" si="155"/>
        <v>0</v>
      </c>
      <c r="P1305" s="1070">
        <f t="shared" si="156"/>
        <v>0</v>
      </c>
      <c r="Q1305" s="1071">
        <f t="shared" si="157"/>
        <v>0</v>
      </c>
    </row>
    <row r="1306" spans="1:17" x14ac:dyDescent="0.2">
      <c r="A1306" s="30"/>
      <c r="B1306" s="162"/>
      <c r="C1306" s="259"/>
      <c r="D1306" s="267"/>
      <c r="E1306" s="35"/>
      <c r="F1306" s="151"/>
      <c r="G1306" s="263">
        <f t="shared" si="158"/>
        <v>0</v>
      </c>
      <c r="H1306" s="65"/>
      <c r="I1306" s="275">
        <f t="shared" si="154"/>
        <v>0</v>
      </c>
      <c r="J1306" s="161"/>
      <c r="K1306" s="30"/>
      <c r="L1306" s="30"/>
      <c r="M1306" s="30"/>
      <c r="N1306" s="30"/>
      <c r="O1306" s="71">
        <f t="shared" si="155"/>
        <v>0</v>
      </c>
      <c r="P1306" s="1070">
        <f t="shared" si="156"/>
        <v>0</v>
      </c>
      <c r="Q1306" s="1071">
        <f t="shared" si="157"/>
        <v>0</v>
      </c>
    </row>
    <row r="1307" spans="1:17" x14ac:dyDescent="0.2">
      <c r="A1307" s="30"/>
      <c r="B1307" s="162"/>
      <c r="C1307" s="259"/>
      <c r="D1307" s="267"/>
      <c r="E1307" s="35"/>
      <c r="F1307" s="151"/>
      <c r="G1307" s="263">
        <f t="shared" si="158"/>
        <v>0</v>
      </c>
      <c r="H1307" s="65"/>
      <c r="I1307" s="275">
        <f t="shared" si="154"/>
        <v>0</v>
      </c>
      <c r="J1307" s="161"/>
      <c r="K1307" s="30"/>
      <c r="L1307" s="30"/>
      <c r="M1307" s="30"/>
      <c r="N1307" s="30"/>
      <c r="O1307" s="71">
        <f t="shared" si="155"/>
        <v>0</v>
      </c>
      <c r="P1307" s="1070">
        <f t="shared" si="156"/>
        <v>0</v>
      </c>
      <c r="Q1307" s="1071">
        <f t="shared" si="157"/>
        <v>0</v>
      </c>
    </row>
    <row r="1308" spans="1:17" x14ac:dyDescent="0.2">
      <c r="A1308" s="30"/>
      <c r="B1308" s="162"/>
      <c r="C1308" s="259"/>
      <c r="D1308" s="267"/>
      <c r="E1308" s="35"/>
      <c r="F1308" s="151"/>
      <c r="G1308" s="263">
        <f t="shared" si="158"/>
        <v>0</v>
      </c>
      <c r="H1308" s="65"/>
      <c r="I1308" s="275">
        <f t="shared" si="154"/>
        <v>0</v>
      </c>
      <c r="J1308" s="161"/>
      <c r="K1308" s="30"/>
      <c r="L1308" s="30"/>
      <c r="M1308" s="30"/>
      <c r="N1308" s="30"/>
      <c r="O1308" s="71">
        <f t="shared" si="155"/>
        <v>0</v>
      </c>
      <c r="P1308" s="1070">
        <f t="shared" si="156"/>
        <v>0</v>
      </c>
      <c r="Q1308" s="1071">
        <f t="shared" si="157"/>
        <v>0</v>
      </c>
    </row>
    <row r="1309" spans="1:17" x14ac:dyDescent="0.2">
      <c r="A1309" s="30"/>
      <c r="B1309" s="162"/>
      <c r="C1309" s="259"/>
      <c r="D1309" s="267"/>
      <c r="E1309" s="35"/>
      <c r="F1309" s="151"/>
      <c r="G1309" s="263">
        <f t="shared" si="158"/>
        <v>0</v>
      </c>
      <c r="H1309" s="65"/>
      <c r="I1309" s="275">
        <f t="shared" si="154"/>
        <v>0</v>
      </c>
      <c r="J1309" s="161"/>
      <c r="K1309" s="30"/>
      <c r="L1309" s="30"/>
      <c r="M1309" s="30"/>
      <c r="N1309" s="30"/>
      <c r="O1309" s="71">
        <f t="shared" si="155"/>
        <v>0</v>
      </c>
      <c r="P1309" s="1070">
        <f t="shared" si="156"/>
        <v>0</v>
      </c>
      <c r="Q1309" s="1071">
        <f t="shared" si="157"/>
        <v>0</v>
      </c>
    </row>
    <row r="1310" spans="1:17" x14ac:dyDescent="0.2">
      <c r="A1310" s="30"/>
      <c r="B1310" s="162"/>
      <c r="C1310" s="259"/>
      <c r="D1310" s="267"/>
      <c r="E1310" s="35"/>
      <c r="F1310" s="151"/>
      <c r="G1310" s="263">
        <f t="shared" si="158"/>
        <v>0</v>
      </c>
      <c r="H1310" s="65"/>
      <c r="I1310" s="275">
        <f t="shared" si="154"/>
        <v>0</v>
      </c>
      <c r="J1310" s="161"/>
      <c r="K1310" s="30"/>
      <c r="L1310" s="30"/>
      <c r="M1310" s="30"/>
      <c r="N1310" s="30"/>
      <c r="O1310" s="71">
        <f t="shared" si="155"/>
        <v>0</v>
      </c>
      <c r="P1310" s="1070">
        <f t="shared" si="156"/>
        <v>0</v>
      </c>
      <c r="Q1310" s="1071">
        <f t="shared" si="157"/>
        <v>0</v>
      </c>
    </row>
    <row r="1311" spans="1:17" x14ac:dyDescent="0.2">
      <c r="A1311" s="30"/>
      <c r="B1311" s="162"/>
      <c r="C1311" s="259"/>
      <c r="D1311" s="267"/>
      <c r="E1311" s="35"/>
      <c r="F1311" s="151"/>
      <c r="G1311" s="263">
        <f t="shared" si="158"/>
        <v>0</v>
      </c>
      <c r="H1311" s="65"/>
      <c r="I1311" s="275">
        <f t="shared" si="154"/>
        <v>0</v>
      </c>
      <c r="J1311" s="161"/>
      <c r="K1311" s="30"/>
      <c r="L1311" s="30"/>
      <c r="M1311" s="30"/>
      <c r="N1311" s="30"/>
      <c r="O1311" s="71">
        <f t="shared" si="155"/>
        <v>0</v>
      </c>
      <c r="P1311" s="1070">
        <f t="shared" si="156"/>
        <v>0</v>
      </c>
      <c r="Q1311" s="1071">
        <f t="shared" si="157"/>
        <v>0</v>
      </c>
    </row>
    <row r="1312" spans="1:17" x14ac:dyDescent="0.2">
      <c r="A1312" s="30"/>
      <c r="B1312" s="162"/>
      <c r="C1312" s="259"/>
      <c r="D1312" s="267"/>
      <c r="E1312" s="35"/>
      <c r="F1312" s="151"/>
      <c r="G1312" s="263">
        <f t="shared" si="158"/>
        <v>0</v>
      </c>
      <c r="H1312" s="65"/>
      <c r="I1312" s="275">
        <f t="shared" si="154"/>
        <v>0</v>
      </c>
      <c r="J1312" s="161"/>
      <c r="K1312" s="30"/>
      <c r="L1312" s="30"/>
      <c r="M1312" s="30"/>
      <c r="N1312" s="30"/>
      <c r="O1312" s="71">
        <f t="shared" si="155"/>
        <v>0</v>
      </c>
      <c r="P1312" s="1070">
        <f t="shared" si="156"/>
        <v>0</v>
      </c>
      <c r="Q1312" s="1071">
        <f t="shared" si="157"/>
        <v>0</v>
      </c>
    </row>
    <row r="1313" spans="1:17" x14ac:dyDescent="0.2">
      <c r="A1313" s="30"/>
      <c r="B1313" s="162"/>
      <c r="C1313" s="259"/>
      <c r="D1313" s="267"/>
      <c r="E1313" s="35"/>
      <c r="F1313" s="151"/>
      <c r="G1313" s="263">
        <f t="shared" si="158"/>
        <v>0</v>
      </c>
      <c r="H1313" s="65"/>
      <c r="I1313" s="275">
        <f t="shared" si="154"/>
        <v>0</v>
      </c>
      <c r="J1313" s="161"/>
      <c r="K1313" s="30"/>
      <c r="L1313" s="30"/>
      <c r="M1313" s="30"/>
      <c r="N1313" s="30"/>
      <c r="O1313" s="71">
        <f t="shared" si="155"/>
        <v>0</v>
      </c>
      <c r="P1313" s="1070">
        <f t="shared" si="156"/>
        <v>0</v>
      </c>
      <c r="Q1313" s="1071">
        <f t="shared" si="157"/>
        <v>0</v>
      </c>
    </row>
    <row r="1314" spans="1:17" x14ac:dyDescent="0.2">
      <c r="A1314" s="30"/>
      <c r="B1314" s="162"/>
      <c r="C1314" s="259"/>
      <c r="D1314" s="267"/>
      <c r="E1314" s="35"/>
      <c r="F1314" s="151"/>
      <c r="G1314" s="263">
        <f t="shared" si="158"/>
        <v>0</v>
      </c>
      <c r="H1314" s="65"/>
      <c r="I1314" s="275">
        <f t="shared" si="154"/>
        <v>0</v>
      </c>
      <c r="J1314" s="161"/>
      <c r="K1314" s="30"/>
      <c r="L1314" s="30"/>
      <c r="M1314" s="30"/>
      <c r="N1314" s="30"/>
      <c r="O1314" s="71">
        <f t="shared" si="155"/>
        <v>0</v>
      </c>
      <c r="P1314" s="1070">
        <f t="shared" si="156"/>
        <v>0</v>
      </c>
      <c r="Q1314" s="1071">
        <f t="shared" si="157"/>
        <v>0</v>
      </c>
    </row>
    <row r="1315" spans="1:17" x14ac:dyDescent="0.2">
      <c r="A1315" s="30"/>
      <c r="B1315" s="162"/>
      <c r="C1315" s="259"/>
      <c r="D1315" s="267"/>
      <c r="E1315" s="35"/>
      <c r="F1315" s="151"/>
      <c r="G1315" s="263">
        <f t="shared" si="158"/>
        <v>0</v>
      </c>
      <c r="H1315" s="65"/>
      <c r="I1315" s="275">
        <f t="shared" si="154"/>
        <v>0</v>
      </c>
      <c r="J1315" s="161"/>
      <c r="K1315" s="30"/>
      <c r="L1315" s="30"/>
      <c r="M1315" s="30"/>
      <c r="N1315" s="30"/>
      <c r="O1315" s="71">
        <f t="shared" si="155"/>
        <v>0</v>
      </c>
      <c r="P1315" s="1070">
        <f t="shared" si="156"/>
        <v>0</v>
      </c>
      <c r="Q1315" s="1071">
        <f t="shared" si="157"/>
        <v>0</v>
      </c>
    </row>
    <row r="1316" spans="1:17" x14ac:dyDescent="0.2">
      <c r="A1316" s="30"/>
      <c r="B1316" s="162"/>
      <c r="C1316" s="259"/>
      <c r="D1316" s="267"/>
      <c r="E1316" s="35"/>
      <c r="F1316" s="151"/>
      <c r="G1316" s="263">
        <f t="shared" si="158"/>
        <v>0</v>
      </c>
      <c r="H1316" s="65"/>
      <c r="I1316" s="275">
        <f t="shared" si="154"/>
        <v>0</v>
      </c>
      <c r="J1316" s="161"/>
      <c r="K1316" s="30"/>
      <c r="L1316" s="30"/>
      <c r="M1316" s="30"/>
      <c r="N1316" s="30"/>
      <c r="O1316" s="71">
        <f t="shared" si="155"/>
        <v>0</v>
      </c>
      <c r="P1316" s="1070">
        <f t="shared" si="156"/>
        <v>0</v>
      </c>
      <c r="Q1316" s="1071">
        <f t="shared" ref="Q1316:Q1335" si="159">IF($F1316=$Q$43,$I1316,0)</f>
        <v>0</v>
      </c>
    </row>
    <row r="1317" spans="1:17" x14ac:dyDescent="0.2">
      <c r="A1317" s="30"/>
      <c r="B1317" s="162"/>
      <c r="C1317" s="259"/>
      <c r="D1317" s="267"/>
      <c r="E1317" s="35"/>
      <c r="F1317" s="151"/>
      <c r="G1317" s="263">
        <f t="shared" si="158"/>
        <v>0</v>
      </c>
      <c r="H1317" s="65"/>
      <c r="I1317" s="275">
        <f t="shared" si="154"/>
        <v>0</v>
      </c>
      <c r="J1317" s="161"/>
      <c r="K1317" s="30"/>
      <c r="L1317" s="30"/>
      <c r="M1317" s="30"/>
      <c r="N1317" s="30"/>
      <c r="O1317" s="71">
        <f t="shared" si="155"/>
        <v>0</v>
      </c>
      <c r="P1317" s="1070">
        <f t="shared" ref="P1317:P1335" si="160">IF($F1317=$Q$42,$I1317,0)</f>
        <v>0</v>
      </c>
      <c r="Q1317" s="1071">
        <f t="shared" si="159"/>
        <v>0</v>
      </c>
    </row>
    <row r="1318" spans="1:17" x14ac:dyDescent="0.2">
      <c r="A1318" s="30"/>
      <c r="B1318" s="162"/>
      <c r="C1318" s="259"/>
      <c r="D1318" s="267"/>
      <c r="E1318" s="35"/>
      <c r="F1318" s="151"/>
      <c r="G1318" s="263">
        <f t="shared" si="158"/>
        <v>0</v>
      </c>
      <c r="H1318" s="65"/>
      <c r="I1318" s="275">
        <f t="shared" si="154"/>
        <v>0</v>
      </c>
      <c r="J1318" s="161"/>
      <c r="K1318" s="30"/>
      <c r="L1318" s="30"/>
      <c r="M1318" s="30"/>
      <c r="N1318" s="30"/>
      <c r="O1318" s="71">
        <f t="shared" si="155"/>
        <v>0</v>
      </c>
      <c r="P1318" s="1070">
        <f t="shared" si="160"/>
        <v>0</v>
      </c>
      <c r="Q1318" s="1071">
        <f t="shared" si="159"/>
        <v>0</v>
      </c>
    </row>
    <row r="1319" spans="1:17" x14ac:dyDescent="0.2">
      <c r="A1319" s="30"/>
      <c r="B1319" s="162"/>
      <c r="C1319" s="259"/>
      <c r="D1319" s="267"/>
      <c r="E1319" s="35"/>
      <c r="F1319" s="151"/>
      <c r="G1319" s="263">
        <f t="shared" si="158"/>
        <v>0</v>
      </c>
      <c r="H1319" s="65"/>
      <c r="I1319" s="275">
        <f t="shared" si="154"/>
        <v>0</v>
      </c>
      <c r="J1319" s="161"/>
      <c r="K1319" s="30"/>
      <c r="L1319" s="30"/>
      <c r="M1319" s="30"/>
      <c r="N1319" s="30"/>
      <c r="O1319" s="71">
        <f t="shared" si="155"/>
        <v>0</v>
      </c>
      <c r="P1319" s="1070">
        <f t="shared" si="160"/>
        <v>0</v>
      </c>
      <c r="Q1319" s="1071">
        <f t="shared" si="159"/>
        <v>0</v>
      </c>
    </row>
    <row r="1320" spans="1:17" x14ac:dyDescent="0.2">
      <c r="A1320" s="30"/>
      <c r="B1320" s="162"/>
      <c r="C1320" s="259"/>
      <c r="D1320" s="267"/>
      <c r="E1320" s="35"/>
      <c r="F1320" s="151"/>
      <c r="G1320" s="263">
        <f t="shared" si="158"/>
        <v>0</v>
      </c>
      <c r="H1320" s="65"/>
      <c r="I1320" s="275">
        <f t="shared" si="154"/>
        <v>0</v>
      </c>
      <c r="J1320" s="161"/>
      <c r="K1320" s="30"/>
      <c r="L1320" s="30"/>
      <c r="M1320" s="30"/>
      <c r="N1320" s="30"/>
      <c r="O1320" s="71">
        <f t="shared" si="155"/>
        <v>0</v>
      </c>
      <c r="P1320" s="1070">
        <f t="shared" si="160"/>
        <v>0</v>
      </c>
      <c r="Q1320" s="1071">
        <f t="shared" si="159"/>
        <v>0</v>
      </c>
    </row>
    <row r="1321" spans="1:17" x14ac:dyDescent="0.2">
      <c r="A1321" s="30"/>
      <c r="B1321" s="162"/>
      <c r="C1321" s="259"/>
      <c r="D1321" s="267"/>
      <c r="E1321" s="35"/>
      <c r="F1321" s="151"/>
      <c r="G1321" s="263">
        <f t="shared" si="158"/>
        <v>0</v>
      </c>
      <c r="H1321" s="65"/>
      <c r="I1321" s="275">
        <f t="shared" si="154"/>
        <v>0</v>
      </c>
      <c r="J1321" s="161"/>
      <c r="K1321" s="30"/>
      <c r="L1321" s="30"/>
      <c r="M1321" s="30"/>
      <c r="N1321" s="30"/>
      <c r="O1321" s="71">
        <f t="shared" si="155"/>
        <v>0</v>
      </c>
      <c r="P1321" s="1070">
        <f t="shared" si="160"/>
        <v>0</v>
      </c>
      <c r="Q1321" s="1071">
        <f t="shared" si="159"/>
        <v>0</v>
      </c>
    </row>
    <row r="1322" spans="1:17" x14ac:dyDescent="0.2">
      <c r="A1322" s="30"/>
      <c r="B1322" s="162"/>
      <c r="C1322" s="259"/>
      <c r="D1322" s="267"/>
      <c r="E1322" s="35"/>
      <c r="F1322" s="151"/>
      <c r="G1322" s="263">
        <f t="shared" si="158"/>
        <v>0</v>
      </c>
      <c r="H1322" s="65"/>
      <c r="I1322" s="275">
        <f t="shared" si="154"/>
        <v>0</v>
      </c>
      <c r="J1322" s="161"/>
      <c r="K1322" s="30"/>
      <c r="L1322" s="30"/>
      <c r="M1322" s="30"/>
      <c r="N1322" s="30"/>
      <c r="O1322" s="71">
        <f t="shared" si="155"/>
        <v>0</v>
      </c>
      <c r="P1322" s="1070">
        <f t="shared" si="160"/>
        <v>0</v>
      </c>
      <c r="Q1322" s="1071">
        <f t="shared" si="159"/>
        <v>0</v>
      </c>
    </row>
    <row r="1323" spans="1:17" x14ac:dyDescent="0.2">
      <c r="A1323" s="30"/>
      <c r="B1323" s="162"/>
      <c r="C1323" s="259"/>
      <c r="D1323" s="267"/>
      <c r="E1323" s="35"/>
      <c r="F1323" s="151"/>
      <c r="G1323" s="263">
        <f t="shared" si="158"/>
        <v>0</v>
      </c>
      <c r="H1323" s="65"/>
      <c r="I1323" s="275">
        <f t="shared" si="154"/>
        <v>0</v>
      </c>
      <c r="J1323" s="161"/>
      <c r="K1323" s="30"/>
      <c r="L1323" s="30"/>
      <c r="M1323" s="30"/>
      <c r="N1323" s="30"/>
      <c r="O1323" s="71">
        <f t="shared" si="155"/>
        <v>0</v>
      </c>
      <c r="P1323" s="1070">
        <f t="shared" si="160"/>
        <v>0</v>
      </c>
      <c r="Q1323" s="1071">
        <f t="shared" si="159"/>
        <v>0</v>
      </c>
    </row>
    <row r="1324" spans="1:17" x14ac:dyDescent="0.2">
      <c r="A1324" s="30"/>
      <c r="B1324" s="162"/>
      <c r="C1324" s="259"/>
      <c r="D1324" s="267"/>
      <c r="E1324" s="35"/>
      <c r="F1324" s="151"/>
      <c r="G1324" s="263">
        <f t="shared" si="158"/>
        <v>0</v>
      </c>
      <c r="H1324" s="65"/>
      <c r="I1324" s="275">
        <f t="shared" si="154"/>
        <v>0</v>
      </c>
      <c r="J1324" s="161"/>
      <c r="K1324" s="30"/>
      <c r="L1324" s="30"/>
      <c r="M1324" s="30"/>
      <c r="N1324" s="30"/>
      <c r="O1324" s="71">
        <f t="shared" si="155"/>
        <v>0</v>
      </c>
      <c r="P1324" s="1070">
        <f t="shared" si="160"/>
        <v>0</v>
      </c>
      <c r="Q1324" s="1071">
        <f t="shared" si="159"/>
        <v>0</v>
      </c>
    </row>
    <row r="1325" spans="1:17" x14ac:dyDescent="0.2">
      <c r="A1325" s="30"/>
      <c r="B1325" s="162"/>
      <c r="C1325" s="259"/>
      <c r="D1325" s="267"/>
      <c r="E1325" s="35"/>
      <c r="F1325" s="151"/>
      <c r="G1325" s="263">
        <f t="shared" si="158"/>
        <v>0</v>
      </c>
      <c r="H1325" s="65"/>
      <c r="I1325" s="275">
        <f t="shared" si="154"/>
        <v>0</v>
      </c>
      <c r="J1325" s="161"/>
      <c r="K1325" s="30"/>
      <c r="L1325" s="30"/>
      <c r="M1325" s="30"/>
      <c r="N1325" s="30"/>
      <c r="O1325" s="71">
        <f t="shared" si="155"/>
        <v>0</v>
      </c>
      <c r="P1325" s="1070">
        <f t="shared" si="160"/>
        <v>0</v>
      </c>
      <c r="Q1325" s="1071">
        <f t="shared" si="159"/>
        <v>0</v>
      </c>
    </row>
    <row r="1326" spans="1:17" x14ac:dyDescent="0.2">
      <c r="A1326" s="30"/>
      <c r="B1326" s="162"/>
      <c r="C1326" s="259"/>
      <c r="D1326" s="267"/>
      <c r="E1326" s="35"/>
      <c r="F1326" s="151"/>
      <c r="G1326" s="263">
        <f t="shared" si="158"/>
        <v>0</v>
      </c>
      <c r="H1326" s="65"/>
      <c r="I1326" s="275">
        <f t="shared" si="154"/>
        <v>0</v>
      </c>
      <c r="J1326" s="161"/>
      <c r="K1326" s="30"/>
      <c r="L1326" s="30"/>
      <c r="M1326" s="30"/>
      <c r="N1326" s="30"/>
      <c r="O1326" s="71">
        <f t="shared" si="155"/>
        <v>0</v>
      </c>
      <c r="P1326" s="1070">
        <f t="shared" si="160"/>
        <v>0</v>
      </c>
      <c r="Q1326" s="1071">
        <f t="shared" si="159"/>
        <v>0</v>
      </c>
    </row>
    <row r="1327" spans="1:17" x14ac:dyDescent="0.2">
      <c r="A1327" s="30"/>
      <c r="B1327" s="162"/>
      <c r="C1327" s="259"/>
      <c r="D1327" s="267"/>
      <c r="E1327" s="35"/>
      <c r="F1327" s="151"/>
      <c r="G1327" s="263">
        <f t="shared" si="158"/>
        <v>0</v>
      </c>
      <c r="H1327" s="65"/>
      <c r="I1327" s="275">
        <f t="shared" si="154"/>
        <v>0</v>
      </c>
      <c r="J1327" s="161"/>
      <c r="K1327" s="30"/>
      <c r="L1327" s="30"/>
      <c r="M1327" s="30"/>
      <c r="N1327" s="30"/>
      <c r="O1327" s="71">
        <f t="shared" si="155"/>
        <v>0</v>
      </c>
      <c r="P1327" s="1070">
        <f t="shared" si="160"/>
        <v>0</v>
      </c>
      <c r="Q1327" s="1071">
        <f t="shared" si="159"/>
        <v>0</v>
      </c>
    </row>
    <row r="1328" spans="1:17" x14ac:dyDescent="0.2">
      <c r="A1328" s="30"/>
      <c r="B1328" s="162"/>
      <c r="C1328" s="259"/>
      <c r="D1328" s="267"/>
      <c r="E1328" s="35"/>
      <c r="F1328" s="151"/>
      <c r="G1328" s="263">
        <f t="shared" si="158"/>
        <v>0</v>
      </c>
      <c r="H1328" s="65"/>
      <c r="I1328" s="275">
        <f t="shared" si="154"/>
        <v>0</v>
      </c>
      <c r="J1328" s="161"/>
      <c r="K1328" s="30"/>
      <c r="L1328" s="30"/>
      <c r="M1328" s="30"/>
      <c r="N1328" s="30"/>
      <c r="O1328" s="71">
        <f t="shared" si="155"/>
        <v>0</v>
      </c>
      <c r="P1328" s="1070">
        <f t="shared" si="160"/>
        <v>0</v>
      </c>
      <c r="Q1328" s="1071">
        <f t="shared" si="159"/>
        <v>0</v>
      </c>
    </row>
    <row r="1329" spans="1:17" x14ac:dyDescent="0.2">
      <c r="A1329" s="30"/>
      <c r="B1329" s="162"/>
      <c r="C1329" s="259"/>
      <c r="D1329" s="267"/>
      <c r="E1329" s="35"/>
      <c r="F1329" s="151"/>
      <c r="G1329" s="263">
        <f t="shared" si="158"/>
        <v>0</v>
      </c>
      <c r="H1329" s="65"/>
      <c r="I1329" s="275">
        <f t="shared" si="154"/>
        <v>0</v>
      </c>
      <c r="J1329" s="161"/>
      <c r="K1329" s="30"/>
      <c r="L1329" s="30"/>
      <c r="M1329" s="30"/>
      <c r="N1329" s="30"/>
      <c r="O1329" s="71">
        <f t="shared" si="155"/>
        <v>0</v>
      </c>
      <c r="P1329" s="1070">
        <f t="shared" si="160"/>
        <v>0</v>
      </c>
      <c r="Q1329" s="1071">
        <f t="shared" si="159"/>
        <v>0</v>
      </c>
    </row>
    <row r="1330" spans="1:17" x14ac:dyDescent="0.2">
      <c r="A1330" s="30"/>
      <c r="B1330" s="162"/>
      <c r="C1330" s="259"/>
      <c r="D1330" s="267"/>
      <c r="E1330" s="35"/>
      <c r="F1330" s="151"/>
      <c r="G1330" s="263">
        <f t="shared" si="158"/>
        <v>0</v>
      </c>
      <c r="H1330" s="65"/>
      <c r="I1330" s="275">
        <f t="shared" si="154"/>
        <v>0</v>
      </c>
      <c r="J1330" s="161"/>
      <c r="K1330" s="30"/>
      <c r="L1330" s="30"/>
      <c r="M1330" s="30"/>
      <c r="N1330" s="30"/>
      <c r="O1330" s="71">
        <f t="shared" si="155"/>
        <v>0</v>
      </c>
      <c r="P1330" s="1070">
        <f t="shared" si="160"/>
        <v>0</v>
      </c>
      <c r="Q1330" s="1071">
        <f t="shared" si="159"/>
        <v>0</v>
      </c>
    </row>
    <row r="1331" spans="1:17" x14ac:dyDescent="0.2">
      <c r="A1331" s="30"/>
      <c r="B1331" s="162"/>
      <c r="C1331" s="259"/>
      <c r="D1331" s="267"/>
      <c r="E1331" s="35"/>
      <c r="F1331" s="151"/>
      <c r="G1331" s="263">
        <f t="shared" si="158"/>
        <v>0</v>
      </c>
      <c r="H1331" s="65"/>
      <c r="I1331" s="275">
        <f t="shared" si="154"/>
        <v>0</v>
      </c>
      <c r="J1331" s="161"/>
      <c r="K1331" s="30"/>
      <c r="L1331" s="30"/>
      <c r="M1331" s="30"/>
      <c r="N1331" s="30"/>
      <c r="O1331" s="71">
        <f t="shared" si="155"/>
        <v>0</v>
      </c>
      <c r="P1331" s="1070">
        <f t="shared" si="160"/>
        <v>0</v>
      </c>
      <c r="Q1331" s="1071">
        <f t="shared" si="159"/>
        <v>0</v>
      </c>
    </row>
    <row r="1332" spans="1:17" x14ac:dyDescent="0.2">
      <c r="A1332" s="30"/>
      <c r="B1332" s="162"/>
      <c r="C1332" s="259"/>
      <c r="D1332" s="267"/>
      <c r="E1332" s="35"/>
      <c r="F1332" s="151"/>
      <c r="G1332" s="263">
        <f t="shared" si="158"/>
        <v>0</v>
      </c>
      <c r="H1332" s="65"/>
      <c r="I1332" s="275">
        <f t="shared" si="154"/>
        <v>0</v>
      </c>
      <c r="J1332" s="161"/>
      <c r="K1332" s="30"/>
      <c r="L1332" s="30"/>
      <c r="M1332" s="30"/>
      <c r="N1332" s="30"/>
      <c r="O1332" s="71">
        <f t="shared" si="155"/>
        <v>0</v>
      </c>
      <c r="P1332" s="1070">
        <f t="shared" si="160"/>
        <v>0</v>
      </c>
      <c r="Q1332" s="1071">
        <f t="shared" si="159"/>
        <v>0</v>
      </c>
    </row>
    <row r="1333" spans="1:17" x14ac:dyDescent="0.2">
      <c r="A1333" s="30"/>
      <c r="B1333" s="162"/>
      <c r="C1333" s="259"/>
      <c r="D1333" s="267"/>
      <c r="E1333" s="35"/>
      <c r="F1333" s="151"/>
      <c r="G1333" s="263">
        <f t="shared" si="158"/>
        <v>0</v>
      </c>
      <c r="H1333" s="65"/>
      <c r="I1333" s="275">
        <f t="shared" si="154"/>
        <v>0</v>
      </c>
      <c r="J1333" s="161"/>
      <c r="K1333" s="30"/>
      <c r="L1333" s="30"/>
      <c r="M1333" s="30"/>
      <c r="N1333" s="30"/>
      <c r="O1333" s="71">
        <f t="shared" si="155"/>
        <v>0</v>
      </c>
      <c r="P1333" s="1070">
        <f t="shared" si="160"/>
        <v>0</v>
      </c>
      <c r="Q1333" s="1071">
        <f t="shared" si="159"/>
        <v>0</v>
      </c>
    </row>
    <row r="1334" spans="1:17" x14ac:dyDescent="0.2">
      <c r="A1334" s="30"/>
      <c r="B1334" s="162"/>
      <c r="C1334" s="259"/>
      <c r="D1334" s="267"/>
      <c r="E1334" s="35"/>
      <c r="F1334" s="151"/>
      <c r="G1334" s="263">
        <f t="shared" si="158"/>
        <v>0</v>
      </c>
      <c r="H1334" s="65"/>
      <c r="I1334" s="275">
        <f t="shared" si="154"/>
        <v>0</v>
      </c>
      <c r="J1334" s="161"/>
      <c r="K1334" s="30"/>
      <c r="L1334" s="30"/>
      <c r="M1334" s="30"/>
      <c r="N1334" s="30"/>
      <c r="O1334" s="71">
        <f t="shared" si="155"/>
        <v>0</v>
      </c>
      <c r="P1334" s="1070">
        <f t="shared" si="160"/>
        <v>0</v>
      </c>
      <c r="Q1334" s="1071">
        <f t="shared" si="159"/>
        <v>0</v>
      </c>
    </row>
    <row r="1335" spans="1:17" ht="13.5" thickBot="1" x14ac:dyDescent="0.25">
      <c r="A1335" s="30"/>
      <c r="B1335" s="163"/>
      <c r="C1335" s="260"/>
      <c r="D1335" s="268"/>
      <c r="E1335" s="24"/>
      <c r="F1335" s="25"/>
      <c r="G1335" s="264">
        <f t="shared" si="158"/>
        <v>0</v>
      </c>
      <c r="H1335" s="272"/>
      <c r="I1335" s="276">
        <f t="shared" si="154"/>
        <v>0</v>
      </c>
      <c r="J1335" s="161"/>
      <c r="K1335" s="30"/>
      <c r="L1335" s="30"/>
      <c r="M1335" s="30"/>
      <c r="N1335" s="30"/>
      <c r="O1335" s="71">
        <f t="shared" si="155"/>
        <v>0</v>
      </c>
      <c r="P1335" s="1070">
        <f t="shared" si="160"/>
        <v>0</v>
      </c>
      <c r="Q1335" s="1071">
        <f t="shared" si="159"/>
        <v>0</v>
      </c>
    </row>
    <row r="1336" spans="1:17" ht="6.75" customHeight="1" thickBot="1" x14ac:dyDescent="0.25">
      <c r="A1336" s="30"/>
      <c r="B1336" s="155"/>
      <c r="C1336" s="155"/>
      <c r="D1336" s="155"/>
      <c r="E1336" s="155"/>
      <c r="F1336" s="155"/>
      <c r="G1336" s="155"/>
      <c r="H1336" s="155"/>
      <c r="I1336" s="155"/>
      <c r="J1336" s="155"/>
      <c r="K1336" s="30"/>
      <c r="L1336" s="30"/>
      <c r="M1336" s="30"/>
      <c r="N1336" s="30"/>
      <c r="O1336" s="812">
        <f>SUM(O1284:O1335)</f>
        <v>0</v>
      </c>
      <c r="P1336" s="1075">
        <f>SUM(P1284:P1335)</f>
        <v>0</v>
      </c>
      <c r="Q1336" s="813">
        <f>SUM(Q1284:Q1335)</f>
        <v>0</v>
      </c>
    </row>
    <row r="1337" spans="1:17" ht="50.1" customHeight="1" x14ac:dyDescent="0.2">
      <c r="L1337" s="30"/>
      <c r="M1337" s="30"/>
      <c r="N1337" s="30"/>
    </row>
    <row r="1338" spans="1:17" ht="18" x14ac:dyDescent="0.2">
      <c r="A1338" s="1224" t="str">
        <f>UPPER("Patching Summary Table")</f>
        <v>PATCHING SUMMARY TABLE</v>
      </c>
      <c r="B1338" s="1224"/>
      <c r="C1338" s="1224"/>
      <c r="D1338" s="1224"/>
      <c r="E1338" s="1224"/>
      <c r="F1338" s="1224"/>
      <c r="G1338" s="1224"/>
      <c r="H1338" s="1224"/>
      <c r="I1338" s="1224"/>
      <c r="J1338" s="1224"/>
      <c r="K1338" s="30"/>
      <c r="L1338" s="30"/>
      <c r="M1338" s="30"/>
      <c r="N1338" s="30"/>
      <c r="O1338" s="30"/>
      <c r="P1338" s="30"/>
    </row>
    <row r="1339" spans="1:17" ht="8.25" customHeight="1" thickBot="1" x14ac:dyDescent="0.25">
      <c r="A1339" s="30"/>
      <c r="B1339" s="31"/>
      <c r="C1339" s="31"/>
      <c r="D1339" s="31"/>
      <c r="E1339" s="31"/>
      <c r="F1339" s="31"/>
      <c r="G1339" s="31"/>
      <c r="H1339" s="31"/>
      <c r="I1339" s="31"/>
      <c r="J1339" s="31"/>
      <c r="K1339" s="30"/>
      <c r="O1339" s="30"/>
      <c r="P1339" s="30"/>
    </row>
    <row r="1340" spans="1:17" x14ac:dyDescent="0.2">
      <c r="A1340" s="30"/>
      <c r="B1340" s="1310" t="s">
        <v>2</v>
      </c>
      <c r="C1340" s="1319" t="s">
        <v>3</v>
      </c>
      <c r="D1340" s="1310" t="s">
        <v>39</v>
      </c>
      <c r="E1340" s="1308" t="s">
        <v>4</v>
      </c>
      <c r="F1340" s="1223" t="s">
        <v>535</v>
      </c>
      <c r="G1340" s="261" t="s">
        <v>129</v>
      </c>
      <c r="H1340" s="269" t="s">
        <v>102</v>
      </c>
      <c r="I1340" s="152" t="s">
        <v>209</v>
      </c>
      <c r="J1340" s="31"/>
      <c r="K1340" s="30"/>
      <c r="L1340" s="30"/>
      <c r="M1340" s="30"/>
      <c r="N1340" s="30"/>
      <c r="O1340" s="1159" t="s">
        <v>537</v>
      </c>
      <c r="P1340" s="1305"/>
      <c r="Q1340" s="1306"/>
    </row>
    <row r="1341" spans="1:17" ht="13.5" thickBot="1" x14ac:dyDescent="0.25">
      <c r="A1341" s="30"/>
      <c r="B1341" s="1285"/>
      <c r="C1341" s="1320"/>
      <c r="D1341" s="1285"/>
      <c r="E1341" s="1227"/>
      <c r="F1341" s="1242"/>
      <c r="G1341" s="262" t="s">
        <v>100</v>
      </c>
      <c r="H1341" s="270" t="s">
        <v>100</v>
      </c>
      <c r="I1341" s="273" t="s">
        <v>210</v>
      </c>
      <c r="J1341" s="31"/>
      <c r="K1341" s="30"/>
      <c r="L1341" s="30"/>
      <c r="M1341" s="30"/>
      <c r="N1341" s="30"/>
      <c r="O1341" s="41" t="str">
        <f>$Q$41</f>
        <v>Partial</v>
      </c>
      <c r="P1341" s="42" t="str">
        <f>$Q$42</f>
        <v>Full ( HMA)</v>
      </c>
      <c r="Q1341" s="43" t="str">
        <f>$Q$43</f>
        <v>Full (Composite)</v>
      </c>
    </row>
    <row r="1342" spans="1:17" x14ac:dyDescent="0.2">
      <c r="A1342" s="30"/>
      <c r="B1342" s="159"/>
      <c r="C1342" s="258"/>
      <c r="D1342" s="265"/>
      <c r="E1342" s="160"/>
      <c r="F1342" s="266"/>
      <c r="G1342" s="263">
        <f>ABS(C1342-B1342)</f>
        <v>0</v>
      </c>
      <c r="H1342" s="271"/>
      <c r="I1342" s="274">
        <f t="shared" ref="I1342:I1393" si="161">ROUNDUP((G1342*H1342)/9,0)</f>
        <v>0</v>
      </c>
      <c r="J1342" s="161"/>
      <c r="K1342" s="30"/>
      <c r="L1342" s="30"/>
      <c r="M1342" s="30"/>
      <c r="N1342" s="30"/>
      <c r="O1342" s="54">
        <f t="shared" ref="O1342:O1393" si="162">IF($F1342=$Q$41,$I1342,0)</f>
        <v>0</v>
      </c>
      <c r="P1342" s="1069">
        <f t="shared" ref="P1342:P1374" si="163">IF($F1342=$Q$42,$I1342,0)</f>
        <v>0</v>
      </c>
      <c r="Q1342" s="811">
        <f t="shared" ref="Q1342:Q1373" si="164">IF($F1342=$Q$43,$I1342,0)</f>
        <v>0</v>
      </c>
    </row>
    <row r="1343" spans="1:17" x14ac:dyDescent="0.2">
      <c r="A1343" s="30"/>
      <c r="B1343" s="162"/>
      <c r="C1343" s="259"/>
      <c r="D1343" s="267"/>
      <c r="E1343" s="35"/>
      <c r="F1343" s="151"/>
      <c r="G1343" s="263">
        <f t="shared" ref="G1343:G1393" si="165">ABS(C1343-B1343)</f>
        <v>0</v>
      </c>
      <c r="H1343" s="65"/>
      <c r="I1343" s="275">
        <f t="shared" si="161"/>
        <v>0</v>
      </c>
      <c r="J1343" s="161"/>
      <c r="K1343" s="30"/>
      <c r="L1343" s="30"/>
      <c r="M1343" s="30"/>
      <c r="N1343" s="30"/>
      <c r="O1343" s="71">
        <f t="shared" si="162"/>
        <v>0</v>
      </c>
      <c r="P1343" s="1070">
        <f t="shared" si="163"/>
        <v>0</v>
      </c>
      <c r="Q1343" s="1071">
        <f t="shared" si="164"/>
        <v>0</v>
      </c>
    </row>
    <row r="1344" spans="1:17" x14ac:dyDescent="0.2">
      <c r="A1344" s="30"/>
      <c r="B1344" s="162"/>
      <c r="C1344" s="259"/>
      <c r="D1344" s="267"/>
      <c r="E1344" s="35"/>
      <c r="F1344" s="151"/>
      <c r="G1344" s="263">
        <f t="shared" si="165"/>
        <v>0</v>
      </c>
      <c r="H1344" s="65"/>
      <c r="I1344" s="275">
        <f t="shared" si="161"/>
        <v>0</v>
      </c>
      <c r="J1344" s="161"/>
      <c r="K1344" s="30"/>
      <c r="L1344" s="30"/>
      <c r="M1344" s="30"/>
      <c r="N1344" s="30"/>
      <c r="O1344" s="71">
        <f t="shared" si="162"/>
        <v>0</v>
      </c>
      <c r="P1344" s="1070">
        <f t="shared" si="163"/>
        <v>0</v>
      </c>
      <c r="Q1344" s="1071">
        <f t="shared" si="164"/>
        <v>0</v>
      </c>
    </row>
    <row r="1345" spans="1:17" x14ac:dyDescent="0.2">
      <c r="A1345" s="30"/>
      <c r="B1345" s="162"/>
      <c r="C1345" s="259"/>
      <c r="D1345" s="267"/>
      <c r="E1345" s="35"/>
      <c r="F1345" s="151"/>
      <c r="G1345" s="263">
        <f t="shared" si="165"/>
        <v>0</v>
      </c>
      <c r="H1345" s="65"/>
      <c r="I1345" s="275">
        <f t="shared" si="161"/>
        <v>0</v>
      </c>
      <c r="J1345" s="161"/>
      <c r="K1345" s="30"/>
      <c r="L1345" s="30"/>
      <c r="M1345" s="30"/>
      <c r="N1345" s="30"/>
      <c r="O1345" s="71">
        <f t="shared" si="162"/>
        <v>0</v>
      </c>
      <c r="P1345" s="1070">
        <f t="shared" si="163"/>
        <v>0</v>
      </c>
      <c r="Q1345" s="1071">
        <f t="shared" si="164"/>
        <v>0</v>
      </c>
    </row>
    <row r="1346" spans="1:17" x14ac:dyDescent="0.2">
      <c r="A1346" s="30"/>
      <c r="B1346" s="162"/>
      <c r="C1346" s="259"/>
      <c r="D1346" s="267"/>
      <c r="E1346" s="35"/>
      <c r="F1346" s="151"/>
      <c r="G1346" s="263">
        <f t="shared" si="165"/>
        <v>0</v>
      </c>
      <c r="H1346" s="65"/>
      <c r="I1346" s="275">
        <f t="shared" si="161"/>
        <v>0</v>
      </c>
      <c r="J1346" s="161"/>
      <c r="K1346" s="30"/>
      <c r="L1346" s="30"/>
      <c r="M1346" s="30"/>
      <c r="N1346" s="30"/>
      <c r="O1346" s="71">
        <f t="shared" si="162"/>
        <v>0</v>
      </c>
      <c r="P1346" s="1070">
        <f t="shared" si="163"/>
        <v>0</v>
      </c>
      <c r="Q1346" s="1071">
        <f t="shared" si="164"/>
        <v>0</v>
      </c>
    </row>
    <row r="1347" spans="1:17" x14ac:dyDescent="0.2">
      <c r="A1347" s="30"/>
      <c r="B1347" s="162"/>
      <c r="C1347" s="259"/>
      <c r="D1347" s="267"/>
      <c r="E1347" s="35"/>
      <c r="F1347" s="151"/>
      <c r="G1347" s="263">
        <f t="shared" si="165"/>
        <v>0</v>
      </c>
      <c r="H1347" s="65"/>
      <c r="I1347" s="275">
        <f t="shared" si="161"/>
        <v>0</v>
      </c>
      <c r="J1347" s="161"/>
      <c r="K1347" s="30"/>
      <c r="L1347" s="30"/>
      <c r="M1347" s="30"/>
      <c r="N1347" s="30"/>
      <c r="O1347" s="71">
        <f t="shared" si="162"/>
        <v>0</v>
      </c>
      <c r="P1347" s="1070">
        <f t="shared" si="163"/>
        <v>0</v>
      </c>
      <c r="Q1347" s="1071">
        <f t="shared" si="164"/>
        <v>0</v>
      </c>
    </row>
    <row r="1348" spans="1:17" x14ac:dyDescent="0.2">
      <c r="A1348" s="30"/>
      <c r="B1348" s="162"/>
      <c r="C1348" s="259"/>
      <c r="D1348" s="267"/>
      <c r="E1348" s="35"/>
      <c r="F1348" s="151"/>
      <c r="G1348" s="263">
        <f t="shared" si="165"/>
        <v>0</v>
      </c>
      <c r="H1348" s="65"/>
      <c r="I1348" s="275">
        <f t="shared" si="161"/>
        <v>0</v>
      </c>
      <c r="J1348" s="161"/>
      <c r="K1348" s="30"/>
      <c r="L1348" s="30"/>
      <c r="M1348" s="30"/>
      <c r="N1348" s="30"/>
      <c r="O1348" s="71">
        <f t="shared" si="162"/>
        <v>0</v>
      </c>
      <c r="P1348" s="1070">
        <f t="shared" si="163"/>
        <v>0</v>
      </c>
      <c r="Q1348" s="1071">
        <f t="shared" si="164"/>
        <v>0</v>
      </c>
    </row>
    <row r="1349" spans="1:17" x14ac:dyDescent="0.2">
      <c r="A1349" s="30"/>
      <c r="B1349" s="162"/>
      <c r="C1349" s="259"/>
      <c r="D1349" s="267"/>
      <c r="E1349" s="35"/>
      <c r="F1349" s="151"/>
      <c r="G1349" s="263">
        <f t="shared" si="165"/>
        <v>0</v>
      </c>
      <c r="H1349" s="65"/>
      <c r="I1349" s="275">
        <f t="shared" si="161"/>
        <v>0</v>
      </c>
      <c r="J1349" s="161"/>
      <c r="K1349" s="30"/>
      <c r="L1349" s="30"/>
      <c r="M1349" s="30"/>
      <c r="N1349" s="30"/>
      <c r="O1349" s="71">
        <f t="shared" si="162"/>
        <v>0</v>
      </c>
      <c r="P1349" s="1070">
        <f t="shared" si="163"/>
        <v>0</v>
      </c>
      <c r="Q1349" s="1071">
        <f t="shared" si="164"/>
        <v>0</v>
      </c>
    </row>
    <row r="1350" spans="1:17" x14ac:dyDescent="0.2">
      <c r="A1350" s="30"/>
      <c r="B1350" s="162"/>
      <c r="C1350" s="259"/>
      <c r="D1350" s="267"/>
      <c r="E1350" s="35"/>
      <c r="F1350" s="151"/>
      <c r="G1350" s="263">
        <f t="shared" si="165"/>
        <v>0</v>
      </c>
      <c r="H1350" s="65"/>
      <c r="I1350" s="275">
        <f t="shared" si="161"/>
        <v>0</v>
      </c>
      <c r="J1350" s="161"/>
      <c r="K1350" s="30"/>
      <c r="L1350" s="30"/>
      <c r="M1350" s="30"/>
      <c r="N1350" s="30"/>
      <c r="O1350" s="71">
        <f t="shared" si="162"/>
        <v>0</v>
      </c>
      <c r="P1350" s="1070">
        <f t="shared" si="163"/>
        <v>0</v>
      </c>
      <c r="Q1350" s="1071">
        <f t="shared" si="164"/>
        <v>0</v>
      </c>
    </row>
    <row r="1351" spans="1:17" x14ac:dyDescent="0.2">
      <c r="A1351" s="30"/>
      <c r="B1351" s="162"/>
      <c r="C1351" s="259"/>
      <c r="D1351" s="267"/>
      <c r="E1351" s="35"/>
      <c r="F1351" s="151"/>
      <c r="G1351" s="263">
        <f t="shared" si="165"/>
        <v>0</v>
      </c>
      <c r="H1351" s="65"/>
      <c r="I1351" s="275">
        <f t="shared" si="161"/>
        <v>0</v>
      </c>
      <c r="J1351" s="161"/>
      <c r="K1351" s="30"/>
      <c r="L1351" s="30"/>
      <c r="M1351" s="30"/>
      <c r="N1351" s="30"/>
      <c r="O1351" s="71">
        <f t="shared" si="162"/>
        <v>0</v>
      </c>
      <c r="P1351" s="1070">
        <f t="shared" si="163"/>
        <v>0</v>
      </c>
      <c r="Q1351" s="1071">
        <f t="shared" si="164"/>
        <v>0</v>
      </c>
    </row>
    <row r="1352" spans="1:17" x14ac:dyDescent="0.2">
      <c r="A1352" s="30"/>
      <c r="B1352" s="162"/>
      <c r="C1352" s="259"/>
      <c r="D1352" s="267"/>
      <c r="E1352" s="35"/>
      <c r="F1352" s="151"/>
      <c r="G1352" s="263">
        <f t="shared" si="165"/>
        <v>0</v>
      </c>
      <c r="H1352" s="65"/>
      <c r="I1352" s="275">
        <f t="shared" si="161"/>
        <v>0</v>
      </c>
      <c r="J1352" s="161"/>
      <c r="K1352" s="30"/>
      <c r="L1352" s="30"/>
      <c r="M1352" s="30"/>
      <c r="N1352" s="30"/>
      <c r="O1352" s="71">
        <f t="shared" si="162"/>
        <v>0</v>
      </c>
      <c r="P1352" s="1070">
        <f t="shared" si="163"/>
        <v>0</v>
      </c>
      <c r="Q1352" s="1071">
        <f t="shared" si="164"/>
        <v>0</v>
      </c>
    </row>
    <row r="1353" spans="1:17" x14ac:dyDescent="0.2">
      <c r="A1353" s="30"/>
      <c r="B1353" s="162"/>
      <c r="C1353" s="259"/>
      <c r="D1353" s="267"/>
      <c r="E1353" s="35"/>
      <c r="F1353" s="151"/>
      <c r="G1353" s="263">
        <f t="shared" si="165"/>
        <v>0</v>
      </c>
      <c r="H1353" s="65"/>
      <c r="I1353" s="275">
        <f t="shared" si="161"/>
        <v>0</v>
      </c>
      <c r="J1353" s="161"/>
      <c r="K1353" s="30"/>
      <c r="L1353" s="30"/>
      <c r="M1353" s="30"/>
      <c r="N1353" s="30"/>
      <c r="O1353" s="71">
        <f t="shared" si="162"/>
        <v>0</v>
      </c>
      <c r="P1353" s="1070">
        <f t="shared" si="163"/>
        <v>0</v>
      </c>
      <c r="Q1353" s="1071">
        <f t="shared" si="164"/>
        <v>0</v>
      </c>
    </row>
    <row r="1354" spans="1:17" x14ac:dyDescent="0.2">
      <c r="A1354" s="30"/>
      <c r="B1354" s="162"/>
      <c r="C1354" s="259"/>
      <c r="D1354" s="267"/>
      <c r="E1354" s="35"/>
      <c r="F1354" s="151"/>
      <c r="G1354" s="263">
        <f t="shared" si="165"/>
        <v>0</v>
      </c>
      <c r="H1354" s="65"/>
      <c r="I1354" s="275">
        <f t="shared" si="161"/>
        <v>0</v>
      </c>
      <c r="J1354" s="161"/>
      <c r="K1354" s="30"/>
      <c r="L1354" s="30"/>
      <c r="M1354" s="30"/>
      <c r="N1354" s="30"/>
      <c r="O1354" s="71">
        <f t="shared" si="162"/>
        <v>0</v>
      </c>
      <c r="P1354" s="1070">
        <f t="shared" si="163"/>
        <v>0</v>
      </c>
      <c r="Q1354" s="1071">
        <f t="shared" si="164"/>
        <v>0</v>
      </c>
    </row>
    <row r="1355" spans="1:17" x14ac:dyDescent="0.2">
      <c r="A1355" s="30"/>
      <c r="B1355" s="162"/>
      <c r="C1355" s="259"/>
      <c r="D1355" s="267"/>
      <c r="E1355" s="35"/>
      <c r="F1355" s="151"/>
      <c r="G1355" s="263">
        <f t="shared" si="165"/>
        <v>0</v>
      </c>
      <c r="H1355" s="65"/>
      <c r="I1355" s="275">
        <f t="shared" si="161"/>
        <v>0</v>
      </c>
      <c r="J1355" s="161"/>
      <c r="K1355" s="30"/>
      <c r="L1355" s="30"/>
      <c r="M1355" s="30"/>
      <c r="N1355" s="30"/>
      <c r="O1355" s="71">
        <f t="shared" si="162"/>
        <v>0</v>
      </c>
      <c r="P1355" s="1070">
        <f t="shared" si="163"/>
        <v>0</v>
      </c>
      <c r="Q1355" s="1071">
        <f t="shared" si="164"/>
        <v>0</v>
      </c>
    </row>
    <row r="1356" spans="1:17" x14ac:dyDescent="0.2">
      <c r="A1356" s="30"/>
      <c r="B1356" s="162"/>
      <c r="C1356" s="259"/>
      <c r="D1356" s="267"/>
      <c r="E1356" s="35"/>
      <c r="F1356" s="151"/>
      <c r="G1356" s="263">
        <f t="shared" si="165"/>
        <v>0</v>
      </c>
      <c r="H1356" s="65"/>
      <c r="I1356" s="275">
        <f t="shared" si="161"/>
        <v>0</v>
      </c>
      <c r="J1356" s="161"/>
      <c r="K1356" s="30"/>
      <c r="L1356" s="30"/>
      <c r="M1356" s="30"/>
      <c r="N1356" s="30"/>
      <c r="O1356" s="71">
        <f t="shared" si="162"/>
        <v>0</v>
      </c>
      <c r="P1356" s="1070">
        <f t="shared" si="163"/>
        <v>0</v>
      </c>
      <c r="Q1356" s="1071">
        <f t="shared" si="164"/>
        <v>0</v>
      </c>
    </row>
    <row r="1357" spans="1:17" x14ac:dyDescent="0.2">
      <c r="A1357" s="30"/>
      <c r="B1357" s="162"/>
      <c r="C1357" s="259"/>
      <c r="D1357" s="267"/>
      <c r="E1357" s="35"/>
      <c r="F1357" s="151"/>
      <c r="G1357" s="263">
        <f t="shared" si="165"/>
        <v>0</v>
      </c>
      <c r="H1357" s="65"/>
      <c r="I1357" s="275">
        <f t="shared" si="161"/>
        <v>0</v>
      </c>
      <c r="J1357" s="161"/>
      <c r="K1357" s="30"/>
      <c r="L1357" s="30"/>
      <c r="M1357" s="30"/>
      <c r="N1357" s="30"/>
      <c r="O1357" s="71">
        <f t="shared" si="162"/>
        <v>0</v>
      </c>
      <c r="P1357" s="1070">
        <f t="shared" si="163"/>
        <v>0</v>
      </c>
      <c r="Q1357" s="1071">
        <f t="shared" si="164"/>
        <v>0</v>
      </c>
    </row>
    <row r="1358" spans="1:17" x14ac:dyDescent="0.2">
      <c r="A1358" s="30"/>
      <c r="B1358" s="162"/>
      <c r="C1358" s="259"/>
      <c r="D1358" s="267"/>
      <c r="E1358" s="35"/>
      <c r="F1358" s="151"/>
      <c r="G1358" s="263">
        <f t="shared" si="165"/>
        <v>0</v>
      </c>
      <c r="H1358" s="65"/>
      <c r="I1358" s="275">
        <f t="shared" si="161"/>
        <v>0</v>
      </c>
      <c r="J1358" s="161"/>
      <c r="K1358" s="30"/>
      <c r="L1358" s="30"/>
      <c r="M1358" s="30"/>
      <c r="N1358" s="30"/>
      <c r="O1358" s="71">
        <f t="shared" si="162"/>
        <v>0</v>
      </c>
      <c r="P1358" s="1070">
        <f t="shared" si="163"/>
        <v>0</v>
      </c>
      <c r="Q1358" s="1071">
        <f t="shared" si="164"/>
        <v>0</v>
      </c>
    </row>
    <row r="1359" spans="1:17" x14ac:dyDescent="0.2">
      <c r="A1359" s="30"/>
      <c r="B1359" s="162"/>
      <c r="C1359" s="259"/>
      <c r="D1359" s="267"/>
      <c r="E1359" s="35"/>
      <c r="F1359" s="151"/>
      <c r="G1359" s="263">
        <f t="shared" si="165"/>
        <v>0</v>
      </c>
      <c r="H1359" s="65"/>
      <c r="I1359" s="275">
        <f t="shared" si="161"/>
        <v>0</v>
      </c>
      <c r="J1359" s="161"/>
      <c r="K1359" s="30"/>
      <c r="L1359" s="30"/>
      <c r="M1359" s="30"/>
      <c r="N1359" s="30"/>
      <c r="O1359" s="71">
        <f t="shared" si="162"/>
        <v>0</v>
      </c>
      <c r="P1359" s="1070">
        <f t="shared" si="163"/>
        <v>0</v>
      </c>
      <c r="Q1359" s="1071">
        <f t="shared" si="164"/>
        <v>0</v>
      </c>
    </row>
    <row r="1360" spans="1:17" x14ac:dyDescent="0.2">
      <c r="A1360" s="30"/>
      <c r="B1360" s="162"/>
      <c r="C1360" s="259"/>
      <c r="D1360" s="267"/>
      <c r="E1360" s="35"/>
      <c r="F1360" s="151"/>
      <c r="G1360" s="263">
        <f t="shared" si="165"/>
        <v>0</v>
      </c>
      <c r="H1360" s="65"/>
      <c r="I1360" s="275">
        <f t="shared" si="161"/>
        <v>0</v>
      </c>
      <c r="J1360" s="161"/>
      <c r="K1360" s="30"/>
      <c r="L1360" s="30"/>
      <c r="M1360" s="30"/>
      <c r="N1360" s="30"/>
      <c r="O1360" s="71">
        <f t="shared" si="162"/>
        <v>0</v>
      </c>
      <c r="P1360" s="1070">
        <f t="shared" si="163"/>
        <v>0</v>
      </c>
      <c r="Q1360" s="1071">
        <f t="shared" si="164"/>
        <v>0</v>
      </c>
    </row>
    <row r="1361" spans="1:17" x14ac:dyDescent="0.2">
      <c r="A1361" s="30"/>
      <c r="B1361" s="162"/>
      <c r="C1361" s="259"/>
      <c r="D1361" s="267"/>
      <c r="E1361" s="35"/>
      <c r="F1361" s="151"/>
      <c r="G1361" s="263">
        <f t="shared" si="165"/>
        <v>0</v>
      </c>
      <c r="H1361" s="65"/>
      <c r="I1361" s="275">
        <f t="shared" si="161"/>
        <v>0</v>
      </c>
      <c r="J1361" s="161"/>
      <c r="K1361" s="30"/>
      <c r="L1361" s="30"/>
      <c r="M1361" s="30"/>
      <c r="N1361" s="30"/>
      <c r="O1361" s="71">
        <f t="shared" si="162"/>
        <v>0</v>
      </c>
      <c r="P1361" s="1070">
        <f t="shared" si="163"/>
        <v>0</v>
      </c>
      <c r="Q1361" s="1071">
        <f t="shared" si="164"/>
        <v>0</v>
      </c>
    </row>
    <row r="1362" spans="1:17" x14ac:dyDescent="0.2">
      <c r="A1362" s="30"/>
      <c r="B1362" s="162"/>
      <c r="C1362" s="259"/>
      <c r="D1362" s="267"/>
      <c r="E1362" s="35"/>
      <c r="F1362" s="151"/>
      <c r="G1362" s="263">
        <f t="shared" si="165"/>
        <v>0</v>
      </c>
      <c r="H1362" s="65"/>
      <c r="I1362" s="275">
        <f t="shared" si="161"/>
        <v>0</v>
      </c>
      <c r="J1362" s="161"/>
      <c r="K1362" s="30"/>
      <c r="L1362" s="30"/>
      <c r="M1362" s="30"/>
      <c r="N1362" s="30"/>
      <c r="O1362" s="71">
        <f t="shared" si="162"/>
        <v>0</v>
      </c>
      <c r="P1362" s="1070">
        <f t="shared" si="163"/>
        <v>0</v>
      </c>
      <c r="Q1362" s="1071">
        <f t="shared" si="164"/>
        <v>0</v>
      </c>
    </row>
    <row r="1363" spans="1:17" x14ac:dyDescent="0.2">
      <c r="A1363" s="30"/>
      <c r="B1363" s="162"/>
      <c r="C1363" s="259"/>
      <c r="D1363" s="267"/>
      <c r="E1363" s="35"/>
      <c r="F1363" s="151"/>
      <c r="G1363" s="263">
        <f t="shared" si="165"/>
        <v>0</v>
      </c>
      <c r="H1363" s="65"/>
      <c r="I1363" s="275">
        <f t="shared" si="161"/>
        <v>0</v>
      </c>
      <c r="J1363" s="161"/>
      <c r="K1363" s="30"/>
      <c r="L1363" s="30"/>
      <c r="M1363" s="30"/>
      <c r="N1363" s="30"/>
      <c r="O1363" s="71">
        <f t="shared" si="162"/>
        <v>0</v>
      </c>
      <c r="P1363" s="1070">
        <f t="shared" si="163"/>
        <v>0</v>
      </c>
      <c r="Q1363" s="1071">
        <f t="shared" si="164"/>
        <v>0</v>
      </c>
    </row>
    <row r="1364" spans="1:17" x14ac:dyDescent="0.2">
      <c r="A1364" s="30"/>
      <c r="B1364" s="162"/>
      <c r="C1364" s="259"/>
      <c r="D1364" s="267"/>
      <c r="E1364" s="35"/>
      <c r="F1364" s="151"/>
      <c r="G1364" s="263">
        <f t="shared" si="165"/>
        <v>0</v>
      </c>
      <c r="H1364" s="65"/>
      <c r="I1364" s="275">
        <f t="shared" si="161"/>
        <v>0</v>
      </c>
      <c r="J1364" s="161"/>
      <c r="K1364" s="30"/>
      <c r="L1364" s="30"/>
      <c r="M1364" s="30"/>
      <c r="N1364" s="30"/>
      <c r="O1364" s="71">
        <f t="shared" si="162"/>
        <v>0</v>
      </c>
      <c r="P1364" s="1070">
        <f t="shared" si="163"/>
        <v>0</v>
      </c>
      <c r="Q1364" s="1071">
        <f t="shared" si="164"/>
        <v>0</v>
      </c>
    </row>
    <row r="1365" spans="1:17" x14ac:dyDescent="0.2">
      <c r="A1365" s="30"/>
      <c r="B1365" s="162"/>
      <c r="C1365" s="259"/>
      <c r="D1365" s="267"/>
      <c r="E1365" s="35"/>
      <c r="F1365" s="151"/>
      <c r="G1365" s="263">
        <f t="shared" si="165"/>
        <v>0</v>
      </c>
      <c r="H1365" s="65"/>
      <c r="I1365" s="275">
        <f t="shared" si="161"/>
        <v>0</v>
      </c>
      <c r="J1365" s="161"/>
      <c r="K1365" s="30"/>
      <c r="L1365" s="30"/>
      <c r="M1365" s="30"/>
      <c r="N1365" s="30"/>
      <c r="O1365" s="71">
        <f t="shared" si="162"/>
        <v>0</v>
      </c>
      <c r="P1365" s="1070">
        <f t="shared" si="163"/>
        <v>0</v>
      </c>
      <c r="Q1365" s="1071">
        <f t="shared" si="164"/>
        <v>0</v>
      </c>
    </row>
    <row r="1366" spans="1:17" x14ac:dyDescent="0.2">
      <c r="A1366" s="30"/>
      <c r="B1366" s="162"/>
      <c r="C1366" s="259"/>
      <c r="D1366" s="267"/>
      <c r="E1366" s="35"/>
      <c r="F1366" s="151"/>
      <c r="G1366" s="263">
        <f t="shared" si="165"/>
        <v>0</v>
      </c>
      <c r="H1366" s="65"/>
      <c r="I1366" s="275">
        <f t="shared" si="161"/>
        <v>0</v>
      </c>
      <c r="J1366" s="161"/>
      <c r="K1366" s="30"/>
      <c r="L1366" s="30"/>
      <c r="M1366" s="30"/>
      <c r="N1366" s="30"/>
      <c r="O1366" s="71">
        <f t="shared" si="162"/>
        <v>0</v>
      </c>
      <c r="P1366" s="1070">
        <f t="shared" si="163"/>
        <v>0</v>
      </c>
      <c r="Q1366" s="1071">
        <f t="shared" si="164"/>
        <v>0</v>
      </c>
    </row>
    <row r="1367" spans="1:17" x14ac:dyDescent="0.2">
      <c r="A1367" s="30"/>
      <c r="B1367" s="162"/>
      <c r="C1367" s="259"/>
      <c r="D1367" s="267"/>
      <c r="E1367" s="35"/>
      <c r="F1367" s="151"/>
      <c r="G1367" s="263">
        <f t="shared" si="165"/>
        <v>0</v>
      </c>
      <c r="H1367" s="65"/>
      <c r="I1367" s="275">
        <f t="shared" si="161"/>
        <v>0</v>
      </c>
      <c r="J1367" s="161"/>
      <c r="K1367" s="30"/>
      <c r="L1367" s="30"/>
      <c r="M1367" s="30"/>
      <c r="N1367" s="30"/>
      <c r="O1367" s="71">
        <f t="shared" si="162"/>
        <v>0</v>
      </c>
      <c r="P1367" s="1070">
        <f t="shared" si="163"/>
        <v>0</v>
      </c>
      <c r="Q1367" s="1071">
        <f t="shared" si="164"/>
        <v>0</v>
      </c>
    </row>
    <row r="1368" spans="1:17" x14ac:dyDescent="0.2">
      <c r="A1368" s="30"/>
      <c r="B1368" s="162"/>
      <c r="C1368" s="259"/>
      <c r="D1368" s="267"/>
      <c r="E1368" s="35"/>
      <c r="F1368" s="151"/>
      <c r="G1368" s="263">
        <f t="shared" si="165"/>
        <v>0</v>
      </c>
      <c r="H1368" s="65"/>
      <c r="I1368" s="275">
        <f t="shared" si="161"/>
        <v>0</v>
      </c>
      <c r="J1368" s="161"/>
      <c r="K1368" s="30"/>
      <c r="L1368" s="30"/>
      <c r="M1368" s="30"/>
      <c r="N1368" s="30"/>
      <c r="O1368" s="71">
        <f t="shared" si="162"/>
        <v>0</v>
      </c>
      <c r="P1368" s="1070">
        <f t="shared" si="163"/>
        <v>0</v>
      </c>
      <c r="Q1368" s="1071">
        <f t="shared" si="164"/>
        <v>0</v>
      </c>
    </row>
    <row r="1369" spans="1:17" x14ac:dyDescent="0.2">
      <c r="A1369" s="30"/>
      <c r="B1369" s="162"/>
      <c r="C1369" s="259"/>
      <c r="D1369" s="267"/>
      <c r="E1369" s="35"/>
      <c r="F1369" s="151"/>
      <c r="G1369" s="263">
        <f t="shared" si="165"/>
        <v>0</v>
      </c>
      <c r="H1369" s="65"/>
      <c r="I1369" s="275">
        <f t="shared" si="161"/>
        <v>0</v>
      </c>
      <c r="J1369" s="161"/>
      <c r="K1369" s="30"/>
      <c r="L1369" s="30"/>
      <c r="M1369" s="30"/>
      <c r="N1369" s="30"/>
      <c r="O1369" s="71">
        <f t="shared" si="162"/>
        <v>0</v>
      </c>
      <c r="P1369" s="1070">
        <f t="shared" si="163"/>
        <v>0</v>
      </c>
      <c r="Q1369" s="1071">
        <f t="shared" si="164"/>
        <v>0</v>
      </c>
    </row>
    <row r="1370" spans="1:17" x14ac:dyDescent="0.2">
      <c r="A1370" s="30"/>
      <c r="B1370" s="162"/>
      <c r="C1370" s="259"/>
      <c r="D1370" s="267"/>
      <c r="E1370" s="35"/>
      <c r="F1370" s="151"/>
      <c r="G1370" s="263">
        <f t="shared" si="165"/>
        <v>0</v>
      </c>
      <c r="H1370" s="65"/>
      <c r="I1370" s="275">
        <f t="shared" si="161"/>
        <v>0</v>
      </c>
      <c r="J1370" s="161"/>
      <c r="K1370" s="30"/>
      <c r="L1370" s="30"/>
      <c r="M1370" s="30"/>
      <c r="N1370" s="30"/>
      <c r="O1370" s="71">
        <f t="shared" si="162"/>
        <v>0</v>
      </c>
      <c r="P1370" s="1070">
        <f t="shared" si="163"/>
        <v>0</v>
      </c>
      <c r="Q1370" s="1071">
        <f t="shared" si="164"/>
        <v>0</v>
      </c>
    </row>
    <row r="1371" spans="1:17" x14ac:dyDescent="0.2">
      <c r="A1371" s="30"/>
      <c r="B1371" s="162"/>
      <c r="C1371" s="259"/>
      <c r="D1371" s="267"/>
      <c r="E1371" s="35"/>
      <c r="F1371" s="151"/>
      <c r="G1371" s="263">
        <f t="shared" si="165"/>
        <v>0</v>
      </c>
      <c r="H1371" s="65"/>
      <c r="I1371" s="275">
        <f t="shared" si="161"/>
        <v>0</v>
      </c>
      <c r="J1371" s="161"/>
      <c r="K1371" s="30"/>
      <c r="L1371" s="30"/>
      <c r="M1371" s="30"/>
      <c r="N1371" s="30"/>
      <c r="O1371" s="71">
        <f t="shared" si="162"/>
        <v>0</v>
      </c>
      <c r="P1371" s="1070">
        <f t="shared" si="163"/>
        <v>0</v>
      </c>
      <c r="Q1371" s="1071">
        <f t="shared" si="164"/>
        <v>0</v>
      </c>
    </row>
    <row r="1372" spans="1:17" x14ac:dyDescent="0.2">
      <c r="A1372" s="30"/>
      <c r="B1372" s="162"/>
      <c r="C1372" s="259"/>
      <c r="D1372" s="267"/>
      <c r="E1372" s="35"/>
      <c r="F1372" s="151"/>
      <c r="G1372" s="263">
        <f t="shared" si="165"/>
        <v>0</v>
      </c>
      <c r="H1372" s="65"/>
      <c r="I1372" s="275">
        <f t="shared" si="161"/>
        <v>0</v>
      </c>
      <c r="J1372" s="161"/>
      <c r="K1372" s="30"/>
      <c r="L1372" s="30"/>
      <c r="M1372" s="30"/>
      <c r="N1372" s="30"/>
      <c r="O1372" s="71">
        <f t="shared" si="162"/>
        <v>0</v>
      </c>
      <c r="P1372" s="1070">
        <f t="shared" si="163"/>
        <v>0</v>
      </c>
      <c r="Q1372" s="1071">
        <f t="shared" si="164"/>
        <v>0</v>
      </c>
    </row>
    <row r="1373" spans="1:17" x14ac:dyDescent="0.2">
      <c r="A1373" s="30"/>
      <c r="B1373" s="162"/>
      <c r="C1373" s="259"/>
      <c r="D1373" s="267"/>
      <c r="E1373" s="35"/>
      <c r="F1373" s="151"/>
      <c r="G1373" s="263">
        <f t="shared" si="165"/>
        <v>0</v>
      </c>
      <c r="H1373" s="65"/>
      <c r="I1373" s="275">
        <f t="shared" si="161"/>
        <v>0</v>
      </c>
      <c r="J1373" s="161"/>
      <c r="K1373" s="30"/>
      <c r="L1373" s="30"/>
      <c r="M1373" s="30"/>
      <c r="N1373" s="30"/>
      <c r="O1373" s="71">
        <f t="shared" si="162"/>
        <v>0</v>
      </c>
      <c r="P1373" s="1070">
        <f t="shared" si="163"/>
        <v>0</v>
      </c>
      <c r="Q1373" s="1071">
        <f t="shared" si="164"/>
        <v>0</v>
      </c>
    </row>
    <row r="1374" spans="1:17" x14ac:dyDescent="0.2">
      <c r="A1374" s="30"/>
      <c r="B1374" s="162"/>
      <c r="C1374" s="259"/>
      <c r="D1374" s="267"/>
      <c r="E1374" s="35"/>
      <c r="F1374" s="151"/>
      <c r="G1374" s="263">
        <f t="shared" si="165"/>
        <v>0</v>
      </c>
      <c r="H1374" s="65"/>
      <c r="I1374" s="275">
        <f t="shared" si="161"/>
        <v>0</v>
      </c>
      <c r="J1374" s="161"/>
      <c r="K1374" s="30"/>
      <c r="L1374" s="30"/>
      <c r="M1374" s="30"/>
      <c r="N1374" s="30"/>
      <c r="O1374" s="71">
        <f t="shared" si="162"/>
        <v>0</v>
      </c>
      <c r="P1374" s="1070">
        <f t="shared" si="163"/>
        <v>0</v>
      </c>
      <c r="Q1374" s="1071">
        <f t="shared" ref="Q1374:Q1393" si="166">IF($F1374=$Q$43,$I1374,0)</f>
        <v>0</v>
      </c>
    </row>
    <row r="1375" spans="1:17" x14ac:dyDescent="0.2">
      <c r="A1375" s="30"/>
      <c r="B1375" s="162"/>
      <c r="C1375" s="259"/>
      <c r="D1375" s="267"/>
      <c r="E1375" s="35"/>
      <c r="F1375" s="151"/>
      <c r="G1375" s="263">
        <f t="shared" si="165"/>
        <v>0</v>
      </c>
      <c r="H1375" s="65"/>
      <c r="I1375" s="275">
        <f t="shared" si="161"/>
        <v>0</v>
      </c>
      <c r="J1375" s="161"/>
      <c r="K1375" s="30"/>
      <c r="L1375" s="30"/>
      <c r="M1375" s="30"/>
      <c r="N1375" s="30"/>
      <c r="O1375" s="71">
        <f t="shared" si="162"/>
        <v>0</v>
      </c>
      <c r="P1375" s="1070">
        <f t="shared" ref="P1375:P1393" si="167">IF($F1375=$Q$42,$I1375,0)</f>
        <v>0</v>
      </c>
      <c r="Q1375" s="1071">
        <f t="shared" si="166"/>
        <v>0</v>
      </c>
    </row>
    <row r="1376" spans="1:17" x14ac:dyDescent="0.2">
      <c r="A1376" s="30"/>
      <c r="B1376" s="162"/>
      <c r="C1376" s="259"/>
      <c r="D1376" s="267"/>
      <c r="E1376" s="35"/>
      <c r="F1376" s="151"/>
      <c r="G1376" s="263">
        <f t="shared" si="165"/>
        <v>0</v>
      </c>
      <c r="H1376" s="65"/>
      <c r="I1376" s="275">
        <f t="shared" si="161"/>
        <v>0</v>
      </c>
      <c r="J1376" s="161"/>
      <c r="K1376" s="30"/>
      <c r="L1376" s="30"/>
      <c r="M1376" s="30"/>
      <c r="N1376" s="30"/>
      <c r="O1376" s="71">
        <f t="shared" si="162"/>
        <v>0</v>
      </c>
      <c r="P1376" s="1070">
        <f t="shared" si="167"/>
        <v>0</v>
      </c>
      <c r="Q1376" s="1071">
        <f t="shared" si="166"/>
        <v>0</v>
      </c>
    </row>
    <row r="1377" spans="1:17" x14ac:dyDescent="0.2">
      <c r="A1377" s="30"/>
      <c r="B1377" s="162"/>
      <c r="C1377" s="259"/>
      <c r="D1377" s="267"/>
      <c r="E1377" s="35"/>
      <c r="F1377" s="151"/>
      <c r="G1377" s="263">
        <f t="shared" si="165"/>
        <v>0</v>
      </c>
      <c r="H1377" s="65"/>
      <c r="I1377" s="275">
        <f t="shared" si="161"/>
        <v>0</v>
      </c>
      <c r="J1377" s="161"/>
      <c r="K1377" s="30"/>
      <c r="L1377" s="30"/>
      <c r="M1377" s="30"/>
      <c r="N1377" s="30"/>
      <c r="O1377" s="71">
        <f t="shared" si="162"/>
        <v>0</v>
      </c>
      <c r="P1377" s="1070">
        <f t="shared" si="167"/>
        <v>0</v>
      </c>
      <c r="Q1377" s="1071">
        <f t="shared" si="166"/>
        <v>0</v>
      </c>
    </row>
    <row r="1378" spans="1:17" x14ac:dyDescent="0.2">
      <c r="A1378" s="30"/>
      <c r="B1378" s="162"/>
      <c r="C1378" s="259"/>
      <c r="D1378" s="267"/>
      <c r="E1378" s="35"/>
      <c r="F1378" s="151"/>
      <c r="G1378" s="263">
        <f t="shared" si="165"/>
        <v>0</v>
      </c>
      <c r="H1378" s="65"/>
      <c r="I1378" s="275">
        <f t="shared" si="161"/>
        <v>0</v>
      </c>
      <c r="J1378" s="161"/>
      <c r="K1378" s="30"/>
      <c r="L1378" s="30"/>
      <c r="M1378" s="30"/>
      <c r="N1378" s="30"/>
      <c r="O1378" s="71">
        <f t="shared" si="162"/>
        <v>0</v>
      </c>
      <c r="P1378" s="1070">
        <f t="shared" si="167"/>
        <v>0</v>
      </c>
      <c r="Q1378" s="1071">
        <f t="shared" si="166"/>
        <v>0</v>
      </c>
    </row>
    <row r="1379" spans="1:17" x14ac:dyDescent="0.2">
      <c r="A1379" s="30"/>
      <c r="B1379" s="162"/>
      <c r="C1379" s="259"/>
      <c r="D1379" s="267"/>
      <c r="E1379" s="35"/>
      <c r="F1379" s="151"/>
      <c r="G1379" s="263">
        <f t="shared" si="165"/>
        <v>0</v>
      </c>
      <c r="H1379" s="65"/>
      <c r="I1379" s="275">
        <f t="shared" si="161"/>
        <v>0</v>
      </c>
      <c r="J1379" s="161"/>
      <c r="K1379" s="30"/>
      <c r="L1379" s="30"/>
      <c r="M1379" s="30"/>
      <c r="N1379" s="30"/>
      <c r="O1379" s="71">
        <f t="shared" si="162"/>
        <v>0</v>
      </c>
      <c r="P1379" s="1070">
        <f t="shared" si="167"/>
        <v>0</v>
      </c>
      <c r="Q1379" s="1071">
        <f t="shared" si="166"/>
        <v>0</v>
      </c>
    </row>
    <row r="1380" spans="1:17" x14ac:dyDescent="0.2">
      <c r="A1380" s="30"/>
      <c r="B1380" s="162"/>
      <c r="C1380" s="259"/>
      <c r="D1380" s="267"/>
      <c r="E1380" s="35"/>
      <c r="F1380" s="151"/>
      <c r="G1380" s="263">
        <f t="shared" si="165"/>
        <v>0</v>
      </c>
      <c r="H1380" s="65"/>
      <c r="I1380" s="275">
        <f t="shared" si="161"/>
        <v>0</v>
      </c>
      <c r="J1380" s="161"/>
      <c r="K1380" s="30"/>
      <c r="L1380" s="30"/>
      <c r="M1380" s="30"/>
      <c r="N1380" s="30"/>
      <c r="O1380" s="71">
        <f t="shared" si="162"/>
        <v>0</v>
      </c>
      <c r="P1380" s="1070">
        <f t="shared" si="167"/>
        <v>0</v>
      </c>
      <c r="Q1380" s="1071">
        <f t="shared" si="166"/>
        <v>0</v>
      </c>
    </row>
    <row r="1381" spans="1:17" x14ac:dyDescent="0.2">
      <c r="A1381" s="30"/>
      <c r="B1381" s="162"/>
      <c r="C1381" s="259"/>
      <c r="D1381" s="267"/>
      <c r="E1381" s="35"/>
      <c r="F1381" s="151"/>
      <c r="G1381" s="263">
        <f t="shared" si="165"/>
        <v>0</v>
      </c>
      <c r="H1381" s="65"/>
      <c r="I1381" s="275">
        <f t="shared" si="161"/>
        <v>0</v>
      </c>
      <c r="J1381" s="161"/>
      <c r="K1381" s="30"/>
      <c r="L1381" s="30"/>
      <c r="M1381" s="30"/>
      <c r="N1381" s="30"/>
      <c r="O1381" s="71">
        <f t="shared" si="162"/>
        <v>0</v>
      </c>
      <c r="P1381" s="1070">
        <f t="shared" si="167"/>
        <v>0</v>
      </c>
      <c r="Q1381" s="1071">
        <f t="shared" si="166"/>
        <v>0</v>
      </c>
    </row>
    <row r="1382" spans="1:17" x14ac:dyDescent="0.2">
      <c r="A1382" s="30"/>
      <c r="B1382" s="162"/>
      <c r="C1382" s="259"/>
      <c r="D1382" s="267"/>
      <c r="E1382" s="35"/>
      <c r="F1382" s="151"/>
      <c r="G1382" s="263">
        <f t="shared" si="165"/>
        <v>0</v>
      </c>
      <c r="H1382" s="65"/>
      <c r="I1382" s="275">
        <f t="shared" si="161"/>
        <v>0</v>
      </c>
      <c r="J1382" s="161"/>
      <c r="K1382" s="30"/>
      <c r="L1382" s="30"/>
      <c r="M1382" s="30"/>
      <c r="N1382" s="30"/>
      <c r="O1382" s="71">
        <f t="shared" si="162"/>
        <v>0</v>
      </c>
      <c r="P1382" s="1070">
        <f t="shared" si="167"/>
        <v>0</v>
      </c>
      <c r="Q1382" s="1071">
        <f t="shared" si="166"/>
        <v>0</v>
      </c>
    </row>
    <row r="1383" spans="1:17" x14ac:dyDescent="0.2">
      <c r="A1383" s="30"/>
      <c r="B1383" s="162"/>
      <c r="C1383" s="259"/>
      <c r="D1383" s="267"/>
      <c r="E1383" s="35"/>
      <c r="F1383" s="151"/>
      <c r="G1383" s="263">
        <f t="shared" si="165"/>
        <v>0</v>
      </c>
      <c r="H1383" s="65"/>
      <c r="I1383" s="275">
        <f t="shared" si="161"/>
        <v>0</v>
      </c>
      <c r="J1383" s="161"/>
      <c r="K1383" s="30"/>
      <c r="L1383" s="30"/>
      <c r="M1383" s="30"/>
      <c r="N1383" s="30"/>
      <c r="O1383" s="71">
        <f t="shared" si="162"/>
        <v>0</v>
      </c>
      <c r="P1383" s="1070">
        <f t="shared" si="167"/>
        <v>0</v>
      </c>
      <c r="Q1383" s="1071">
        <f t="shared" si="166"/>
        <v>0</v>
      </c>
    </row>
    <row r="1384" spans="1:17" x14ac:dyDescent="0.2">
      <c r="A1384" s="30"/>
      <c r="B1384" s="162"/>
      <c r="C1384" s="259"/>
      <c r="D1384" s="267"/>
      <c r="E1384" s="35"/>
      <c r="F1384" s="151"/>
      <c r="G1384" s="263">
        <f t="shared" si="165"/>
        <v>0</v>
      </c>
      <c r="H1384" s="65"/>
      <c r="I1384" s="275">
        <f t="shared" si="161"/>
        <v>0</v>
      </c>
      <c r="J1384" s="161"/>
      <c r="K1384" s="30"/>
      <c r="L1384" s="30"/>
      <c r="M1384" s="30"/>
      <c r="N1384" s="30"/>
      <c r="O1384" s="71">
        <f t="shared" si="162"/>
        <v>0</v>
      </c>
      <c r="P1384" s="1070">
        <f t="shared" si="167"/>
        <v>0</v>
      </c>
      <c r="Q1384" s="1071">
        <f t="shared" si="166"/>
        <v>0</v>
      </c>
    </row>
    <row r="1385" spans="1:17" x14ac:dyDescent="0.2">
      <c r="A1385" s="30"/>
      <c r="B1385" s="162"/>
      <c r="C1385" s="259"/>
      <c r="D1385" s="267"/>
      <c r="E1385" s="35"/>
      <c r="F1385" s="151"/>
      <c r="G1385" s="263">
        <f t="shared" si="165"/>
        <v>0</v>
      </c>
      <c r="H1385" s="65"/>
      <c r="I1385" s="275">
        <f t="shared" si="161"/>
        <v>0</v>
      </c>
      <c r="J1385" s="161"/>
      <c r="K1385" s="30"/>
      <c r="L1385" s="30"/>
      <c r="M1385" s="30"/>
      <c r="N1385" s="30"/>
      <c r="O1385" s="71">
        <f t="shared" si="162"/>
        <v>0</v>
      </c>
      <c r="P1385" s="1070">
        <f t="shared" si="167"/>
        <v>0</v>
      </c>
      <c r="Q1385" s="1071">
        <f t="shared" si="166"/>
        <v>0</v>
      </c>
    </row>
    <row r="1386" spans="1:17" x14ac:dyDescent="0.2">
      <c r="A1386" s="30"/>
      <c r="B1386" s="162"/>
      <c r="C1386" s="259"/>
      <c r="D1386" s="267"/>
      <c r="E1386" s="35"/>
      <c r="F1386" s="151"/>
      <c r="G1386" s="263">
        <f t="shared" si="165"/>
        <v>0</v>
      </c>
      <c r="H1386" s="65"/>
      <c r="I1386" s="275">
        <f t="shared" si="161"/>
        <v>0</v>
      </c>
      <c r="J1386" s="161"/>
      <c r="K1386" s="30"/>
      <c r="L1386" s="30"/>
      <c r="M1386" s="30"/>
      <c r="N1386" s="30"/>
      <c r="O1386" s="71">
        <f t="shared" si="162"/>
        <v>0</v>
      </c>
      <c r="P1386" s="1070">
        <f t="shared" si="167"/>
        <v>0</v>
      </c>
      <c r="Q1386" s="1071">
        <f t="shared" si="166"/>
        <v>0</v>
      </c>
    </row>
    <row r="1387" spans="1:17" x14ac:dyDescent="0.2">
      <c r="A1387" s="30"/>
      <c r="B1387" s="162"/>
      <c r="C1387" s="259"/>
      <c r="D1387" s="267"/>
      <c r="E1387" s="35"/>
      <c r="F1387" s="151"/>
      <c r="G1387" s="263">
        <f t="shared" si="165"/>
        <v>0</v>
      </c>
      <c r="H1387" s="65"/>
      <c r="I1387" s="275">
        <f t="shared" si="161"/>
        <v>0</v>
      </c>
      <c r="J1387" s="161"/>
      <c r="K1387" s="30"/>
      <c r="L1387" s="30"/>
      <c r="M1387" s="30"/>
      <c r="N1387" s="30"/>
      <c r="O1387" s="71">
        <f t="shared" si="162"/>
        <v>0</v>
      </c>
      <c r="P1387" s="1070">
        <f t="shared" si="167"/>
        <v>0</v>
      </c>
      <c r="Q1387" s="1071">
        <f t="shared" si="166"/>
        <v>0</v>
      </c>
    </row>
    <row r="1388" spans="1:17" x14ac:dyDescent="0.2">
      <c r="A1388" s="30"/>
      <c r="B1388" s="162"/>
      <c r="C1388" s="259"/>
      <c r="D1388" s="267"/>
      <c r="E1388" s="35"/>
      <c r="F1388" s="151"/>
      <c r="G1388" s="263">
        <f t="shared" si="165"/>
        <v>0</v>
      </c>
      <c r="H1388" s="65"/>
      <c r="I1388" s="275">
        <f t="shared" si="161"/>
        <v>0</v>
      </c>
      <c r="J1388" s="161"/>
      <c r="K1388" s="30"/>
      <c r="L1388" s="30"/>
      <c r="M1388" s="30"/>
      <c r="N1388" s="30"/>
      <c r="O1388" s="71">
        <f t="shared" si="162"/>
        <v>0</v>
      </c>
      <c r="P1388" s="1070">
        <f t="shared" si="167"/>
        <v>0</v>
      </c>
      <c r="Q1388" s="1071">
        <f t="shared" si="166"/>
        <v>0</v>
      </c>
    </row>
    <row r="1389" spans="1:17" x14ac:dyDescent="0.2">
      <c r="A1389" s="30"/>
      <c r="B1389" s="162"/>
      <c r="C1389" s="259"/>
      <c r="D1389" s="267"/>
      <c r="E1389" s="35"/>
      <c r="F1389" s="151"/>
      <c r="G1389" s="263">
        <f t="shared" si="165"/>
        <v>0</v>
      </c>
      <c r="H1389" s="65"/>
      <c r="I1389" s="275">
        <f t="shared" si="161"/>
        <v>0</v>
      </c>
      <c r="J1389" s="161"/>
      <c r="K1389" s="30"/>
      <c r="L1389" s="30"/>
      <c r="M1389" s="30"/>
      <c r="N1389" s="30"/>
      <c r="O1389" s="71">
        <f t="shared" si="162"/>
        <v>0</v>
      </c>
      <c r="P1389" s="1070">
        <f t="shared" si="167"/>
        <v>0</v>
      </c>
      <c r="Q1389" s="1071">
        <f t="shared" si="166"/>
        <v>0</v>
      </c>
    </row>
    <row r="1390" spans="1:17" x14ac:dyDescent="0.2">
      <c r="A1390" s="30"/>
      <c r="B1390" s="162"/>
      <c r="C1390" s="259"/>
      <c r="D1390" s="267"/>
      <c r="E1390" s="35"/>
      <c r="F1390" s="151"/>
      <c r="G1390" s="263">
        <f t="shared" si="165"/>
        <v>0</v>
      </c>
      <c r="H1390" s="65"/>
      <c r="I1390" s="275">
        <f t="shared" si="161"/>
        <v>0</v>
      </c>
      <c r="J1390" s="161"/>
      <c r="K1390" s="30"/>
      <c r="L1390" s="30"/>
      <c r="M1390" s="30"/>
      <c r="N1390" s="30"/>
      <c r="O1390" s="71">
        <f t="shared" si="162"/>
        <v>0</v>
      </c>
      <c r="P1390" s="1070">
        <f t="shared" si="167"/>
        <v>0</v>
      </c>
      <c r="Q1390" s="1071">
        <f t="shared" si="166"/>
        <v>0</v>
      </c>
    </row>
    <row r="1391" spans="1:17" x14ac:dyDescent="0.2">
      <c r="A1391" s="30"/>
      <c r="B1391" s="162"/>
      <c r="C1391" s="259"/>
      <c r="D1391" s="267"/>
      <c r="E1391" s="35"/>
      <c r="F1391" s="151"/>
      <c r="G1391" s="263">
        <f t="shared" si="165"/>
        <v>0</v>
      </c>
      <c r="H1391" s="65"/>
      <c r="I1391" s="275">
        <f t="shared" si="161"/>
        <v>0</v>
      </c>
      <c r="J1391" s="161"/>
      <c r="K1391" s="30"/>
      <c r="L1391" s="30"/>
      <c r="M1391" s="30"/>
      <c r="N1391" s="30"/>
      <c r="O1391" s="71">
        <f t="shared" si="162"/>
        <v>0</v>
      </c>
      <c r="P1391" s="1070">
        <f t="shared" si="167"/>
        <v>0</v>
      </c>
      <c r="Q1391" s="1071">
        <f t="shared" si="166"/>
        <v>0</v>
      </c>
    </row>
    <row r="1392" spans="1:17" x14ac:dyDescent="0.2">
      <c r="A1392" s="30"/>
      <c r="B1392" s="162"/>
      <c r="C1392" s="259"/>
      <c r="D1392" s="267"/>
      <c r="E1392" s="35"/>
      <c r="F1392" s="151"/>
      <c r="G1392" s="263">
        <f t="shared" si="165"/>
        <v>0</v>
      </c>
      <c r="H1392" s="65"/>
      <c r="I1392" s="275">
        <f t="shared" si="161"/>
        <v>0</v>
      </c>
      <c r="J1392" s="161"/>
      <c r="K1392" s="30"/>
      <c r="L1392" s="30"/>
      <c r="M1392" s="30"/>
      <c r="N1392" s="30"/>
      <c r="O1392" s="71">
        <f t="shared" si="162"/>
        <v>0</v>
      </c>
      <c r="P1392" s="1070">
        <f t="shared" si="167"/>
        <v>0</v>
      </c>
      <c r="Q1392" s="1071">
        <f t="shared" si="166"/>
        <v>0</v>
      </c>
    </row>
    <row r="1393" spans="1:17" ht="13.5" thickBot="1" x14ac:dyDescent="0.25">
      <c r="A1393" s="30"/>
      <c r="B1393" s="163"/>
      <c r="C1393" s="260"/>
      <c r="D1393" s="268"/>
      <c r="E1393" s="24"/>
      <c r="F1393" s="25"/>
      <c r="G1393" s="264">
        <f t="shared" si="165"/>
        <v>0</v>
      </c>
      <c r="H1393" s="272"/>
      <c r="I1393" s="276">
        <f t="shared" si="161"/>
        <v>0</v>
      </c>
      <c r="J1393" s="161"/>
      <c r="K1393" s="30"/>
      <c r="L1393" s="30"/>
      <c r="M1393" s="30"/>
      <c r="N1393" s="30"/>
      <c r="O1393" s="71">
        <f t="shared" si="162"/>
        <v>0</v>
      </c>
      <c r="P1393" s="1070">
        <f t="shared" si="167"/>
        <v>0</v>
      </c>
      <c r="Q1393" s="1071">
        <f t="shared" si="166"/>
        <v>0</v>
      </c>
    </row>
    <row r="1394" spans="1:17" ht="6.75" customHeight="1" thickBot="1" x14ac:dyDescent="0.25">
      <c r="A1394" s="30"/>
      <c r="B1394" s="155"/>
      <c r="C1394" s="155"/>
      <c r="D1394" s="155"/>
      <c r="E1394" s="155"/>
      <c r="F1394" s="155"/>
      <c r="G1394" s="155"/>
      <c r="H1394" s="155"/>
      <c r="I1394" s="155"/>
      <c r="J1394" s="155"/>
      <c r="K1394" s="30"/>
      <c r="L1394" s="30"/>
      <c r="M1394" s="30"/>
      <c r="N1394" s="30"/>
      <c r="O1394" s="812">
        <f>SUM(O1342:O1393)</f>
        <v>0</v>
      </c>
      <c r="P1394" s="1075">
        <f>SUM(P1342:P1393)</f>
        <v>0</v>
      </c>
      <c r="Q1394" s="813">
        <f>SUM(Q1342:Q1393)</f>
        <v>0</v>
      </c>
    </row>
    <row r="1395" spans="1:17" ht="50.1" customHeight="1" x14ac:dyDescent="0.2">
      <c r="A1395" s="30"/>
      <c r="B1395" s="155"/>
      <c r="C1395" s="155"/>
      <c r="D1395" s="155"/>
      <c r="E1395" s="155"/>
      <c r="F1395" s="155"/>
      <c r="G1395" s="155"/>
      <c r="H1395" s="155"/>
      <c r="I1395" s="155"/>
      <c r="J1395" s="155"/>
      <c r="K1395" s="30"/>
      <c r="L1395" s="30"/>
      <c r="M1395" s="30"/>
      <c r="N1395" s="30"/>
      <c r="O1395" s="30"/>
      <c r="P1395" s="30"/>
    </row>
    <row r="1396" spans="1:17" ht="18" x14ac:dyDescent="0.2">
      <c r="A1396" s="1224" t="str">
        <f>UPPER("Patching Summary Table")</f>
        <v>PATCHING SUMMARY TABLE</v>
      </c>
      <c r="B1396" s="1224"/>
      <c r="C1396" s="1224"/>
      <c r="D1396" s="1224"/>
      <c r="E1396" s="1224"/>
      <c r="F1396" s="1224"/>
      <c r="G1396" s="1224"/>
      <c r="H1396" s="1224"/>
      <c r="I1396" s="1224"/>
      <c r="J1396" s="1224"/>
      <c r="K1396" s="30"/>
      <c r="L1396" s="30"/>
      <c r="M1396" s="30"/>
      <c r="N1396" s="30"/>
      <c r="O1396" s="30"/>
      <c r="P1396" s="30"/>
    </row>
    <row r="1397" spans="1:17" ht="8.25" customHeight="1" thickBot="1" x14ac:dyDescent="0.25">
      <c r="A1397" s="30"/>
      <c r="B1397" s="31"/>
      <c r="C1397" s="31"/>
      <c r="D1397" s="31"/>
      <c r="E1397" s="31"/>
      <c r="F1397" s="31"/>
      <c r="G1397" s="31"/>
      <c r="H1397" s="31"/>
      <c r="I1397" s="31"/>
      <c r="J1397" s="31"/>
      <c r="K1397" s="30"/>
      <c r="L1397" s="30"/>
      <c r="M1397" s="30"/>
      <c r="N1397" s="30"/>
      <c r="O1397" s="30"/>
      <c r="P1397" s="30"/>
    </row>
    <row r="1398" spans="1:17" x14ac:dyDescent="0.2">
      <c r="A1398" s="30"/>
      <c r="B1398" s="1310" t="s">
        <v>2</v>
      </c>
      <c r="C1398" s="1319" t="s">
        <v>3</v>
      </c>
      <c r="D1398" s="1310" t="s">
        <v>39</v>
      </c>
      <c r="E1398" s="1308" t="s">
        <v>4</v>
      </c>
      <c r="F1398" s="1223" t="s">
        <v>535</v>
      </c>
      <c r="G1398" s="261" t="s">
        <v>129</v>
      </c>
      <c r="H1398" s="269" t="s">
        <v>102</v>
      </c>
      <c r="I1398" s="152" t="s">
        <v>209</v>
      </c>
      <c r="J1398" s="31"/>
      <c r="K1398" s="30"/>
      <c r="L1398" s="30"/>
      <c r="M1398" s="30"/>
      <c r="N1398" s="30"/>
      <c r="O1398" s="1159" t="s">
        <v>537</v>
      </c>
      <c r="P1398" s="1305"/>
      <c r="Q1398" s="1306"/>
    </row>
    <row r="1399" spans="1:17" ht="13.5" thickBot="1" x14ac:dyDescent="0.25">
      <c r="A1399" s="30"/>
      <c r="B1399" s="1285"/>
      <c r="C1399" s="1320"/>
      <c r="D1399" s="1285"/>
      <c r="E1399" s="1227"/>
      <c r="F1399" s="1242"/>
      <c r="G1399" s="262" t="s">
        <v>100</v>
      </c>
      <c r="H1399" s="270" t="s">
        <v>100</v>
      </c>
      <c r="I1399" s="273" t="s">
        <v>210</v>
      </c>
      <c r="J1399" s="31"/>
      <c r="K1399" s="30"/>
      <c r="L1399" s="30"/>
      <c r="M1399" s="30"/>
      <c r="N1399" s="30"/>
      <c r="O1399" s="41" t="str">
        <f>$Q$41</f>
        <v>Partial</v>
      </c>
      <c r="P1399" s="42" t="str">
        <f>$Q$42</f>
        <v>Full ( HMA)</v>
      </c>
      <c r="Q1399" s="43" t="str">
        <f>$Q$43</f>
        <v>Full (Composite)</v>
      </c>
    </row>
    <row r="1400" spans="1:17" x14ac:dyDescent="0.2">
      <c r="A1400" s="30"/>
      <c r="B1400" s="159"/>
      <c r="C1400" s="258"/>
      <c r="D1400" s="265"/>
      <c r="E1400" s="160"/>
      <c r="F1400" s="266"/>
      <c r="G1400" s="263">
        <f>ABS(C1400-B1400)</f>
        <v>0</v>
      </c>
      <c r="H1400" s="271"/>
      <c r="I1400" s="274">
        <f t="shared" ref="I1400:I1451" si="168">ROUNDUP((G1400*H1400)/9,0)</f>
        <v>0</v>
      </c>
      <c r="J1400" s="161"/>
      <c r="K1400" s="30"/>
      <c r="L1400" s="30"/>
      <c r="M1400" s="30"/>
      <c r="N1400" s="30"/>
      <c r="O1400" s="54">
        <f t="shared" ref="O1400:O1451" si="169">IF($F1400=$Q$41,$I1400,0)</f>
        <v>0</v>
      </c>
      <c r="P1400" s="1069">
        <f t="shared" ref="P1400:P1432" si="170">IF($F1400=$Q$42,$I1400,0)</f>
        <v>0</v>
      </c>
      <c r="Q1400" s="811">
        <f t="shared" ref="Q1400:Q1431" si="171">IF($F1400=$Q$43,$I1400,0)</f>
        <v>0</v>
      </c>
    </row>
    <row r="1401" spans="1:17" x14ac:dyDescent="0.2">
      <c r="A1401" s="30"/>
      <c r="B1401" s="162"/>
      <c r="C1401" s="259"/>
      <c r="D1401" s="267"/>
      <c r="E1401" s="35"/>
      <c r="F1401" s="151"/>
      <c r="G1401" s="263">
        <f t="shared" ref="G1401:G1451" si="172">ABS(C1401-B1401)</f>
        <v>0</v>
      </c>
      <c r="H1401" s="65"/>
      <c r="I1401" s="275">
        <f t="shared" si="168"/>
        <v>0</v>
      </c>
      <c r="J1401" s="161"/>
      <c r="K1401" s="30"/>
      <c r="L1401" s="30"/>
      <c r="M1401" s="30"/>
      <c r="N1401" s="30"/>
      <c r="O1401" s="71">
        <f t="shared" si="169"/>
        <v>0</v>
      </c>
      <c r="P1401" s="1070">
        <f t="shared" si="170"/>
        <v>0</v>
      </c>
      <c r="Q1401" s="1071">
        <f t="shared" si="171"/>
        <v>0</v>
      </c>
    </row>
    <row r="1402" spans="1:17" x14ac:dyDescent="0.2">
      <c r="A1402" s="30"/>
      <c r="B1402" s="162"/>
      <c r="C1402" s="259"/>
      <c r="D1402" s="267"/>
      <c r="E1402" s="35"/>
      <c r="F1402" s="151"/>
      <c r="G1402" s="263">
        <f t="shared" si="172"/>
        <v>0</v>
      </c>
      <c r="H1402" s="65"/>
      <c r="I1402" s="275">
        <f t="shared" si="168"/>
        <v>0</v>
      </c>
      <c r="J1402" s="161"/>
      <c r="K1402" s="30"/>
      <c r="L1402" s="30"/>
      <c r="M1402" s="30"/>
      <c r="N1402" s="30"/>
      <c r="O1402" s="71">
        <f t="shared" si="169"/>
        <v>0</v>
      </c>
      <c r="P1402" s="1070">
        <f t="shared" si="170"/>
        <v>0</v>
      </c>
      <c r="Q1402" s="1071">
        <f t="shared" si="171"/>
        <v>0</v>
      </c>
    </row>
    <row r="1403" spans="1:17" x14ac:dyDescent="0.2">
      <c r="A1403" s="30"/>
      <c r="B1403" s="162"/>
      <c r="C1403" s="259"/>
      <c r="D1403" s="267"/>
      <c r="E1403" s="35"/>
      <c r="F1403" s="151"/>
      <c r="G1403" s="263">
        <f t="shared" si="172"/>
        <v>0</v>
      </c>
      <c r="H1403" s="65"/>
      <c r="I1403" s="275">
        <f t="shared" si="168"/>
        <v>0</v>
      </c>
      <c r="J1403" s="161"/>
      <c r="K1403" s="30"/>
      <c r="L1403" s="30"/>
      <c r="M1403" s="30"/>
      <c r="N1403" s="30"/>
      <c r="O1403" s="71">
        <f t="shared" si="169"/>
        <v>0</v>
      </c>
      <c r="P1403" s="1070">
        <f t="shared" si="170"/>
        <v>0</v>
      </c>
      <c r="Q1403" s="1071">
        <f t="shared" si="171"/>
        <v>0</v>
      </c>
    </row>
    <row r="1404" spans="1:17" x14ac:dyDescent="0.2">
      <c r="A1404" s="30"/>
      <c r="B1404" s="162"/>
      <c r="C1404" s="259"/>
      <c r="D1404" s="267"/>
      <c r="E1404" s="35"/>
      <c r="F1404" s="151"/>
      <c r="G1404" s="263">
        <f t="shared" si="172"/>
        <v>0</v>
      </c>
      <c r="H1404" s="65"/>
      <c r="I1404" s="275">
        <f t="shared" si="168"/>
        <v>0</v>
      </c>
      <c r="J1404" s="161"/>
      <c r="K1404" s="30"/>
      <c r="L1404" s="30"/>
      <c r="M1404" s="30"/>
      <c r="N1404" s="30"/>
      <c r="O1404" s="71">
        <f t="shared" si="169"/>
        <v>0</v>
      </c>
      <c r="P1404" s="1070">
        <f t="shared" si="170"/>
        <v>0</v>
      </c>
      <c r="Q1404" s="1071">
        <f t="shared" si="171"/>
        <v>0</v>
      </c>
    </row>
    <row r="1405" spans="1:17" x14ac:dyDescent="0.2">
      <c r="A1405" s="30"/>
      <c r="B1405" s="162"/>
      <c r="C1405" s="259"/>
      <c r="D1405" s="267"/>
      <c r="E1405" s="35"/>
      <c r="F1405" s="151"/>
      <c r="G1405" s="263">
        <f t="shared" si="172"/>
        <v>0</v>
      </c>
      <c r="H1405" s="65"/>
      <c r="I1405" s="275">
        <f t="shared" si="168"/>
        <v>0</v>
      </c>
      <c r="J1405" s="161"/>
      <c r="K1405" s="30"/>
      <c r="L1405" s="30"/>
      <c r="M1405" s="30"/>
      <c r="N1405" s="30"/>
      <c r="O1405" s="71">
        <f t="shared" si="169"/>
        <v>0</v>
      </c>
      <c r="P1405" s="1070">
        <f t="shared" si="170"/>
        <v>0</v>
      </c>
      <c r="Q1405" s="1071">
        <f t="shared" si="171"/>
        <v>0</v>
      </c>
    </row>
    <row r="1406" spans="1:17" x14ac:dyDescent="0.2">
      <c r="A1406" s="30"/>
      <c r="B1406" s="162"/>
      <c r="C1406" s="259"/>
      <c r="D1406" s="267"/>
      <c r="E1406" s="35"/>
      <c r="F1406" s="151"/>
      <c r="G1406" s="263">
        <f t="shared" si="172"/>
        <v>0</v>
      </c>
      <c r="H1406" s="65"/>
      <c r="I1406" s="275">
        <f t="shared" si="168"/>
        <v>0</v>
      </c>
      <c r="J1406" s="161"/>
      <c r="K1406" s="30"/>
      <c r="L1406" s="30"/>
      <c r="M1406" s="30"/>
      <c r="N1406" s="30"/>
      <c r="O1406" s="71">
        <f t="shared" si="169"/>
        <v>0</v>
      </c>
      <c r="P1406" s="1070">
        <f t="shared" si="170"/>
        <v>0</v>
      </c>
      <c r="Q1406" s="1071">
        <f t="shared" si="171"/>
        <v>0</v>
      </c>
    </row>
    <row r="1407" spans="1:17" x14ac:dyDescent="0.2">
      <c r="A1407" s="30"/>
      <c r="B1407" s="162"/>
      <c r="C1407" s="259"/>
      <c r="D1407" s="267"/>
      <c r="E1407" s="35"/>
      <c r="F1407" s="151"/>
      <c r="G1407" s="263">
        <f t="shared" si="172"/>
        <v>0</v>
      </c>
      <c r="H1407" s="65"/>
      <c r="I1407" s="275">
        <f t="shared" si="168"/>
        <v>0</v>
      </c>
      <c r="J1407" s="161"/>
      <c r="K1407" s="30"/>
      <c r="L1407" s="30"/>
      <c r="M1407" s="30"/>
      <c r="N1407" s="30"/>
      <c r="O1407" s="71">
        <f t="shared" si="169"/>
        <v>0</v>
      </c>
      <c r="P1407" s="1070">
        <f t="shared" si="170"/>
        <v>0</v>
      </c>
      <c r="Q1407" s="1071">
        <f t="shared" si="171"/>
        <v>0</v>
      </c>
    </row>
    <row r="1408" spans="1:17" x14ac:dyDescent="0.2">
      <c r="A1408" s="30"/>
      <c r="B1408" s="162"/>
      <c r="C1408" s="259"/>
      <c r="D1408" s="267"/>
      <c r="E1408" s="35"/>
      <c r="F1408" s="151"/>
      <c r="G1408" s="263">
        <f t="shared" si="172"/>
        <v>0</v>
      </c>
      <c r="H1408" s="65"/>
      <c r="I1408" s="275">
        <f t="shared" si="168"/>
        <v>0</v>
      </c>
      <c r="J1408" s="161"/>
      <c r="K1408" s="30"/>
      <c r="L1408" s="30"/>
      <c r="M1408" s="30"/>
      <c r="N1408" s="30"/>
      <c r="O1408" s="71">
        <f t="shared" si="169"/>
        <v>0</v>
      </c>
      <c r="P1408" s="1070">
        <f t="shared" si="170"/>
        <v>0</v>
      </c>
      <c r="Q1408" s="1071">
        <f t="shared" si="171"/>
        <v>0</v>
      </c>
    </row>
    <row r="1409" spans="1:17" x14ac:dyDescent="0.2">
      <c r="A1409" s="30"/>
      <c r="B1409" s="162"/>
      <c r="C1409" s="259"/>
      <c r="D1409" s="267"/>
      <c r="E1409" s="35"/>
      <c r="F1409" s="151"/>
      <c r="G1409" s="263">
        <f t="shared" si="172"/>
        <v>0</v>
      </c>
      <c r="H1409" s="65"/>
      <c r="I1409" s="275">
        <f t="shared" si="168"/>
        <v>0</v>
      </c>
      <c r="J1409" s="161"/>
      <c r="K1409" s="30"/>
      <c r="L1409" s="30"/>
      <c r="M1409" s="30"/>
      <c r="N1409" s="30"/>
      <c r="O1409" s="71">
        <f t="shared" si="169"/>
        <v>0</v>
      </c>
      <c r="P1409" s="1070">
        <f t="shared" si="170"/>
        <v>0</v>
      </c>
      <c r="Q1409" s="1071">
        <f t="shared" si="171"/>
        <v>0</v>
      </c>
    </row>
    <row r="1410" spans="1:17" x14ac:dyDescent="0.2">
      <c r="A1410" s="30"/>
      <c r="B1410" s="162"/>
      <c r="C1410" s="259"/>
      <c r="D1410" s="267"/>
      <c r="E1410" s="35"/>
      <c r="F1410" s="151"/>
      <c r="G1410" s="263">
        <f t="shared" si="172"/>
        <v>0</v>
      </c>
      <c r="H1410" s="65"/>
      <c r="I1410" s="275">
        <f t="shared" si="168"/>
        <v>0</v>
      </c>
      <c r="J1410" s="161"/>
      <c r="K1410" s="30"/>
      <c r="L1410" s="30"/>
      <c r="M1410" s="30"/>
      <c r="N1410" s="30"/>
      <c r="O1410" s="71">
        <f t="shared" si="169"/>
        <v>0</v>
      </c>
      <c r="P1410" s="1070">
        <f t="shared" si="170"/>
        <v>0</v>
      </c>
      <c r="Q1410" s="1071">
        <f t="shared" si="171"/>
        <v>0</v>
      </c>
    </row>
    <row r="1411" spans="1:17" x14ac:dyDescent="0.2">
      <c r="A1411" s="30"/>
      <c r="B1411" s="162"/>
      <c r="C1411" s="259"/>
      <c r="D1411" s="267"/>
      <c r="E1411" s="35"/>
      <c r="F1411" s="151"/>
      <c r="G1411" s="263">
        <f t="shared" si="172"/>
        <v>0</v>
      </c>
      <c r="H1411" s="65"/>
      <c r="I1411" s="275">
        <f t="shared" si="168"/>
        <v>0</v>
      </c>
      <c r="J1411" s="161"/>
      <c r="K1411" s="30"/>
      <c r="L1411" s="30"/>
      <c r="M1411" s="30"/>
      <c r="N1411" s="30"/>
      <c r="O1411" s="71">
        <f t="shared" si="169"/>
        <v>0</v>
      </c>
      <c r="P1411" s="1070">
        <f t="shared" si="170"/>
        <v>0</v>
      </c>
      <c r="Q1411" s="1071">
        <f t="shared" si="171"/>
        <v>0</v>
      </c>
    </row>
    <row r="1412" spans="1:17" x14ac:dyDescent="0.2">
      <c r="A1412" s="30"/>
      <c r="B1412" s="162"/>
      <c r="C1412" s="259"/>
      <c r="D1412" s="267"/>
      <c r="E1412" s="35"/>
      <c r="F1412" s="151"/>
      <c r="G1412" s="263">
        <f t="shared" si="172"/>
        <v>0</v>
      </c>
      <c r="H1412" s="65"/>
      <c r="I1412" s="275">
        <f t="shared" si="168"/>
        <v>0</v>
      </c>
      <c r="J1412" s="161"/>
      <c r="K1412" s="30"/>
      <c r="L1412" s="30"/>
      <c r="M1412" s="30"/>
      <c r="N1412" s="30"/>
      <c r="O1412" s="71">
        <f t="shared" si="169"/>
        <v>0</v>
      </c>
      <c r="P1412" s="1070">
        <f t="shared" si="170"/>
        <v>0</v>
      </c>
      <c r="Q1412" s="1071">
        <f t="shared" si="171"/>
        <v>0</v>
      </c>
    </row>
    <row r="1413" spans="1:17" x14ac:dyDescent="0.2">
      <c r="A1413" s="30"/>
      <c r="B1413" s="162"/>
      <c r="C1413" s="259"/>
      <c r="D1413" s="267"/>
      <c r="E1413" s="35"/>
      <c r="F1413" s="151"/>
      <c r="G1413" s="263">
        <f t="shared" si="172"/>
        <v>0</v>
      </c>
      <c r="H1413" s="65"/>
      <c r="I1413" s="275">
        <f t="shared" si="168"/>
        <v>0</v>
      </c>
      <c r="J1413" s="161"/>
      <c r="K1413" s="30"/>
      <c r="L1413" s="30"/>
      <c r="M1413" s="30"/>
      <c r="N1413" s="30"/>
      <c r="O1413" s="71">
        <f t="shared" si="169"/>
        <v>0</v>
      </c>
      <c r="P1413" s="1070">
        <f t="shared" si="170"/>
        <v>0</v>
      </c>
      <c r="Q1413" s="1071">
        <f t="shared" si="171"/>
        <v>0</v>
      </c>
    </row>
    <row r="1414" spans="1:17" x14ac:dyDescent="0.2">
      <c r="A1414" s="30"/>
      <c r="B1414" s="162"/>
      <c r="C1414" s="259"/>
      <c r="D1414" s="267"/>
      <c r="E1414" s="35"/>
      <c r="F1414" s="151"/>
      <c r="G1414" s="263">
        <f t="shared" si="172"/>
        <v>0</v>
      </c>
      <c r="H1414" s="65"/>
      <c r="I1414" s="275">
        <f t="shared" si="168"/>
        <v>0</v>
      </c>
      <c r="J1414" s="161"/>
      <c r="K1414" s="30"/>
      <c r="L1414" s="30"/>
      <c r="M1414" s="30"/>
      <c r="N1414" s="30"/>
      <c r="O1414" s="71">
        <f t="shared" si="169"/>
        <v>0</v>
      </c>
      <c r="P1414" s="1070">
        <f t="shared" si="170"/>
        <v>0</v>
      </c>
      <c r="Q1414" s="1071">
        <f t="shared" si="171"/>
        <v>0</v>
      </c>
    </row>
    <row r="1415" spans="1:17" x14ac:dyDescent="0.2">
      <c r="A1415" s="30"/>
      <c r="B1415" s="162"/>
      <c r="C1415" s="259"/>
      <c r="D1415" s="267"/>
      <c r="E1415" s="35"/>
      <c r="F1415" s="151"/>
      <c r="G1415" s="263">
        <f t="shared" si="172"/>
        <v>0</v>
      </c>
      <c r="H1415" s="65"/>
      <c r="I1415" s="275">
        <f t="shared" si="168"/>
        <v>0</v>
      </c>
      <c r="J1415" s="161"/>
      <c r="K1415" s="30"/>
      <c r="L1415" s="30"/>
      <c r="M1415" s="30"/>
      <c r="N1415" s="30"/>
      <c r="O1415" s="71">
        <f t="shared" si="169"/>
        <v>0</v>
      </c>
      <c r="P1415" s="1070">
        <f t="shared" si="170"/>
        <v>0</v>
      </c>
      <c r="Q1415" s="1071">
        <f t="shared" si="171"/>
        <v>0</v>
      </c>
    </row>
    <row r="1416" spans="1:17" x14ac:dyDescent="0.2">
      <c r="A1416" s="30"/>
      <c r="B1416" s="162"/>
      <c r="C1416" s="259"/>
      <c r="D1416" s="267"/>
      <c r="E1416" s="35"/>
      <c r="F1416" s="151"/>
      <c r="G1416" s="263">
        <f t="shared" si="172"/>
        <v>0</v>
      </c>
      <c r="H1416" s="65"/>
      <c r="I1416" s="275">
        <f t="shared" si="168"/>
        <v>0</v>
      </c>
      <c r="J1416" s="161"/>
      <c r="K1416" s="30"/>
      <c r="L1416" s="30"/>
      <c r="M1416" s="30"/>
      <c r="N1416" s="30"/>
      <c r="O1416" s="71">
        <f t="shared" si="169"/>
        <v>0</v>
      </c>
      <c r="P1416" s="1070">
        <f t="shared" si="170"/>
        <v>0</v>
      </c>
      <c r="Q1416" s="1071">
        <f t="shared" si="171"/>
        <v>0</v>
      </c>
    </row>
    <row r="1417" spans="1:17" x14ac:dyDescent="0.2">
      <c r="A1417" s="30"/>
      <c r="B1417" s="162"/>
      <c r="C1417" s="259"/>
      <c r="D1417" s="267"/>
      <c r="E1417" s="35"/>
      <c r="F1417" s="151"/>
      <c r="G1417" s="263">
        <f t="shared" si="172"/>
        <v>0</v>
      </c>
      <c r="H1417" s="65"/>
      <c r="I1417" s="275">
        <f t="shared" si="168"/>
        <v>0</v>
      </c>
      <c r="J1417" s="161"/>
      <c r="K1417" s="30"/>
      <c r="L1417" s="30"/>
      <c r="M1417" s="30"/>
      <c r="N1417" s="30"/>
      <c r="O1417" s="71">
        <f t="shared" si="169"/>
        <v>0</v>
      </c>
      <c r="P1417" s="1070">
        <f t="shared" si="170"/>
        <v>0</v>
      </c>
      <c r="Q1417" s="1071">
        <f t="shared" si="171"/>
        <v>0</v>
      </c>
    </row>
    <row r="1418" spans="1:17" x14ac:dyDescent="0.2">
      <c r="A1418" s="30"/>
      <c r="B1418" s="162"/>
      <c r="C1418" s="259"/>
      <c r="D1418" s="267"/>
      <c r="E1418" s="35"/>
      <c r="F1418" s="151"/>
      <c r="G1418" s="263">
        <f t="shared" si="172"/>
        <v>0</v>
      </c>
      <c r="H1418" s="65"/>
      <c r="I1418" s="275">
        <f t="shared" si="168"/>
        <v>0</v>
      </c>
      <c r="J1418" s="161"/>
      <c r="K1418" s="30"/>
      <c r="L1418" s="30"/>
      <c r="M1418" s="30"/>
      <c r="N1418" s="30"/>
      <c r="O1418" s="71">
        <f t="shared" si="169"/>
        <v>0</v>
      </c>
      <c r="P1418" s="1070">
        <f t="shared" si="170"/>
        <v>0</v>
      </c>
      <c r="Q1418" s="1071">
        <f t="shared" si="171"/>
        <v>0</v>
      </c>
    </row>
    <row r="1419" spans="1:17" x14ac:dyDescent="0.2">
      <c r="A1419" s="30"/>
      <c r="B1419" s="162"/>
      <c r="C1419" s="259"/>
      <c r="D1419" s="267"/>
      <c r="E1419" s="35"/>
      <c r="F1419" s="151"/>
      <c r="G1419" s="263">
        <f t="shared" si="172"/>
        <v>0</v>
      </c>
      <c r="H1419" s="65"/>
      <c r="I1419" s="275">
        <f t="shared" si="168"/>
        <v>0</v>
      </c>
      <c r="J1419" s="161"/>
      <c r="K1419" s="30"/>
      <c r="L1419" s="30"/>
      <c r="M1419" s="30"/>
      <c r="N1419" s="30"/>
      <c r="O1419" s="71">
        <f t="shared" si="169"/>
        <v>0</v>
      </c>
      <c r="P1419" s="1070">
        <f t="shared" si="170"/>
        <v>0</v>
      </c>
      <c r="Q1419" s="1071">
        <f t="shared" si="171"/>
        <v>0</v>
      </c>
    </row>
    <row r="1420" spans="1:17" x14ac:dyDescent="0.2">
      <c r="A1420" s="30"/>
      <c r="B1420" s="162"/>
      <c r="C1420" s="259"/>
      <c r="D1420" s="267"/>
      <c r="E1420" s="35"/>
      <c r="F1420" s="151"/>
      <c r="G1420" s="263">
        <f t="shared" si="172"/>
        <v>0</v>
      </c>
      <c r="H1420" s="65"/>
      <c r="I1420" s="275">
        <f t="shared" si="168"/>
        <v>0</v>
      </c>
      <c r="J1420" s="161"/>
      <c r="K1420" s="30"/>
      <c r="L1420" s="30"/>
      <c r="M1420" s="30"/>
      <c r="N1420" s="30"/>
      <c r="O1420" s="71">
        <f t="shared" si="169"/>
        <v>0</v>
      </c>
      <c r="P1420" s="1070">
        <f t="shared" si="170"/>
        <v>0</v>
      </c>
      <c r="Q1420" s="1071">
        <f t="shared" si="171"/>
        <v>0</v>
      </c>
    </row>
    <row r="1421" spans="1:17" x14ac:dyDescent="0.2">
      <c r="A1421" s="30"/>
      <c r="B1421" s="162"/>
      <c r="C1421" s="259"/>
      <c r="D1421" s="267"/>
      <c r="E1421" s="35"/>
      <c r="F1421" s="151"/>
      <c r="G1421" s="263">
        <f t="shared" si="172"/>
        <v>0</v>
      </c>
      <c r="H1421" s="65"/>
      <c r="I1421" s="275">
        <f t="shared" si="168"/>
        <v>0</v>
      </c>
      <c r="J1421" s="161"/>
      <c r="K1421" s="30"/>
      <c r="L1421" s="30"/>
      <c r="M1421" s="30"/>
      <c r="N1421" s="30"/>
      <c r="O1421" s="71">
        <f t="shared" si="169"/>
        <v>0</v>
      </c>
      <c r="P1421" s="1070">
        <f t="shared" si="170"/>
        <v>0</v>
      </c>
      <c r="Q1421" s="1071">
        <f t="shared" si="171"/>
        <v>0</v>
      </c>
    </row>
    <row r="1422" spans="1:17" x14ac:dyDescent="0.2">
      <c r="A1422" s="30"/>
      <c r="B1422" s="162"/>
      <c r="C1422" s="259"/>
      <c r="D1422" s="267"/>
      <c r="E1422" s="35"/>
      <c r="F1422" s="151"/>
      <c r="G1422" s="263">
        <f t="shared" si="172"/>
        <v>0</v>
      </c>
      <c r="H1422" s="65"/>
      <c r="I1422" s="275">
        <f t="shared" si="168"/>
        <v>0</v>
      </c>
      <c r="J1422" s="161"/>
      <c r="K1422" s="30"/>
      <c r="L1422" s="30"/>
      <c r="M1422" s="30"/>
      <c r="N1422" s="30"/>
      <c r="O1422" s="71">
        <f t="shared" si="169"/>
        <v>0</v>
      </c>
      <c r="P1422" s="1070">
        <f t="shared" si="170"/>
        <v>0</v>
      </c>
      <c r="Q1422" s="1071">
        <f t="shared" si="171"/>
        <v>0</v>
      </c>
    </row>
    <row r="1423" spans="1:17" x14ac:dyDescent="0.2">
      <c r="A1423" s="30"/>
      <c r="B1423" s="162"/>
      <c r="C1423" s="259"/>
      <c r="D1423" s="267"/>
      <c r="E1423" s="35"/>
      <c r="F1423" s="151"/>
      <c r="G1423" s="263">
        <f t="shared" si="172"/>
        <v>0</v>
      </c>
      <c r="H1423" s="65"/>
      <c r="I1423" s="275">
        <f t="shared" si="168"/>
        <v>0</v>
      </c>
      <c r="J1423" s="161"/>
      <c r="K1423" s="30"/>
      <c r="L1423" s="30"/>
      <c r="M1423" s="30"/>
      <c r="N1423" s="30"/>
      <c r="O1423" s="71">
        <f t="shared" si="169"/>
        <v>0</v>
      </c>
      <c r="P1423" s="1070">
        <f t="shared" si="170"/>
        <v>0</v>
      </c>
      <c r="Q1423" s="1071">
        <f t="shared" si="171"/>
        <v>0</v>
      </c>
    </row>
    <row r="1424" spans="1:17" x14ac:dyDescent="0.2">
      <c r="A1424" s="30"/>
      <c r="B1424" s="162"/>
      <c r="C1424" s="259"/>
      <c r="D1424" s="267"/>
      <c r="E1424" s="35"/>
      <c r="F1424" s="151"/>
      <c r="G1424" s="263">
        <f t="shared" si="172"/>
        <v>0</v>
      </c>
      <c r="H1424" s="65"/>
      <c r="I1424" s="275">
        <f t="shared" si="168"/>
        <v>0</v>
      </c>
      <c r="J1424" s="161"/>
      <c r="K1424" s="30"/>
      <c r="L1424" s="30"/>
      <c r="M1424" s="30"/>
      <c r="N1424" s="30"/>
      <c r="O1424" s="71">
        <f t="shared" si="169"/>
        <v>0</v>
      </c>
      <c r="P1424" s="1070">
        <f t="shared" si="170"/>
        <v>0</v>
      </c>
      <c r="Q1424" s="1071">
        <f t="shared" si="171"/>
        <v>0</v>
      </c>
    </row>
    <row r="1425" spans="1:17" x14ac:dyDescent="0.2">
      <c r="A1425" s="30"/>
      <c r="B1425" s="162"/>
      <c r="C1425" s="259"/>
      <c r="D1425" s="267"/>
      <c r="E1425" s="35"/>
      <c r="F1425" s="151"/>
      <c r="G1425" s="263">
        <f t="shared" si="172"/>
        <v>0</v>
      </c>
      <c r="H1425" s="65"/>
      <c r="I1425" s="275">
        <f t="shared" si="168"/>
        <v>0</v>
      </c>
      <c r="J1425" s="161"/>
      <c r="K1425" s="30"/>
      <c r="L1425" s="30"/>
      <c r="M1425" s="30"/>
      <c r="N1425" s="30"/>
      <c r="O1425" s="71">
        <f t="shared" si="169"/>
        <v>0</v>
      </c>
      <c r="P1425" s="1070">
        <f t="shared" si="170"/>
        <v>0</v>
      </c>
      <c r="Q1425" s="1071">
        <f t="shared" si="171"/>
        <v>0</v>
      </c>
    </row>
    <row r="1426" spans="1:17" x14ac:dyDescent="0.2">
      <c r="A1426" s="30"/>
      <c r="B1426" s="162"/>
      <c r="C1426" s="259"/>
      <c r="D1426" s="267"/>
      <c r="E1426" s="35"/>
      <c r="F1426" s="151"/>
      <c r="G1426" s="263">
        <f t="shared" si="172"/>
        <v>0</v>
      </c>
      <c r="H1426" s="65"/>
      <c r="I1426" s="275">
        <f t="shared" si="168"/>
        <v>0</v>
      </c>
      <c r="J1426" s="161"/>
      <c r="K1426" s="30"/>
      <c r="L1426" s="30"/>
      <c r="M1426" s="30"/>
      <c r="N1426" s="30"/>
      <c r="O1426" s="71">
        <f t="shared" si="169"/>
        <v>0</v>
      </c>
      <c r="P1426" s="1070">
        <f t="shared" si="170"/>
        <v>0</v>
      </c>
      <c r="Q1426" s="1071">
        <f t="shared" si="171"/>
        <v>0</v>
      </c>
    </row>
    <row r="1427" spans="1:17" x14ac:dyDescent="0.2">
      <c r="A1427" s="30"/>
      <c r="B1427" s="162"/>
      <c r="C1427" s="259"/>
      <c r="D1427" s="267"/>
      <c r="E1427" s="35"/>
      <c r="F1427" s="151"/>
      <c r="G1427" s="263">
        <f t="shared" si="172"/>
        <v>0</v>
      </c>
      <c r="H1427" s="65"/>
      <c r="I1427" s="275">
        <f t="shared" si="168"/>
        <v>0</v>
      </c>
      <c r="J1427" s="161"/>
      <c r="K1427" s="30"/>
      <c r="L1427" s="30"/>
      <c r="M1427" s="30"/>
      <c r="N1427" s="30"/>
      <c r="O1427" s="71">
        <f t="shared" si="169"/>
        <v>0</v>
      </c>
      <c r="P1427" s="1070">
        <f t="shared" si="170"/>
        <v>0</v>
      </c>
      <c r="Q1427" s="1071">
        <f t="shared" si="171"/>
        <v>0</v>
      </c>
    </row>
    <row r="1428" spans="1:17" x14ac:dyDescent="0.2">
      <c r="A1428" s="30"/>
      <c r="B1428" s="162"/>
      <c r="C1428" s="259"/>
      <c r="D1428" s="267"/>
      <c r="E1428" s="35"/>
      <c r="F1428" s="151"/>
      <c r="G1428" s="263">
        <f t="shared" si="172"/>
        <v>0</v>
      </c>
      <c r="H1428" s="65"/>
      <c r="I1428" s="275">
        <f t="shared" si="168"/>
        <v>0</v>
      </c>
      <c r="J1428" s="161"/>
      <c r="K1428" s="30"/>
      <c r="L1428" s="30"/>
      <c r="M1428" s="30"/>
      <c r="N1428" s="30"/>
      <c r="O1428" s="71">
        <f t="shared" si="169"/>
        <v>0</v>
      </c>
      <c r="P1428" s="1070">
        <f t="shared" si="170"/>
        <v>0</v>
      </c>
      <c r="Q1428" s="1071">
        <f t="shared" si="171"/>
        <v>0</v>
      </c>
    </row>
    <row r="1429" spans="1:17" x14ac:dyDescent="0.2">
      <c r="A1429" s="30"/>
      <c r="B1429" s="162"/>
      <c r="C1429" s="259"/>
      <c r="D1429" s="267"/>
      <c r="E1429" s="35"/>
      <c r="F1429" s="151"/>
      <c r="G1429" s="263">
        <f t="shared" si="172"/>
        <v>0</v>
      </c>
      <c r="H1429" s="65"/>
      <c r="I1429" s="275">
        <f t="shared" si="168"/>
        <v>0</v>
      </c>
      <c r="J1429" s="161"/>
      <c r="K1429" s="30"/>
      <c r="L1429" s="30"/>
      <c r="M1429" s="30"/>
      <c r="N1429" s="30"/>
      <c r="O1429" s="71">
        <f t="shared" si="169"/>
        <v>0</v>
      </c>
      <c r="P1429" s="1070">
        <f t="shared" si="170"/>
        <v>0</v>
      </c>
      <c r="Q1429" s="1071">
        <f t="shared" si="171"/>
        <v>0</v>
      </c>
    </row>
    <row r="1430" spans="1:17" x14ac:dyDescent="0.2">
      <c r="A1430" s="30"/>
      <c r="B1430" s="162"/>
      <c r="C1430" s="259"/>
      <c r="D1430" s="267"/>
      <c r="E1430" s="35"/>
      <c r="F1430" s="151"/>
      <c r="G1430" s="263">
        <f t="shared" si="172"/>
        <v>0</v>
      </c>
      <c r="H1430" s="65"/>
      <c r="I1430" s="275">
        <f t="shared" si="168"/>
        <v>0</v>
      </c>
      <c r="J1430" s="161"/>
      <c r="K1430" s="30"/>
      <c r="L1430" s="30"/>
      <c r="M1430" s="30"/>
      <c r="N1430" s="30"/>
      <c r="O1430" s="71">
        <f t="shared" si="169"/>
        <v>0</v>
      </c>
      <c r="P1430" s="1070">
        <f t="shared" si="170"/>
        <v>0</v>
      </c>
      <c r="Q1430" s="1071">
        <f t="shared" si="171"/>
        <v>0</v>
      </c>
    </row>
    <row r="1431" spans="1:17" x14ac:dyDescent="0.2">
      <c r="A1431" s="30"/>
      <c r="B1431" s="162"/>
      <c r="C1431" s="259"/>
      <c r="D1431" s="267"/>
      <c r="E1431" s="35"/>
      <c r="F1431" s="151"/>
      <c r="G1431" s="263">
        <f t="shared" si="172"/>
        <v>0</v>
      </c>
      <c r="H1431" s="65"/>
      <c r="I1431" s="275">
        <f t="shared" si="168"/>
        <v>0</v>
      </c>
      <c r="J1431" s="161"/>
      <c r="K1431" s="30"/>
      <c r="L1431" s="30"/>
      <c r="M1431" s="30"/>
      <c r="N1431" s="30"/>
      <c r="O1431" s="71">
        <f t="shared" si="169"/>
        <v>0</v>
      </c>
      <c r="P1431" s="1070">
        <f t="shared" si="170"/>
        <v>0</v>
      </c>
      <c r="Q1431" s="1071">
        <f t="shared" si="171"/>
        <v>0</v>
      </c>
    </row>
    <row r="1432" spans="1:17" x14ac:dyDescent="0.2">
      <c r="A1432" s="30"/>
      <c r="B1432" s="162"/>
      <c r="C1432" s="259"/>
      <c r="D1432" s="267"/>
      <c r="E1432" s="35"/>
      <c r="F1432" s="151"/>
      <c r="G1432" s="263">
        <f t="shared" si="172"/>
        <v>0</v>
      </c>
      <c r="H1432" s="65"/>
      <c r="I1432" s="275">
        <f t="shared" si="168"/>
        <v>0</v>
      </c>
      <c r="J1432" s="161"/>
      <c r="K1432" s="30"/>
      <c r="L1432" s="30"/>
      <c r="M1432" s="30"/>
      <c r="N1432" s="30"/>
      <c r="O1432" s="71">
        <f t="shared" si="169"/>
        <v>0</v>
      </c>
      <c r="P1432" s="1070">
        <f t="shared" si="170"/>
        <v>0</v>
      </c>
      <c r="Q1432" s="1071">
        <f t="shared" ref="Q1432:Q1451" si="173">IF($F1432=$Q$43,$I1432,0)</f>
        <v>0</v>
      </c>
    </row>
    <row r="1433" spans="1:17" x14ac:dyDescent="0.2">
      <c r="A1433" s="30"/>
      <c r="B1433" s="162"/>
      <c r="C1433" s="259"/>
      <c r="D1433" s="267"/>
      <c r="E1433" s="35"/>
      <c r="F1433" s="151"/>
      <c r="G1433" s="263">
        <f t="shared" si="172"/>
        <v>0</v>
      </c>
      <c r="H1433" s="65"/>
      <c r="I1433" s="275">
        <f t="shared" si="168"/>
        <v>0</v>
      </c>
      <c r="J1433" s="161"/>
      <c r="K1433" s="30"/>
      <c r="L1433" s="30"/>
      <c r="M1433" s="30"/>
      <c r="N1433" s="30"/>
      <c r="O1433" s="71">
        <f t="shared" si="169"/>
        <v>0</v>
      </c>
      <c r="P1433" s="1070">
        <f t="shared" ref="P1433:P1451" si="174">IF($F1433=$Q$42,$I1433,0)</f>
        <v>0</v>
      </c>
      <c r="Q1433" s="1071">
        <f t="shared" si="173"/>
        <v>0</v>
      </c>
    </row>
    <row r="1434" spans="1:17" x14ac:dyDescent="0.2">
      <c r="A1434" s="30"/>
      <c r="B1434" s="162"/>
      <c r="C1434" s="259"/>
      <c r="D1434" s="267"/>
      <c r="E1434" s="35"/>
      <c r="F1434" s="151"/>
      <c r="G1434" s="263">
        <f t="shared" si="172"/>
        <v>0</v>
      </c>
      <c r="H1434" s="65"/>
      <c r="I1434" s="275">
        <f t="shared" si="168"/>
        <v>0</v>
      </c>
      <c r="J1434" s="161"/>
      <c r="K1434" s="30"/>
      <c r="L1434" s="30"/>
      <c r="M1434" s="30"/>
      <c r="N1434" s="30"/>
      <c r="O1434" s="71">
        <f t="shared" si="169"/>
        <v>0</v>
      </c>
      <c r="P1434" s="1070">
        <f t="shared" si="174"/>
        <v>0</v>
      </c>
      <c r="Q1434" s="1071">
        <f t="shared" si="173"/>
        <v>0</v>
      </c>
    </row>
    <row r="1435" spans="1:17" x14ac:dyDescent="0.2">
      <c r="A1435" s="30"/>
      <c r="B1435" s="162"/>
      <c r="C1435" s="259"/>
      <c r="D1435" s="267"/>
      <c r="E1435" s="35"/>
      <c r="F1435" s="151"/>
      <c r="G1435" s="263">
        <f t="shared" si="172"/>
        <v>0</v>
      </c>
      <c r="H1435" s="65"/>
      <c r="I1435" s="275">
        <f t="shared" si="168"/>
        <v>0</v>
      </c>
      <c r="J1435" s="161"/>
      <c r="K1435" s="30"/>
      <c r="L1435" s="30"/>
      <c r="M1435" s="30"/>
      <c r="N1435" s="30"/>
      <c r="O1435" s="71">
        <f t="shared" si="169"/>
        <v>0</v>
      </c>
      <c r="P1435" s="1070">
        <f t="shared" si="174"/>
        <v>0</v>
      </c>
      <c r="Q1435" s="1071">
        <f t="shared" si="173"/>
        <v>0</v>
      </c>
    </row>
    <row r="1436" spans="1:17" x14ac:dyDescent="0.2">
      <c r="A1436" s="30"/>
      <c r="B1436" s="162"/>
      <c r="C1436" s="259"/>
      <c r="D1436" s="267"/>
      <c r="E1436" s="35"/>
      <c r="F1436" s="151"/>
      <c r="G1436" s="263">
        <f t="shared" si="172"/>
        <v>0</v>
      </c>
      <c r="H1436" s="65"/>
      <c r="I1436" s="275">
        <f t="shared" si="168"/>
        <v>0</v>
      </c>
      <c r="J1436" s="161"/>
      <c r="K1436" s="30"/>
      <c r="L1436" s="30"/>
      <c r="M1436" s="30"/>
      <c r="N1436" s="30"/>
      <c r="O1436" s="71">
        <f t="shared" si="169"/>
        <v>0</v>
      </c>
      <c r="P1436" s="1070">
        <f t="shared" si="174"/>
        <v>0</v>
      </c>
      <c r="Q1436" s="1071">
        <f t="shared" si="173"/>
        <v>0</v>
      </c>
    </row>
    <row r="1437" spans="1:17" x14ac:dyDescent="0.2">
      <c r="A1437" s="30"/>
      <c r="B1437" s="162"/>
      <c r="C1437" s="259"/>
      <c r="D1437" s="267"/>
      <c r="E1437" s="35"/>
      <c r="F1437" s="151"/>
      <c r="G1437" s="263">
        <f t="shared" si="172"/>
        <v>0</v>
      </c>
      <c r="H1437" s="65"/>
      <c r="I1437" s="275">
        <f t="shared" si="168"/>
        <v>0</v>
      </c>
      <c r="J1437" s="161"/>
      <c r="K1437" s="30"/>
      <c r="L1437" s="30"/>
      <c r="M1437" s="30"/>
      <c r="N1437" s="30"/>
      <c r="O1437" s="71">
        <f t="shared" si="169"/>
        <v>0</v>
      </c>
      <c r="P1437" s="1070">
        <f t="shared" si="174"/>
        <v>0</v>
      </c>
      <c r="Q1437" s="1071">
        <f t="shared" si="173"/>
        <v>0</v>
      </c>
    </row>
    <row r="1438" spans="1:17" x14ac:dyDescent="0.2">
      <c r="A1438" s="30"/>
      <c r="B1438" s="162"/>
      <c r="C1438" s="259"/>
      <c r="D1438" s="267"/>
      <c r="E1438" s="35"/>
      <c r="F1438" s="151"/>
      <c r="G1438" s="263">
        <f t="shared" si="172"/>
        <v>0</v>
      </c>
      <c r="H1438" s="65"/>
      <c r="I1438" s="275">
        <f t="shared" si="168"/>
        <v>0</v>
      </c>
      <c r="J1438" s="161"/>
      <c r="K1438" s="30"/>
      <c r="L1438" s="30"/>
      <c r="M1438" s="30"/>
      <c r="N1438" s="30"/>
      <c r="O1438" s="71">
        <f t="shared" si="169"/>
        <v>0</v>
      </c>
      <c r="P1438" s="1070">
        <f t="shared" si="174"/>
        <v>0</v>
      </c>
      <c r="Q1438" s="1071">
        <f t="shared" si="173"/>
        <v>0</v>
      </c>
    </row>
    <row r="1439" spans="1:17" x14ac:dyDescent="0.2">
      <c r="A1439" s="30"/>
      <c r="B1439" s="162"/>
      <c r="C1439" s="259"/>
      <c r="D1439" s="267"/>
      <c r="E1439" s="35"/>
      <c r="F1439" s="151"/>
      <c r="G1439" s="263">
        <f t="shared" si="172"/>
        <v>0</v>
      </c>
      <c r="H1439" s="65"/>
      <c r="I1439" s="275">
        <f t="shared" si="168"/>
        <v>0</v>
      </c>
      <c r="J1439" s="161"/>
      <c r="K1439" s="30"/>
      <c r="L1439" s="30"/>
      <c r="M1439" s="30"/>
      <c r="N1439" s="30"/>
      <c r="O1439" s="71">
        <f t="shared" si="169"/>
        <v>0</v>
      </c>
      <c r="P1439" s="1070">
        <f t="shared" si="174"/>
        <v>0</v>
      </c>
      <c r="Q1439" s="1071">
        <f t="shared" si="173"/>
        <v>0</v>
      </c>
    </row>
    <row r="1440" spans="1:17" x14ac:dyDescent="0.2">
      <c r="A1440" s="30"/>
      <c r="B1440" s="162"/>
      <c r="C1440" s="259"/>
      <c r="D1440" s="267"/>
      <c r="E1440" s="35"/>
      <c r="F1440" s="151"/>
      <c r="G1440" s="263">
        <f t="shared" si="172"/>
        <v>0</v>
      </c>
      <c r="H1440" s="65"/>
      <c r="I1440" s="275">
        <f t="shared" si="168"/>
        <v>0</v>
      </c>
      <c r="J1440" s="161"/>
      <c r="K1440" s="30"/>
      <c r="L1440" s="30"/>
      <c r="M1440" s="30"/>
      <c r="N1440" s="30"/>
      <c r="O1440" s="71">
        <f t="shared" si="169"/>
        <v>0</v>
      </c>
      <c r="P1440" s="1070">
        <f t="shared" si="174"/>
        <v>0</v>
      </c>
      <c r="Q1440" s="1071">
        <f t="shared" si="173"/>
        <v>0</v>
      </c>
    </row>
    <row r="1441" spans="1:17" x14ac:dyDescent="0.2">
      <c r="A1441" s="30"/>
      <c r="B1441" s="162"/>
      <c r="C1441" s="259"/>
      <c r="D1441" s="267"/>
      <c r="E1441" s="35"/>
      <c r="F1441" s="151"/>
      <c r="G1441" s="263">
        <f t="shared" si="172"/>
        <v>0</v>
      </c>
      <c r="H1441" s="65"/>
      <c r="I1441" s="275">
        <f t="shared" si="168"/>
        <v>0</v>
      </c>
      <c r="J1441" s="161"/>
      <c r="K1441" s="30"/>
      <c r="L1441" s="30"/>
      <c r="M1441" s="30"/>
      <c r="N1441" s="30"/>
      <c r="O1441" s="71">
        <f t="shared" si="169"/>
        <v>0</v>
      </c>
      <c r="P1441" s="1070">
        <f t="shared" si="174"/>
        <v>0</v>
      </c>
      <c r="Q1441" s="1071">
        <f t="shared" si="173"/>
        <v>0</v>
      </c>
    </row>
    <row r="1442" spans="1:17" x14ac:dyDescent="0.2">
      <c r="A1442" s="30"/>
      <c r="B1442" s="162"/>
      <c r="C1442" s="259"/>
      <c r="D1442" s="267"/>
      <c r="E1442" s="35"/>
      <c r="F1442" s="151"/>
      <c r="G1442" s="263">
        <f t="shared" si="172"/>
        <v>0</v>
      </c>
      <c r="H1442" s="65"/>
      <c r="I1442" s="275">
        <f t="shared" si="168"/>
        <v>0</v>
      </c>
      <c r="J1442" s="161"/>
      <c r="K1442" s="30"/>
      <c r="L1442" s="30"/>
      <c r="M1442" s="30"/>
      <c r="N1442" s="30"/>
      <c r="O1442" s="71">
        <f t="shared" si="169"/>
        <v>0</v>
      </c>
      <c r="P1442" s="1070">
        <f t="shared" si="174"/>
        <v>0</v>
      </c>
      <c r="Q1442" s="1071">
        <f t="shared" si="173"/>
        <v>0</v>
      </c>
    </row>
    <row r="1443" spans="1:17" x14ac:dyDescent="0.2">
      <c r="A1443" s="30"/>
      <c r="B1443" s="162"/>
      <c r="C1443" s="259"/>
      <c r="D1443" s="267"/>
      <c r="E1443" s="35"/>
      <c r="F1443" s="151"/>
      <c r="G1443" s="263">
        <f t="shared" si="172"/>
        <v>0</v>
      </c>
      <c r="H1443" s="65"/>
      <c r="I1443" s="275">
        <f t="shared" si="168"/>
        <v>0</v>
      </c>
      <c r="J1443" s="161"/>
      <c r="K1443" s="30"/>
      <c r="L1443" s="30"/>
      <c r="M1443" s="30"/>
      <c r="N1443" s="30"/>
      <c r="O1443" s="71">
        <f t="shared" si="169"/>
        <v>0</v>
      </c>
      <c r="P1443" s="1070">
        <f t="shared" si="174"/>
        <v>0</v>
      </c>
      <c r="Q1443" s="1071">
        <f t="shared" si="173"/>
        <v>0</v>
      </c>
    </row>
    <row r="1444" spans="1:17" x14ac:dyDescent="0.2">
      <c r="A1444" s="30"/>
      <c r="B1444" s="162"/>
      <c r="C1444" s="259"/>
      <c r="D1444" s="267"/>
      <c r="E1444" s="35"/>
      <c r="F1444" s="151"/>
      <c r="G1444" s="263">
        <f t="shared" si="172"/>
        <v>0</v>
      </c>
      <c r="H1444" s="65"/>
      <c r="I1444" s="275">
        <f t="shared" si="168"/>
        <v>0</v>
      </c>
      <c r="J1444" s="161"/>
      <c r="K1444" s="30"/>
      <c r="L1444" s="30"/>
      <c r="M1444" s="30"/>
      <c r="N1444" s="30"/>
      <c r="O1444" s="71">
        <f t="shared" si="169"/>
        <v>0</v>
      </c>
      <c r="P1444" s="1070">
        <f t="shared" si="174"/>
        <v>0</v>
      </c>
      <c r="Q1444" s="1071">
        <f t="shared" si="173"/>
        <v>0</v>
      </c>
    </row>
    <row r="1445" spans="1:17" x14ac:dyDescent="0.2">
      <c r="A1445" s="30"/>
      <c r="B1445" s="162"/>
      <c r="C1445" s="259"/>
      <c r="D1445" s="267"/>
      <c r="E1445" s="35"/>
      <c r="F1445" s="151"/>
      <c r="G1445" s="263">
        <f t="shared" si="172"/>
        <v>0</v>
      </c>
      <c r="H1445" s="65"/>
      <c r="I1445" s="275">
        <f t="shared" si="168"/>
        <v>0</v>
      </c>
      <c r="J1445" s="161"/>
      <c r="K1445" s="30"/>
      <c r="L1445" s="30"/>
      <c r="M1445" s="30"/>
      <c r="N1445" s="30"/>
      <c r="O1445" s="71">
        <f t="shared" si="169"/>
        <v>0</v>
      </c>
      <c r="P1445" s="1070">
        <f t="shared" si="174"/>
        <v>0</v>
      </c>
      <c r="Q1445" s="1071">
        <f t="shared" si="173"/>
        <v>0</v>
      </c>
    </row>
    <row r="1446" spans="1:17" x14ac:dyDescent="0.2">
      <c r="A1446" s="30"/>
      <c r="B1446" s="162"/>
      <c r="C1446" s="259"/>
      <c r="D1446" s="267"/>
      <c r="E1446" s="35"/>
      <c r="F1446" s="151"/>
      <c r="G1446" s="263">
        <f t="shared" si="172"/>
        <v>0</v>
      </c>
      <c r="H1446" s="65"/>
      <c r="I1446" s="275">
        <f t="shared" si="168"/>
        <v>0</v>
      </c>
      <c r="J1446" s="161"/>
      <c r="K1446" s="30"/>
      <c r="L1446" s="30"/>
      <c r="M1446" s="30"/>
      <c r="N1446" s="30"/>
      <c r="O1446" s="71">
        <f t="shared" si="169"/>
        <v>0</v>
      </c>
      <c r="P1446" s="1070">
        <f t="shared" si="174"/>
        <v>0</v>
      </c>
      <c r="Q1446" s="1071">
        <f t="shared" si="173"/>
        <v>0</v>
      </c>
    </row>
    <row r="1447" spans="1:17" x14ac:dyDescent="0.2">
      <c r="A1447" s="30"/>
      <c r="B1447" s="162"/>
      <c r="C1447" s="259"/>
      <c r="D1447" s="267"/>
      <c r="E1447" s="35"/>
      <c r="F1447" s="151"/>
      <c r="G1447" s="263">
        <f t="shared" si="172"/>
        <v>0</v>
      </c>
      <c r="H1447" s="65"/>
      <c r="I1447" s="275">
        <f t="shared" si="168"/>
        <v>0</v>
      </c>
      <c r="J1447" s="161"/>
      <c r="K1447" s="30"/>
      <c r="L1447" s="30"/>
      <c r="M1447" s="30"/>
      <c r="N1447" s="30"/>
      <c r="O1447" s="71">
        <f t="shared" si="169"/>
        <v>0</v>
      </c>
      <c r="P1447" s="1070">
        <f t="shared" si="174"/>
        <v>0</v>
      </c>
      <c r="Q1447" s="1071">
        <f t="shared" si="173"/>
        <v>0</v>
      </c>
    </row>
    <row r="1448" spans="1:17" x14ac:dyDescent="0.2">
      <c r="A1448" s="30"/>
      <c r="B1448" s="162"/>
      <c r="C1448" s="259"/>
      <c r="D1448" s="267"/>
      <c r="E1448" s="35"/>
      <c r="F1448" s="151"/>
      <c r="G1448" s="263">
        <f t="shared" si="172"/>
        <v>0</v>
      </c>
      <c r="H1448" s="65"/>
      <c r="I1448" s="275">
        <f t="shared" si="168"/>
        <v>0</v>
      </c>
      <c r="J1448" s="161"/>
      <c r="K1448" s="30"/>
      <c r="L1448" s="30"/>
      <c r="M1448" s="30"/>
      <c r="N1448" s="30"/>
      <c r="O1448" s="71">
        <f t="shared" si="169"/>
        <v>0</v>
      </c>
      <c r="P1448" s="1070">
        <f t="shared" si="174"/>
        <v>0</v>
      </c>
      <c r="Q1448" s="1071">
        <f t="shared" si="173"/>
        <v>0</v>
      </c>
    </row>
    <row r="1449" spans="1:17" x14ac:dyDescent="0.2">
      <c r="A1449" s="30"/>
      <c r="B1449" s="162"/>
      <c r="C1449" s="259"/>
      <c r="D1449" s="267"/>
      <c r="E1449" s="35"/>
      <c r="F1449" s="151"/>
      <c r="G1449" s="263">
        <f t="shared" si="172"/>
        <v>0</v>
      </c>
      <c r="H1449" s="65"/>
      <c r="I1449" s="275">
        <f t="shared" si="168"/>
        <v>0</v>
      </c>
      <c r="J1449" s="161"/>
      <c r="K1449" s="30"/>
      <c r="L1449" s="30"/>
      <c r="M1449" s="30"/>
      <c r="N1449" s="30"/>
      <c r="O1449" s="71">
        <f t="shared" si="169"/>
        <v>0</v>
      </c>
      <c r="P1449" s="1070">
        <f t="shared" si="174"/>
        <v>0</v>
      </c>
      <c r="Q1449" s="1071">
        <f t="shared" si="173"/>
        <v>0</v>
      </c>
    </row>
    <row r="1450" spans="1:17" x14ac:dyDescent="0.2">
      <c r="A1450" s="30"/>
      <c r="B1450" s="162"/>
      <c r="C1450" s="259"/>
      <c r="D1450" s="267"/>
      <c r="E1450" s="35"/>
      <c r="F1450" s="151"/>
      <c r="G1450" s="263">
        <f t="shared" si="172"/>
        <v>0</v>
      </c>
      <c r="H1450" s="65"/>
      <c r="I1450" s="275">
        <f t="shared" si="168"/>
        <v>0</v>
      </c>
      <c r="J1450" s="161"/>
      <c r="K1450" s="30"/>
      <c r="L1450" s="30"/>
      <c r="M1450" s="30"/>
      <c r="N1450" s="30"/>
      <c r="O1450" s="71">
        <f t="shared" si="169"/>
        <v>0</v>
      </c>
      <c r="P1450" s="1070">
        <f t="shared" si="174"/>
        <v>0</v>
      </c>
      <c r="Q1450" s="1071">
        <f t="shared" si="173"/>
        <v>0</v>
      </c>
    </row>
    <row r="1451" spans="1:17" ht="13.5" thickBot="1" x14ac:dyDescent="0.25">
      <c r="A1451" s="30"/>
      <c r="B1451" s="163"/>
      <c r="C1451" s="260"/>
      <c r="D1451" s="268"/>
      <c r="E1451" s="24"/>
      <c r="F1451" s="25"/>
      <c r="G1451" s="264">
        <f t="shared" si="172"/>
        <v>0</v>
      </c>
      <c r="H1451" s="272"/>
      <c r="I1451" s="276">
        <f t="shared" si="168"/>
        <v>0</v>
      </c>
      <c r="J1451" s="161"/>
      <c r="K1451" s="30"/>
      <c r="L1451" s="30"/>
      <c r="M1451" s="30"/>
      <c r="N1451" s="30"/>
      <c r="O1451" s="71">
        <f t="shared" si="169"/>
        <v>0</v>
      </c>
      <c r="P1451" s="1070">
        <f t="shared" si="174"/>
        <v>0</v>
      </c>
      <c r="Q1451" s="1071">
        <f t="shared" si="173"/>
        <v>0</v>
      </c>
    </row>
    <row r="1452" spans="1:17" ht="6.75" customHeight="1" thickBot="1" x14ac:dyDescent="0.25">
      <c r="A1452" s="30"/>
      <c r="B1452" s="155"/>
      <c r="C1452" s="155"/>
      <c r="D1452" s="155"/>
      <c r="E1452" s="155"/>
      <c r="F1452" s="155"/>
      <c r="G1452" s="155"/>
      <c r="H1452" s="155"/>
      <c r="I1452" s="155"/>
      <c r="J1452" s="155"/>
      <c r="K1452" s="30"/>
      <c r="L1452" s="30"/>
      <c r="M1452" s="30"/>
      <c r="N1452" s="30"/>
      <c r="O1452" s="812">
        <f>SUM(O1400:O1451)</f>
        <v>0</v>
      </c>
      <c r="P1452" s="1075">
        <f>SUM(P1400:P1451)</f>
        <v>0</v>
      </c>
      <c r="Q1452" s="813">
        <f>SUM(Q1400:Q1451)</f>
        <v>0</v>
      </c>
    </row>
    <row r="1453" spans="1:17" x14ac:dyDescent="0.2">
      <c r="L1453" s="30"/>
      <c r="M1453" s="30"/>
      <c r="N1453" s="30"/>
    </row>
    <row r="1454" spans="1:17" x14ac:dyDescent="0.2">
      <c r="L1454" s="30"/>
      <c r="M1454" s="30"/>
      <c r="N1454" s="30"/>
    </row>
  </sheetData>
  <mergeCells count="187">
    <mergeCell ref="L1:P1"/>
    <mergeCell ref="B54:I54"/>
    <mergeCell ref="B56:I56"/>
    <mergeCell ref="A1:J1"/>
    <mergeCell ref="B3:B4"/>
    <mergeCell ref="C3:C4"/>
    <mergeCell ref="D3:D4"/>
    <mergeCell ref="G36:H36"/>
    <mergeCell ref="A120:J120"/>
    <mergeCell ref="B122:B123"/>
    <mergeCell ref="C122:C123"/>
    <mergeCell ref="D122:D123"/>
    <mergeCell ref="E122:E123"/>
    <mergeCell ref="F122:F123"/>
    <mergeCell ref="C64:C65"/>
    <mergeCell ref="D64:D65"/>
    <mergeCell ref="E64:E65"/>
    <mergeCell ref="F64:F65"/>
    <mergeCell ref="A236:J236"/>
    <mergeCell ref="B238:B239"/>
    <mergeCell ref="C238:C239"/>
    <mergeCell ref="D238:D239"/>
    <mergeCell ref="E238:E239"/>
    <mergeCell ref="F238:F239"/>
    <mergeCell ref="A178:J178"/>
    <mergeCell ref="B180:B181"/>
    <mergeCell ref="C180:C181"/>
    <mergeCell ref="D180:D181"/>
    <mergeCell ref="E180:E181"/>
    <mergeCell ref="F180:F181"/>
    <mergeCell ref="A410:J410"/>
    <mergeCell ref="B412:B413"/>
    <mergeCell ref="C412:C413"/>
    <mergeCell ref="D412:D413"/>
    <mergeCell ref="E412:E413"/>
    <mergeCell ref="O354:Q354"/>
    <mergeCell ref="A526:J526"/>
    <mergeCell ref="A294:J294"/>
    <mergeCell ref="B296:B297"/>
    <mergeCell ref="C296:C297"/>
    <mergeCell ref="D296:D297"/>
    <mergeCell ref="E296:E297"/>
    <mergeCell ref="F296:F297"/>
    <mergeCell ref="A352:J352"/>
    <mergeCell ref="B354:B355"/>
    <mergeCell ref="C354:C355"/>
    <mergeCell ref="D354:D355"/>
    <mergeCell ref="E354:E355"/>
    <mergeCell ref="F354:F355"/>
    <mergeCell ref="B528:B529"/>
    <mergeCell ref="C528:C529"/>
    <mergeCell ref="D528:D529"/>
    <mergeCell ref="E528:E529"/>
    <mergeCell ref="F528:F529"/>
    <mergeCell ref="A584:J584"/>
    <mergeCell ref="B586:B587"/>
    <mergeCell ref="F412:F413"/>
    <mergeCell ref="A468:J468"/>
    <mergeCell ref="B470:B471"/>
    <mergeCell ref="C470:C471"/>
    <mergeCell ref="D470:D471"/>
    <mergeCell ref="E470:E471"/>
    <mergeCell ref="F470:F471"/>
    <mergeCell ref="C586:C587"/>
    <mergeCell ref="D586:D587"/>
    <mergeCell ref="E586:E587"/>
    <mergeCell ref="F586:F587"/>
    <mergeCell ref="A642:J642"/>
    <mergeCell ref="B644:B645"/>
    <mergeCell ref="C644:C645"/>
    <mergeCell ref="D644:D645"/>
    <mergeCell ref="O586:Q586"/>
    <mergeCell ref="A758:J758"/>
    <mergeCell ref="B760:B761"/>
    <mergeCell ref="C760:C761"/>
    <mergeCell ref="D760:D761"/>
    <mergeCell ref="E760:E761"/>
    <mergeCell ref="F760:F761"/>
    <mergeCell ref="A816:J816"/>
    <mergeCell ref="B818:B819"/>
    <mergeCell ref="E644:E645"/>
    <mergeCell ref="F644:F645"/>
    <mergeCell ref="A700:J700"/>
    <mergeCell ref="B702:B703"/>
    <mergeCell ref="C702:C703"/>
    <mergeCell ref="D702:D703"/>
    <mergeCell ref="E702:E703"/>
    <mergeCell ref="F702:F703"/>
    <mergeCell ref="C818:C819"/>
    <mergeCell ref="D818:D819"/>
    <mergeCell ref="E818:E819"/>
    <mergeCell ref="F818:F819"/>
    <mergeCell ref="A874:J874"/>
    <mergeCell ref="B876:B877"/>
    <mergeCell ref="C876:C877"/>
    <mergeCell ref="D876:D877"/>
    <mergeCell ref="A990:J990"/>
    <mergeCell ref="B992:B993"/>
    <mergeCell ref="C992:C993"/>
    <mergeCell ref="D992:D993"/>
    <mergeCell ref="E992:E993"/>
    <mergeCell ref="F992:F993"/>
    <mergeCell ref="A1048:J1048"/>
    <mergeCell ref="B1050:B1051"/>
    <mergeCell ref="E876:E877"/>
    <mergeCell ref="F876:F877"/>
    <mergeCell ref="A932:J932"/>
    <mergeCell ref="B934:B935"/>
    <mergeCell ref="C934:C935"/>
    <mergeCell ref="D934:D935"/>
    <mergeCell ref="E934:E935"/>
    <mergeCell ref="F934:F935"/>
    <mergeCell ref="E1108:E1109"/>
    <mergeCell ref="F1108:F1109"/>
    <mergeCell ref="A1164:J1164"/>
    <mergeCell ref="B1166:B1167"/>
    <mergeCell ref="C1166:C1167"/>
    <mergeCell ref="D1166:D1167"/>
    <mergeCell ref="E1166:E1167"/>
    <mergeCell ref="F1166:F1167"/>
    <mergeCell ref="C1050:C1051"/>
    <mergeCell ref="D1050:D1051"/>
    <mergeCell ref="E1050:E1051"/>
    <mergeCell ref="F1050:F1051"/>
    <mergeCell ref="A1106:J1106"/>
    <mergeCell ref="B1108:B1109"/>
    <mergeCell ref="C1108:C1109"/>
    <mergeCell ref="D1108:D1109"/>
    <mergeCell ref="O1340:Q1340"/>
    <mergeCell ref="O1398:Q1398"/>
    <mergeCell ref="A1338:J1338"/>
    <mergeCell ref="B1340:B1341"/>
    <mergeCell ref="C1340:C1341"/>
    <mergeCell ref="D1340:D1341"/>
    <mergeCell ref="E1340:E1341"/>
    <mergeCell ref="F1340:F1341"/>
    <mergeCell ref="E1224:E1225"/>
    <mergeCell ref="F1224:F1225"/>
    <mergeCell ref="A1280:J1280"/>
    <mergeCell ref="B1282:B1283"/>
    <mergeCell ref="C1282:C1283"/>
    <mergeCell ref="D1282:D1283"/>
    <mergeCell ref="E1282:E1283"/>
    <mergeCell ref="F1282:F1283"/>
    <mergeCell ref="O122:Q122"/>
    <mergeCell ref="O180:Q180"/>
    <mergeCell ref="O238:Q238"/>
    <mergeCell ref="O296:Q296"/>
    <mergeCell ref="O1224:Q1224"/>
    <mergeCell ref="O1282:Q1282"/>
    <mergeCell ref="O992:Q992"/>
    <mergeCell ref="O1050:Q1050"/>
    <mergeCell ref="O760:Q760"/>
    <mergeCell ref="O818:Q818"/>
    <mergeCell ref="O1108:Q1108"/>
    <mergeCell ref="O1166:Q1166"/>
    <mergeCell ref="O528:Q528"/>
    <mergeCell ref="O876:Q876"/>
    <mergeCell ref="O934:Q934"/>
    <mergeCell ref="O644:Q644"/>
    <mergeCell ref="O702:Q702"/>
    <mergeCell ref="O412:Q412"/>
    <mergeCell ref="O470:Q470"/>
    <mergeCell ref="A1222:J1222"/>
    <mergeCell ref="B1224:B1225"/>
    <mergeCell ref="A1396:J1396"/>
    <mergeCell ref="B1398:B1399"/>
    <mergeCell ref="C1398:C1399"/>
    <mergeCell ref="D1398:D1399"/>
    <mergeCell ref="E1398:E1399"/>
    <mergeCell ref="F1398:F1399"/>
    <mergeCell ref="C1224:C1225"/>
    <mergeCell ref="D1224:D1225"/>
    <mergeCell ref="Q57:T57"/>
    <mergeCell ref="B41:D42"/>
    <mergeCell ref="B44:D45"/>
    <mergeCell ref="O3:Q3"/>
    <mergeCell ref="O64:Q64"/>
    <mergeCell ref="B58:I59"/>
    <mergeCell ref="F3:F4"/>
    <mergeCell ref="E3:E4"/>
    <mergeCell ref="A62:J62"/>
    <mergeCell ref="B64:B65"/>
    <mergeCell ref="G34:H34"/>
    <mergeCell ref="G37:H37"/>
    <mergeCell ref="G35:H35"/>
    <mergeCell ref="L2:N4"/>
  </mergeCells>
  <dataValidations count="5">
    <dataValidation type="list" showInputMessage="1" showErrorMessage="1" sqref="L35">
      <formula1>$R$40:$R$44</formula1>
    </dataValidation>
    <dataValidation type="list" showInputMessage="1" showErrorMessage="1" sqref="D66:D117 D5:D32 D1342:D1393 D1284:D1335 D1226:D1277 D1168:D1219 D1110:D1161 D1052:D1103 D994:D1045 D936:D987 D878:D929 D820:D871 D762:D813 D704:D755 D646:D697 D588:D639 D530:D581 D472:D523 D414:D465 D356:D407 D298:D349 D240:D291 D182:D233 D124:D175 D1400:D1451">
      <formula1>$O$40:$O$46</formula1>
    </dataValidation>
    <dataValidation type="list" showInputMessage="1" showErrorMessage="1" sqref="E1400:E1451 E5:E32 E1342:E1393 E1284:E1335 E1226:E1277 E1168:E1219 E1110:E1161 E1052:E1103 E994:E1045 E936:E987 E878:E929 E820:E871 E762:E813 E704:E755 E646:E697 E588:E639 E530:E581 E472:E523 E414:E465 E356:E407 E298:E349 E240:E291 E182:E233 E124:E175 E66:E117">
      <formula1>$P$40:$P$59</formula1>
    </dataValidation>
    <dataValidation type="list" showInputMessage="1" showErrorMessage="1" sqref="F1400:F1451 F5:F32 F1342:F1393 F1284:F1335 F1226:F1277 F1168:F1219 F1110:F1161 F1052:F1103 F994:F1045 F936:F987 F878:F929 F820:F871 F762:F813 F704:F755 F646:F697 F588:F639 F530:F581 F472:F523 F414:F465 F356:F407 F298:F349 F240:F291 F182:F233 F124:F175 F66:F117">
      <formula1>$Q$40:$Q$43</formula1>
    </dataValidation>
    <dataValidation type="list" showInputMessage="1" showErrorMessage="1" sqref="M48">
      <formula1>$S$40:$S$42</formula1>
    </dataValidation>
  </dataValidations>
  <printOptions horizontalCentered="1"/>
  <pageMargins left="0.35" right="0.35" top="0.38200000000000001" bottom="0.38200000000000001" header="0.5" footer="0.5"/>
  <pageSetup firstPageNumber="31" orientation="portrait" useFirstPageNumber="1" r:id="rId1"/>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4"/>
  <dimension ref="A1:AB81"/>
  <sheetViews>
    <sheetView showGridLines="0" showZeros="0" zoomScale="75" zoomScaleNormal="75" workbookViewId="0">
      <selection activeCell="O1" sqref="O1:V1"/>
    </sheetView>
  </sheetViews>
  <sheetFormatPr defaultRowHeight="12.75" x14ac:dyDescent="0.2"/>
  <cols>
    <col min="1" max="1" width="1.7109375" customWidth="1"/>
    <col min="2" max="2" width="11.42578125" customWidth="1"/>
    <col min="3" max="3" width="4.5703125" customWidth="1"/>
    <col min="4" max="4" width="23.85546875" customWidth="1"/>
    <col min="5" max="5" width="9.42578125" customWidth="1"/>
    <col min="6" max="6" width="10.42578125" customWidth="1"/>
    <col min="7" max="8" width="7.28515625" customWidth="1"/>
    <col min="9" max="9" width="9.42578125" customWidth="1"/>
    <col min="10" max="10" width="7.42578125" customWidth="1"/>
    <col min="11" max="11" width="8.7109375" customWidth="1"/>
    <col min="12" max="12" width="7.28515625" style="2" customWidth="1"/>
    <col min="13" max="13" width="1.7109375" style="2" customWidth="1"/>
    <col min="14" max="14" width="4.5703125" customWidth="1"/>
    <col min="15" max="18" width="17.7109375" customWidth="1"/>
    <col min="19" max="19" width="13.7109375" customWidth="1"/>
    <col min="20" max="20" width="11.5703125" customWidth="1"/>
    <col min="21" max="21" width="4.7109375" bestFit="1" customWidth="1"/>
    <col min="22" max="22" width="18.5703125" bestFit="1" customWidth="1"/>
    <col min="23" max="23" width="14.140625" bestFit="1" customWidth="1"/>
  </cols>
  <sheetData>
    <row r="1" spans="1:28" ht="18.75" thickBot="1" x14ac:dyDescent="0.3">
      <c r="A1" s="1224" t="str">
        <f>UPPER("Public Road Approach Summary Table")</f>
        <v>PUBLIC ROAD APPROACH SUMMARY TABLE</v>
      </c>
      <c r="B1" s="1225"/>
      <c r="C1" s="1225"/>
      <c r="D1" s="1225"/>
      <c r="E1" s="1225"/>
      <c r="F1" s="1225"/>
      <c r="G1" s="1225"/>
      <c r="H1" s="1225"/>
      <c r="I1" s="1225"/>
      <c r="J1" s="1225"/>
      <c r="K1" s="1225"/>
      <c r="L1" s="1225"/>
      <c r="M1" s="1225"/>
      <c r="N1" s="82"/>
      <c r="O1" s="1290" t="s">
        <v>854</v>
      </c>
      <c r="P1" s="1290"/>
      <c r="Q1" s="1290"/>
      <c r="R1" s="1290"/>
      <c r="S1" s="1290"/>
      <c r="T1" s="1290"/>
      <c r="U1" s="1290"/>
      <c r="V1" s="1290"/>
      <c r="W1" s="30"/>
      <c r="X1" s="30"/>
      <c r="Y1" s="30"/>
      <c r="Z1" s="30"/>
      <c r="AA1" s="30"/>
      <c r="AB1" s="30"/>
    </row>
    <row r="2" spans="1:28" ht="11.25" customHeight="1" thickBot="1" x14ac:dyDescent="0.25">
      <c r="A2" s="1335"/>
      <c r="B2" s="1335"/>
      <c r="C2" s="1335"/>
      <c r="D2" s="1335"/>
      <c r="E2" s="1335"/>
      <c r="F2" s="1335"/>
      <c r="G2" s="1335"/>
      <c r="H2" s="1335"/>
      <c r="I2" s="1335"/>
      <c r="J2" s="1335"/>
      <c r="K2" s="1335"/>
      <c r="L2" s="1335"/>
      <c r="M2" s="1335"/>
      <c r="N2" s="30"/>
      <c r="O2" s="1333" t="s">
        <v>224</v>
      </c>
      <c r="P2" s="1334"/>
      <c r="Q2" s="1333" t="s">
        <v>223</v>
      </c>
      <c r="R2" s="1334"/>
      <c r="S2" s="1019" t="s">
        <v>47</v>
      </c>
      <c r="T2" s="1018"/>
      <c r="U2" s="1018"/>
      <c r="V2" s="1018"/>
      <c r="W2" s="1018"/>
      <c r="X2" s="1018"/>
      <c r="Y2" s="1018"/>
      <c r="Z2" s="1018"/>
      <c r="AA2" s="1018"/>
      <c r="AB2" s="30"/>
    </row>
    <row r="3" spans="1:28" ht="51" customHeight="1" x14ac:dyDescent="0.2">
      <c r="A3" s="30"/>
      <c r="B3" s="1336" t="s">
        <v>0</v>
      </c>
      <c r="C3" s="1338" t="s">
        <v>61</v>
      </c>
      <c r="D3" s="1338" t="s">
        <v>62</v>
      </c>
      <c r="E3" s="1223" t="s">
        <v>65</v>
      </c>
      <c r="F3" s="1217" t="s">
        <v>226</v>
      </c>
      <c r="G3" s="282" t="s">
        <v>577</v>
      </c>
      <c r="H3" s="277" t="s">
        <v>855</v>
      </c>
      <c r="I3" s="277" t="s">
        <v>856</v>
      </c>
      <c r="J3" s="277" t="s">
        <v>578</v>
      </c>
      <c r="K3" s="278" t="s">
        <v>392</v>
      </c>
      <c r="L3" s="283" t="s">
        <v>209</v>
      </c>
      <c r="M3" s="215"/>
      <c r="N3" s="215"/>
      <c r="O3" s="213" t="s">
        <v>391</v>
      </c>
      <c r="P3" s="284" t="s">
        <v>879</v>
      </c>
      <c r="Q3" s="213" t="s">
        <v>391</v>
      </c>
      <c r="R3" s="284" t="s">
        <v>879</v>
      </c>
      <c r="S3" s="1332" t="s">
        <v>882</v>
      </c>
      <c r="T3" s="1318"/>
      <c r="U3" s="1318"/>
      <c r="V3" s="1318"/>
      <c r="W3" s="1318"/>
      <c r="X3" s="1318"/>
      <c r="Y3" s="1318"/>
      <c r="Z3" s="1318"/>
      <c r="AA3" s="1318"/>
      <c r="AB3" s="30"/>
    </row>
    <row r="4" spans="1:28" ht="12.75" customHeight="1" thickBot="1" x14ac:dyDescent="0.25">
      <c r="A4" s="30"/>
      <c r="B4" s="1337"/>
      <c r="C4" s="1339"/>
      <c r="D4" s="1339"/>
      <c r="E4" s="1307"/>
      <c r="F4" s="1331"/>
      <c r="G4" s="285" t="s">
        <v>100</v>
      </c>
      <c r="H4" s="286" t="s">
        <v>100</v>
      </c>
      <c r="I4" s="286" t="s">
        <v>100</v>
      </c>
      <c r="J4" s="286" t="s">
        <v>100</v>
      </c>
      <c r="K4" s="287" t="s">
        <v>100</v>
      </c>
      <c r="L4" s="288" t="s">
        <v>210</v>
      </c>
      <c r="M4" s="215"/>
      <c r="N4" s="215"/>
      <c r="O4" s="712" t="s">
        <v>210</v>
      </c>
      <c r="P4" s="713" t="s">
        <v>210</v>
      </c>
      <c r="Q4" s="712" t="s">
        <v>210</v>
      </c>
      <c r="R4" s="713" t="s">
        <v>210</v>
      </c>
      <c r="S4" s="1332"/>
      <c r="T4" s="1318"/>
      <c r="U4" s="1318"/>
      <c r="V4" s="1318"/>
      <c r="W4" s="1318"/>
      <c r="X4" s="1318"/>
      <c r="Y4" s="1318"/>
      <c r="Z4" s="1318"/>
      <c r="AA4" s="1318"/>
      <c r="AB4" s="30"/>
    </row>
    <row r="5" spans="1:28" ht="12.75" customHeight="1" x14ac:dyDescent="0.2">
      <c r="A5" s="30"/>
      <c r="B5" s="187"/>
      <c r="C5" s="160"/>
      <c r="D5" s="279"/>
      <c r="E5" s="266"/>
      <c r="F5" s="219"/>
      <c r="G5" s="280"/>
      <c r="H5" s="160"/>
      <c r="I5" s="160"/>
      <c r="J5" s="160"/>
      <c r="K5" s="266"/>
      <c r="L5" s="281">
        <f>IF(AND(H5=0,I5=0),ROUNDUP(((G5+J5)/2*K5)/9,0),IF(AND(J5=0,K5=0),ROUNDUP(((G5+H5)/2*I5)/9,0),ROUNDUP(((G5+H5)/2*I5+(H5+J5)/2*(K5-I5))/9,0)))</f>
        <v>0</v>
      </c>
      <c r="M5" s="31"/>
      <c r="N5" s="31"/>
      <c r="O5" s="21">
        <f t="shared" ref="O5:O42" si="0">IF(AND(E5=$P$57, F5=$Q$57),L5,0)</f>
        <v>0</v>
      </c>
      <c r="P5" s="22">
        <f>IF(OR(AND(E5=$P$58, F5=$Q$57),AND(E5=$P$57, F5=$Q$59)),L5,IF(AND(E5=$P$58, F5=$Q$59),"pick Improv.",0))</f>
        <v>0</v>
      </c>
      <c r="Q5" s="21">
        <f t="shared" ref="Q5:Q42" si="1">IF(AND(E5=$P$57, F5=$Q$58),L5,0)</f>
        <v>0</v>
      </c>
      <c r="R5" s="22">
        <f t="shared" ref="R5:R42" si="2">IF(AND(E5=$P$58, F5=$Q$58),L5,0)</f>
        <v>0</v>
      </c>
      <c r="S5" s="30"/>
      <c r="T5" s="30"/>
      <c r="U5" s="30"/>
      <c r="V5" s="30"/>
      <c r="W5" s="30"/>
      <c r="X5" s="30"/>
      <c r="Y5" s="30"/>
      <c r="Z5" s="30"/>
      <c r="AA5" s="30"/>
      <c r="AB5" s="30"/>
    </row>
    <row r="6" spans="1:28" ht="12.75" customHeight="1" x14ac:dyDescent="0.2">
      <c r="A6" s="30"/>
      <c r="B6" s="56"/>
      <c r="C6" s="35"/>
      <c r="D6" s="218"/>
      <c r="E6" s="151"/>
      <c r="F6" s="147"/>
      <c r="G6" s="221"/>
      <c r="H6" s="35"/>
      <c r="I6" s="35"/>
      <c r="J6" s="35"/>
      <c r="K6" s="151"/>
      <c r="L6" s="148">
        <f t="shared" ref="L6:L42" si="3">IF(AND(H6=0,I6=0),ROUNDUP(((G6+J6)/2*K6)/9,0),IF(AND(J6=0,K6=0),ROUNDUP(((G6+H6)/2*I6)/9,0),ROUNDUP(((G6+H6)/2*I6+(H6+J6)/2*(K6-I6))/9,0)))</f>
        <v>0</v>
      </c>
      <c r="M6" s="31"/>
      <c r="N6" s="31"/>
      <c r="O6" s="21">
        <f t="shared" si="0"/>
        <v>0</v>
      </c>
      <c r="P6" s="22">
        <f t="shared" ref="P6:P42" si="4">IF(OR(AND(E6=$P$58, F6=$Q$57),AND(E6=$P$57, F6=$Q$59)),L6,IF(AND(E6=$P$58, F6=$Q$59),"pick Improv.",0))</f>
        <v>0</v>
      </c>
      <c r="Q6" s="21">
        <f t="shared" si="1"/>
        <v>0</v>
      </c>
      <c r="R6" s="22">
        <f t="shared" si="2"/>
        <v>0</v>
      </c>
      <c r="S6" s="30"/>
      <c r="T6" s="30"/>
      <c r="U6" s="30"/>
      <c r="V6" s="30"/>
      <c r="W6" s="30"/>
      <c r="X6" s="30"/>
      <c r="Y6" s="30"/>
      <c r="Z6" s="30"/>
      <c r="AA6" s="30"/>
      <c r="AB6" s="30"/>
    </row>
    <row r="7" spans="1:28" ht="12.75" customHeight="1" x14ac:dyDescent="0.2">
      <c r="A7" s="30"/>
      <c r="B7" s="56"/>
      <c r="C7" s="35"/>
      <c r="D7" s="218"/>
      <c r="E7" s="151"/>
      <c r="F7" s="147"/>
      <c r="G7" s="221"/>
      <c r="H7" s="35"/>
      <c r="I7" s="35"/>
      <c r="J7" s="35"/>
      <c r="K7" s="151"/>
      <c r="L7" s="148">
        <f t="shared" si="3"/>
        <v>0</v>
      </c>
      <c r="M7" s="31"/>
      <c r="N7" s="31"/>
      <c r="O7" s="21">
        <f t="shared" si="0"/>
        <v>0</v>
      </c>
      <c r="P7" s="22">
        <f t="shared" si="4"/>
        <v>0</v>
      </c>
      <c r="Q7" s="21">
        <f t="shared" si="1"/>
        <v>0</v>
      </c>
      <c r="R7" s="22">
        <f t="shared" si="2"/>
        <v>0</v>
      </c>
      <c r="S7" s="30"/>
      <c r="T7" s="30"/>
      <c r="U7" s="30"/>
      <c r="V7" s="30"/>
      <c r="W7" s="30"/>
      <c r="X7" s="30"/>
      <c r="Y7" s="30"/>
      <c r="Z7" s="30"/>
      <c r="AA7" s="30"/>
      <c r="AB7" s="30"/>
    </row>
    <row r="8" spans="1:28" ht="12.75" customHeight="1" x14ac:dyDescent="0.2">
      <c r="A8" s="30"/>
      <c r="B8" s="56"/>
      <c r="C8" s="35"/>
      <c r="D8" s="218"/>
      <c r="E8" s="151"/>
      <c r="F8" s="147"/>
      <c r="G8" s="221"/>
      <c r="H8" s="35"/>
      <c r="I8" s="35"/>
      <c r="J8" s="35"/>
      <c r="K8" s="151"/>
      <c r="L8" s="148">
        <f t="shared" si="3"/>
        <v>0</v>
      </c>
      <c r="M8" s="31"/>
      <c r="N8" s="31"/>
      <c r="O8" s="21">
        <f t="shared" si="0"/>
        <v>0</v>
      </c>
      <c r="P8" s="22">
        <f t="shared" si="4"/>
        <v>0</v>
      </c>
      <c r="Q8" s="21">
        <f t="shared" si="1"/>
        <v>0</v>
      </c>
      <c r="R8" s="22">
        <f t="shared" si="2"/>
        <v>0</v>
      </c>
      <c r="S8" s="30"/>
      <c r="T8" s="30"/>
      <c r="U8" s="30"/>
      <c r="V8" s="30"/>
      <c r="W8" s="30"/>
      <c r="X8" s="30"/>
      <c r="Y8" s="30"/>
      <c r="Z8" s="30"/>
      <c r="AA8" s="30"/>
      <c r="AB8" s="30"/>
    </row>
    <row r="9" spans="1:28" ht="12.75" customHeight="1" x14ac:dyDescent="0.2">
      <c r="A9" s="30"/>
      <c r="B9" s="56"/>
      <c r="C9" s="35"/>
      <c r="D9" s="218"/>
      <c r="E9" s="151"/>
      <c r="F9" s="147"/>
      <c r="G9" s="221"/>
      <c r="H9" s="35"/>
      <c r="I9" s="35"/>
      <c r="J9" s="35"/>
      <c r="K9" s="151"/>
      <c r="L9" s="148">
        <f t="shared" si="3"/>
        <v>0</v>
      </c>
      <c r="M9" s="31"/>
      <c r="N9" s="31"/>
      <c r="O9" s="21">
        <f t="shared" si="0"/>
        <v>0</v>
      </c>
      <c r="P9" s="22">
        <f t="shared" si="4"/>
        <v>0</v>
      </c>
      <c r="Q9" s="21">
        <f t="shared" si="1"/>
        <v>0</v>
      </c>
      <c r="R9" s="22">
        <f t="shared" si="2"/>
        <v>0</v>
      </c>
      <c r="S9" s="30"/>
      <c r="T9" s="30"/>
      <c r="U9" s="30"/>
      <c r="V9" s="30"/>
      <c r="W9" s="30"/>
      <c r="X9" s="30"/>
      <c r="Y9" s="30"/>
      <c r="Z9" s="30"/>
      <c r="AA9" s="30"/>
      <c r="AB9" s="30"/>
    </row>
    <row r="10" spans="1:28" ht="12.75" customHeight="1" x14ac:dyDescent="0.2">
      <c r="A10" s="30"/>
      <c r="B10" s="56"/>
      <c r="C10" s="35"/>
      <c r="D10" s="218"/>
      <c r="E10" s="151"/>
      <c r="F10" s="147"/>
      <c r="G10" s="221"/>
      <c r="H10" s="35"/>
      <c r="I10" s="35"/>
      <c r="J10" s="35"/>
      <c r="K10" s="151"/>
      <c r="L10" s="148">
        <f t="shared" si="3"/>
        <v>0</v>
      </c>
      <c r="M10" s="31"/>
      <c r="N10" s="31"/>
      <c r="O10" s="21">
        <f t="shared" si="0"/>
        <v>0</v>
      </c>
      <c r="P10" s="22">
        <f t="shared" si="4"/>
        <v>0</v>
      </c>
      <c r="Q10" s="21">
        <f t="shared" si="1"/>
        <v>0</v>
      </c>
      <c r="R10" s="22">
        <f t="shared" si="2"/>
        <v>0</v>
      </c>
      <c r="S10" s="30"/>
      <c r="T10" s="30"/>
      <c r="U10" s="30"/>
      <c r="V10" s="30"/>
      <c r="W10" s="30"/>
      <c r="X10" s="30"/>
      <c r="Y10" s="30"/>
      <c r="Z10" s="30"/>
      <c r="AA10" s="30"/>
      <c r="AB10" s="30"/>
    </row>
    <row r="11" spans="1:28" ht="12.75" customHeight="1" x14ac:dyDescent="0.2">
      <c r="A11" s="30"/>
      <c r="B11" s="56"/>
      <c r="C11" s="35"/>
      <c r="D11" s="218"/>
      <c r="E11" s="151"/>
      <c r="F11" s="147"/>
      <c r="G11" s="221"/>
      <c r="H11" s="35"/>
      <c r="I11" s="35"/>
      <c r="J11" s="35"/>
      <c r="K11" s="151"/>
      <c r="L11" s="148">
        <f t="shared" si="3"/>
        <v>0</v>
      </c>
      <c r="M11" s="31"/>
      <c r="N11" s="31"/>
      <c r="O11" s="21">
        <f t="shared" si="0"/>
        <v>0</v>
      </c>
      <c r="P11" s="22">
        <f t="shared" si="4"/>
        <v>0</v>
      </c>
      <c r="Q11" s="21">
        <f t="shared" si="1"/>
        <v>0</v>
      </c>
      <c r="R11" s="22">
        <f t="shared" si="2"/>
        <v>0</v>
      </c>
      <c r="S11" s="30"/>
      <c r="T11" s="30"/>
      <c r="U11" s="30"/>
      <c r="V11" s="30"/>
      <c r="W11" s="30"/>
      <c r="X11" s="30"/>
      <c r="Y11" s="30"/>
      <c r="Z11" s="30"/>
      <c r="AA11" s="30"/>
      <c r="AB11" s="30"/>
    </row>
    <row r="12" spans="1:28" ht="12.75" customHeight="1" x14ac:dyDescent="0.2">
      <c r="A12" s="30"/>
      <c r="B12" s="56"/>
      <c r="C12" s="35"/>
      <c r="D12" s="218"/>
      <c r="E12" s="151"/>
      <c r="F12" s="147"/>
      <c r="G12" s="221"/>
      <c r="H12" s="35"/>
      <c r="I12" s="35"/>
      <c r="J12" s="35"/>
      <c r="K12" s="151"/>
      <c r="L12" s="148">
        <f t="shared" si="3"/>
        <v>0</v>
      </c>
      <c r="M12" s="31"/>
      <c r="N12" s="31"/>
      <c r="O12" s="21">
        <f t="shared" si="0"/>
        <v>0</v>
      </c>
      <c r="P12" s="22">
        <f t="shared" si="4"/>
        <v>0</v>
      </c>
      <c r="Q12" s="21">
        <f t="shared" si="1"/>
        <v>0</v>
      </c>
      <c r="R12" s="22">
        <f t="shared" si="2"/>
        <v>0</v>
      </c>
      <c r="S12" s="30"/>
      <c r="T12" s="40"/>
      <c r="U12" s="222"/>
      <c r="V12" s="30"/>
      <c r="W12" s="30"/>
      <c r="X12" s="30"/>
      <c r="Y12" s="30"/>
      <c r="Z12" s="30"/>
      <c r="AA12" s="30"/>
      <c r="AB12" s="30"/>
    </row>
    <row r="13" spans="1:28" ht="12.75" customHeight="1" x14ac:dyDescent="0.2">
      <c r="A13" s="30"/>
      <c r="B13" s="56"/>
      <c r="C13" s="35"/>
      <c r="D13" s="218"/>
      <c r="E13" s="151"/>
      <c r="F13" s="147"/>
      <c r="G13" s="221"/>
      <c r="H13" s="35"/>
      <c r="I13" s="35"/>
      <c r="J13" s="35"/>
      <c r="K13" s="151"/>
      <c r="L13" s="148">
        <f t="shared" si="3"/>
        <v>0</v>
      </c>
      <c r="M13" s="31"/>
      <c r="N13" s="31"/>
      <c r="O13" s="21">
        <f t="shared" si="0"/>
        <v>0</v>
      </c>
      <c r="P13" s="22">
        <f t="shared" si="4"/>
        <v>0</v>
      </c>
      <c r="Q13" s="21">
        <f t="shared" si="1"/>
        <v>0</v>
      </c>
      <c r="R13" s="22">
        <f t="shared" si="2"/>
        <v>0</v>
      </c>
      <c r="S13" s="30"/>
      <c r="T13" s="40"/>
      <c r="U13" s="222"/>
      <c r="V13" s="30"/>
      <c r="W13" s="30"/>
      <c r="X13" s="30"/>
      <c r="Y13" s="30"/>
      <c r="Z13" s="30"/>
      <c r="AA13" s="30"/>
      <c r="AB13" s="30"/>
    </row>
    <row r="14" spans="1:28" ht="12.75" customHeight="1" x14ac:dyDescent="0.2">
      <c r="A14" s="30"/>
      <c r="B14" s="56"/>
      <c r="C14" s="35"/>
      <c r="D14" s="218"/>
      <c r="E14" s="151"/>
      <c r="F14" s="147"/>
      <c r="G14" s="221"/>
      <c r="H14" s="35"/>
      <c r="I14" s="35"/>
      <c r="J14" s="35"/>
      <c r="K14" s="151"/>
      <c r="L14" s="148">
        <f t="shared" si="3"/>
        <v>0</v>
      </c>
      <c r="M14" s="31"/>
      <c r="N14" s="31"/>
      <c r="O14" s="21">
        <f t="shared" si="0"/>
        <v>0</v>
      </c>
      <c r="P14" s="22">
        <f t="shared" si="4"/>
        <v>0</v>
      </c>
      <c r="Q14" s="21">
        <f t="shared" si="1"/>
        <v>0</v>
      </c>
      <c r="R14" s="22">
        <f t="shared" si="2"/>
        <v>0</v>
      </c>
      <c r="S14" s="30"/>
      <c r="T14" s="40"/>
      <c r="U14" s="222"/>
      <c r="V14" s="30"/>
      <c r="W14" s="30"/>
      <c r="X14" s="30"/>
      <c r="Y14" s="30"/>
      <c r="Z14" s="30"/>
      <c r="AA14" s="30"/>
      <c r="AB14" s="30"/>
    </row>
    <row r="15" spans="1:28" ht="12.75" customHeight="1" x14ac:dyDescent="0.2">
      <c r="A15" s="30"/>
      <c r="B15" s="56"/>
      <c r="C15" s="35"/>
      <c r="D15" s="218"/>
      <c r="E15" s="151"/>
      <c r="F15" s="147"/>
      <c r="G15" s="221"/>
      <c r="H15" s="35"/>
      <c r="I15" s="35"/>
      <c r="J15" s="35"/>
      <c r="K15" s="151"/>
      <c r="L15" s="148">
        <f t="shared" si="3"/>
        <v>0</v>
      </c>
      <c r="M15" s="31"/>
      <c r="N15" s="31"/>
      <c r="O15" s="21">
        <f t="shared" si="0"/>
        <v>0</v>
      </c>
      <c r="P15" s="22">
        <f t="shared" si="4"/>
        <v>0</v>
      </c>
      <c r="Q15" s="21">
        <f t="shared" si="1"/>
        <v>0</v>
      </c>
      <c r="R15" s="22">
        <f t="shared" si="2"/>
        <v>0</v>
      </c>
      <c r="S15" s="30"/>
      <c r="T15" s="30"/>
      <c r="U15" s="30"/>
      <c r="V15" s="30"/>
      <c r="W15" s="30"/>
      <c r="X15" s="30"/>
      <c r="Y15" s="30"/>
      <c r="Z15" s="30"/>
      <c r="AA15" s="30"/>
      <c r="AB15" s="30"/>
    </row>
    <row r="16" spans="1:28" ht="12.75" customHeight="1" x14ac:dyDescent="0.2">
      <c r="A16" s="30"/>
      <c r="B16" s="56"/>
      <c r="C16" s="35"/>
      <c r="D16" s="218"/>
      <c r="E16" s="151"/>
      <c r="F16" s="147"/>
      <c r="G16" s="221"/>
      <c r="H16" s="35"/>
      <c r="I16" s="35"/>
      <c r="J16" s="35"/>
      <c r="K16" s="151"/>
      <c r="L16" s="148">
        <f t="shared" si="3"/>
        <v>0</v>
      </c>
      <c r="M16" s="31"/>
      <c r="N16" s="31"/>
      <c r="O16" s="21">
        <f t="shared" si="0"/>
        <v>0</v>
      </c>
      <c r="P16" s="22">
        <f t="shared" si="4"/>
        <v>0</v>
      </c>
      <c r="Q16" s="21">
        <f t="shared" si="1"/>
        <v>0</v>
      </c>
      <c r="R16" s="22">
        <f t="shared" si="2"/>
        <v>0</v>
      </c>
      <c r="S16" s="30"/>
      <c r="T16" s="30"/>
      <c r="U16" s="30"/>
      <c r="V16" s="30"/>
      <c r="W16" s="30"/>
      <c r="X16" s="30"/>
      <c r="Y16" s="30"/>
      <c r="Z16" s="30"/>
      <c r="AA16" s="30"/>
      <c r="AB16" s="30"/>
    </row>
    <row r="17" spans="1:28" ht="12.75" customHeight="1" x14ac:dyDescent="0.2">
      <c r="A17" s="30"/>
      <c r="B17" s="56"/>
      <c r="C17" s="35"/>
      <c r="D17" s="218"/>
      <c r="E17" s="151"/>
      <c r="F17" s="147"/>
      <c r="G17" s="221"/>
      <c r="H17" s="35"/>
      <c r="I17" s="35"/>
      <c r="J17" s="35"/>
      <c r="K17" s="151"/>
      <c r="L17" s="148">
        <f t="shared" si="3"/>
        <v>0</v>
      </c>
      <c r="M17" s="31"/>
      <c r="N17" s="31"/>
      <c r="O17" s="21">
        <f t="shared" si="0"/>
        <v>0</v>
      </c>
      <c r="P17" s="22">
        <f t="shared" si="4"/>
        <v>0</v>
      </c>
      <c r="Q17" s="21">
        <f t="shared" si="1"/>
        <v>0</v>
      </c>
      <c r="R17" s="22">
        <f t="shared" si="2"/>
        <v>0</v>
      </c>
      <c r="S17" s="30"/>
      <c r="T17" s="30"/>
      <c r="U17" s="30"/>
      <c r="V17" s="30"/>
      <c r="W17" s="30"/>
      <c r="X17" s="30"/>
      <c r="Y17" s="30"/>
      <c r="Z17" s="30"/>
      <c r="AA17" s="30"/>
      <c r="AB17" s="30"/>
    </row>
    <row r="18" spans="1:28" ht="12.75" customHeight="1" x14ac:dyDescent="0.2">
      <c r="A18" s="30"/>
      <c r="B18" s="56"/>
      <c r="C18" s="35"/>
      <c r="D18" s="218"/>
      <c r="E18" s="151"/>
      <c r="F18" s="147"/>
      <c r="G18" s="221"/>
      <c r="H18" s="35"/>
      <c r="I18" s="35"/>
      <c r="J18" s="35"/>
      <c r="K18" s="151"/>
      <c r="L18" s="148">
        <f t="shared" si="3"/>
        <v>0</v>
      </c>
      <c r="M18" s="31"/>
      <c r="N18" s="31"/>
      <c r="O18" s="21">
        <f t="shared" si="0"/>
        <v>0</v>
      </c>
      <c r="P18" s="22">
        <f t="shared" si="4"/>
        <v>0</v>
      </c>
      <c r="Q18" s="21">
        <f t="shared" si="1"/>
        <v>0</v>
      </c>
      <c r="R18" s="22">
        <f t="shared" si="2"/>
        <v>0</v>
      </c>
      <c r="S18" s="30"/>
      <c r="T18" s="30"/>
      <c r="U18" s="30"/>
      <c r="V18" s="30"/>
      <c r="W18" s="30"/>
      <c r="X18" s="30"/>
      <c r="Y18" s="30"/>
      <c r="Z18" s="30"/>
      <c r="AA18" s="30"/>
      <c r="AB18" s="30"/>
    </row>
    <row r="19" spans="1:28" ht="12.75" customHeight="1" x14ac:dyDescent="0.2">
      <c r="A19" s="30"/>
      <c r="B19" s="56"/>
      <c r="C19" s="35"/>
      <c r="D19" s="218"/>
      <c r="E19" s="151"/>
      <c r="F19" s="147"/>
      <c r="G19" s="221"/>
      <c r="H19" s="35"/>
      <c r="I19" s="35"/>
      <c r="J19" s="35"/>
      <c r="K19" s="151"/>
      <c r="L19" s="148">
        <f t="shared" si="3"/>
        <v>0</v>
      </c>
      <c r="M19" s="31"/>
      <c r="N19" s="31"/>
      <c r="O19" s="21">
        <f t="shared" si="0"/>
        <v>0</v>
      </c>
      <c r="P19" s="22">
        <f t="shared" si="4"/>
        <v>0</v>
      </c>
      <c r="Q19" s="21">
        <f t="shared" si="1"/>
        <v>0</v>
      </c>
      <c r="R19" s="22">
        <f t="shared" si="2"/>
        <v>0</v>
      </c>
      <c r="S19" s="30"/>
      <c r="T19" s="30"/>
      <c r="U19" s="30"/>
      <c r="V19" s="30"/>
      <c r="W19" s="30"/>
      <c r="X19" s="30"/>
      <c r="Y19" s="30"/>
      <c r="Z19" s="30"/>
      <c r="AA19" s="30"/>
      <c r="AB19" s="30"/>
    </row>
    <row r="20" spans="1:28" ht="12.75" customHeight="1" x14ac:dyDescent="0.2">
      <c r="A20" s="30"/>
      <c r="B20" s="56"/>
      <c r="C20" s="35"/>
      <c r="D20" s="218"/>
      <c r="E20" s="151"/>
      <c r="F20" s="147"/>
      <c r="G20" s="221"/>
      <c r="H20" s="35"/>
      <c r="I20" s="35"/>
      <c r="J20" s="35"/>
      <c r="K20" s="151"/>
      <c r="L20" s="148">
        <f t="shared" si="3"/>
        <v>0</v>
      </c>
      <c r="M20" s="31"/>
      <c r="N20" s="31"/>
      <c r="O20" s="21">
        <f t="shared" si="0"/>
        <v>0</v>
      </c>
      <c r="P20" s="22">
        <f t="shared" si="4"/>
        <v>0</v>
      </c>
      <c r="Q20" s="21">
        <f t="shared" si="1"/>
        <v>0</v>
      </c>
      <c r="R20" s="22">
        <f t="shared" si="2"/>
        <v>0</v>
      </c>
      <c r="S20" s="30"/>
      <c r="T20" s="30"/>
      <c r="U20" s="30"/>
      <c r="V20" s="30"/>
      <c r="W20" s="30"/>
      <c r="X20" s="30"/>
      <c r="Y20" s="30"/>
      <c r="Z20" s="30"/>
      <c r="AA20" s="30"/>
      <c r="AB20" s="30"/>
    </row>
    <row r="21" spans="1:28" ht="12.75" customHeight="1" x14ac:dyDescent="0.2">
      <c r="A21" s="30"/>
      <c r="B21" s="56"/>
      <c r="C21" s="35"/>
      <c r="D21" s="218"/>
      <c r="E21" s="151"/>
      <c r="F21" s="147"/>
      <c r="G21" s="221"/>
      <c r="H21" s="35"/>
      <c r="I21" s="35"/>
      <c r="J21" s="35"/>
      <c r="K21" s="151"/>
      <c r="L21" s="148">
        <f t="shared" si="3"/>
        <v>0</v>
      </c>
      <c r="M21" s="31"/>
      <c r="N21" s="31"/>
      <c r="O21" s="21">
        <f t="shared" si="0"/>
        <v>0</v>
      </c>
      <c r="P21" s="22">
        <f t="shared" si="4"/>
        <v>0</v>
      </c>
      <c r="Q21" s="21">
        <f t="shared" si="1"/>
        <v>0</v>
      </c>
      <c r="R21" s="22">
        <f t="shared" si="2"/>
        <v>0</v>
      </c>
      <c r="S21" s="30"/>
      <c r="T21" s="30"/>
      <c r="U21" s="30"/>
      <c r="V21" s="30"/>
      <c r="W21" s="30"/>
      <c r="X21" s="30"/>
      <c r="Y21" s="30"/>
      <c r="Z21" s="30"/>
      <c r="AA21" s="30"/>
      <c r="AB21" s="30"/>
    </row>
    <row r="22" spans="1:28" ht="12.75" customHeight="1" x14ac:dyDescent="0.2">
      <c r="A22" s="30"/>
      <c r="B22" s="56"/>
      <c r="C22" s="35"/>
      <c r="D22" s="218"/>
      <c r="E22" s="151"/>
      <c r="F22" s="147"/>
      <c r="G22" s="221"/>
      <c r="H22" s="35"/>
      <c r="I22" s="35"/>
      <c r="J22" s="35"/>
      <c r="K22" s="151"/>
      <c r="L22" s="148">
        <f t="shared" si="3"/>
        <v>0</v>
      </c>
      <c r="M22" s="31"/>
      <c r="N22" s="31"/>
      <c r="O22" s="21">
        <f t="shared" si="0"/>
        <v>0</v>
      </c>
      <c r="P22" s="22">
        <f t="shared" si="4"/>
        <v>0</v>
      </c>
      <c r="Q22" s="21">
        <f t="shared" si="1"/>
        <v>0</v>
      </c>
      <c r="R22" s="22">
        <f t="shared" si="2"/>
        <v>0</v>
      </c>
      <c r="S22" s="30"/>
      <c r="T22" s="30"/>
      <c r="U22" s="30"/>
      <c r="V22" s="30"/>
      <c r="W22" s="30"/>
      <c r="X22" s="30"/>
      <c r="Y22" s="30"/>
      <c r="Z22" s="30"/>
      <c r="AA22" s="30"/>
      <c r="AB22" s="30"/>
    </row>
    <row r="23" spans="1:28" ht="12.75" customHeight="1" x14ac:dyDescent="0.2">
      <c r="A23" s="30"/>
      <c r="B23" s="56"/>
      <c r="C23" s="35"/>
      <c r="D23" s="218"/>
      <c r="E23" s="151"/>
      <c r="F23" s="147"/>
      <c r="G23" s="221"/>
      <c r="H23" s="35"/>
      <c r="I23" s="35"/>
      <c r="J23" s="35"/>
      <c r="K23" s="151"/>
      <c r="L23" s="148">
        <f t="shared" si="3"/>
        <v>0</v>
      </c>
      <c r="M23" s="31"/>
      <c r="N23" s="31"/>
      <c r="O23" s="21">
        <f t="shared" si="0"/>
        <v>0</v>
      </c>
      <c r="P23" s="22">
        <f t="shared" si="4"/>
        <v>0</v>
      </c>
      <c r="Q23" s="21">
        <f t="shared" si="1"/>
        <v>0</v>
      </c>
      <c r="R23" s="22">
        <f t="shared" si="2"/>
        <v>0</v>
      </c>
      <c r="S23" s="30"/>
      <c r="T23" s="30"/>
      <c r="U23" s="30"/>
      <c r="V23" s="30"/>
      <c r="W23" s="30"/>
      <c r="X23" s="30"/>
      <c r="Y23" s="30"/>
      <c r="Z23" s="30"/>
      <c r="AA23" s="30"/>
      <c r="AB23" s="30"/>
    </row>
    <row r="24" spans="1:28" ht="12.75" customHeight="1" x14ac:dyDescent="0.2">
      <c r="A24" s="30"/>
      <c r="B24" s="56"/>
      <c r="C24" s="35"/>
      <c r="D24" s="218"/>
      <c r="E24" s="151"/>
      <c r="F24" s="147"/>
      <c r="G24" s="221"/>
      <c r="H24" s="35"/>
      <c r="I24" s="35"/>
      <c r="J24" s="35"/>
      <c r="K24" s="151"/>
      <c r="L24" s="148">
        <f t="shared" si="3"/>
        <v>0</v>
      </c>
      <c r="M24" s="31"/>
      <c r="N24" s="31"/>
      <c r="O24" s="21">
        <f t="shared" si="0"/>
        <v>0</v>
      </c>
      <c r="P24" s="22">
        <f t="shared" si="4"/>
        <v>0</v>
      </c>
      <c r="Q24" s="21">
        <f t="shared" si="1"/>
        <v>0</v>
      </c>
      <c r="R24" s="22">
        <f t="shared" si="2"/>
        <v>0</v>
      </c>
      <c r="S24" s="30"/>
      <c r="T24" s="30"/>
      <c r="U24" s="30"/>
      <c r="V24" s="30"/>
      <c r="W24" s="30"/>
      <c r="X24" s="30"/>
      <c r="Y24" s="30"/>
      <c r="Z24" s="30"/>
      <c r="AA24" s="30"/>
      <c r="AB24" s="30"/>
    </row>
    <row r="25" spans="1:28" ht="12.75" customHeight="1" x14ac:dyDescent="0.2">
      <c r="A25" s="30"/>
      <c r="B25" s="56"/>
      <c r="C25" s="35"/>
      <c r="D25" s="218"/>
      <c r="E25" s="151"/>
      <c r="F25" s="147"/>
      <c r="G25" s="221"/>
      <c r="H25" s="35"/>
      <c r="I25" s="35"/>
      <c r="J25" s="35"/>
      <c r="K25" s="151"/>
      <c r="L25" s="148">
        <f t="shared" si="3"/>
        <v>0</v>
      </c>
      <c r="M25" s="31"/>
      <c r="N25" s="31"/>
      <c r="O25" s="21">
        <f t="shared" si="0"/>
        <v>0</v>
      </c>
      <c r="P25" s="22">
        <f t="shared" si="4"/>
        <v>0</v>
      </c>
      <c r="Q25" s="21">
        <f t="shared" si="1"/>
        <v>0</v>
      </c>
      <c r="R25" s="22">
        <f t="shared" si="2"/>
        <v>0</v>
      </c>
      <c r="S25" s="30"/>
      <c r="T25" s="30"/>
      <c r="U25" s="30"/>
      <c r="V25" s="30"/>
      <c r="W25" s="30"/>
      <c r="X25" s="30"/>
      <c r="Y25" s="30"/>
      <c r="Z25" s="30"/>
      <c r="AA25" s="30"/>
      <c r="AB25" s="30"/>
    </row>
    <row r="26" spans="1:28" ht="12.75" customHeight="1" x14ac:dyDescent="0.2">
      <c r="A26" s="30"/>
      <c r="B26" s="56"/>
      <c r="C26" s="35"/>
      <c r="D26" s="218"/>
      <c r="E26" s="151"/>
      <c r="F26" s="147"/>
      <c r="G26" s="221"/>
      <c r="H26" s="35"/>
      <c r="I26" s="35"/>
      <c r="J26" s="35"/>
      <c r="K26" s="151"/>
      <c r="L26" s="148">
        <f t="shared" si="3"/>
        <v>0</v>
      </c>
      <c r="M26" s="31"/>
      <c r="N26" s="31"/>
      <c r="O26" s="21">
        <f t="shared" si="0"/>
        <v>0</v>
      </c>
      <c r="P26" s="22">
        <f t="shared" si="4"/>
        <v>0</v>
      </c>
      <c r="Q26" s="21">
        <f t="shared" si="1"/>
        <v>0</v>
      </c>
      <c r="R26" s="22">
        <f t="shared" si="2"/>
        <v>0</v>
      </c>
      <c r="S26" s="30"/>
      <c r="T26" s="30"/>
      <c r="U26" s="30"/>
      <c r="V26" s="30"/>
      <c r="W26" s="30"/>
      <c r="X26" s="30"/>
      <c r="Y26" s="30"/>
      <c r="Z26" s="30"/>
      <c r="AA26" s="30"/>
      <c r="AB26" s="30"/>
    </row>
    <row r="27" spans="1:28" ht="12.75" customHeight="1" x14ac:dyDescent="0.2">
      <c r="A27" s="30"/>
      <c r="B27" s="56"/>
      <c r="C27" s="35"/>
      <c r="D27" s="218"/>
      <c r="E27" s="151"/>
      <c r="F27" s="147"/>
      <c r="G27" s="221"/>
      <c r="H27" s="35"/>
      <c r="I27" s="35"/>
      <c r="J27" s="35"/>
      <c r="K27" s="151"/>
      <c r="L27" s="148">
        <f t="shared" si="3"/>
        <v>0</v>
      </c>
      <c r="M27" s="31"/>
      <c r="N27" s="31"/>
      <c r="O27" s="21">
        <f t="shared" si="0"/>
        <v>0</v>
      </c>
      <c r="P27" s="22">
        <f t="shared" si="4"/>
        <v>0</v>
      </c>
      <c r="Q27" s="21">
        <f t="shared" si="1"/>
        <v>0</v>
      </c>
      <c r="R27" s="22">
        <f t="shared" si="2"/>
        <v>0</v>
      </c>
      <c r="S27" s="30"/>
      <c r="T27" s="30"/>
      <c r="U27" s="30"/>
      <c r="V27" s="30"/>
      <c r="W27" s="30"/>
      <c r="X27" s="30"/>
      <c r="Y27" s="30"/>
      <c r="Z27" s="30"/>
      <c r="AA27" s="30"/>
      <c r="AB27" s="30"/>
    </row>
    <row r="28" spans="1:28" ht="12.75" customHeight="1" x14ac:dyDescent="0.2">
      <c r="A28" s="30"/>
      <c r="B28" s="56"/>
      <c r="C28" s="35"/>
      <c r="D28" s="218"/>
      <c r="E28" s="151"/>
      <c r="F28" s="147"/>
      <c r="G28" s="221"/>
      <c r="H28" s="35"/>
      <c r="I28" s="35"/>
      <c r="J28" s="35"/>
      <c r="K28" s="151"/>
      <c r="L28" s="148">
        <f t="shared" si="3"/>
        <v>0</v>
      </c>
      <c r="M28" s="31"/>
      <c r="N28" s="31"/>
      <c r="O28" s="21">
        <f t="shared" si="0"/>
        <v>0</v>
      </c>
      <c r="P28" s="22">
        <f t="shared" si="4"/>
        <v>0</v>
      </c>
      <c r="Q28" s="21">
        <f t="shared" si="1"/>
        <v>0</v>
      </c>
      <c r="R28" s="22">
        <f t="shared" si="2"/>
        <v>0</v>
      </c>
      <c r="S28" s="30"/>
      <c r="T28" s="30"/>
      <c r="U28" s="30"/>
      <c r="V28" s="30"/>
      <c r="W28" s="30"/>
      <c r="X28" s="30"/>
      <c r="Y28" s="30"/>
      <c r="Z28" s="30"/>
      <c r="AA28" s="30"/>
      <c r="AB28" s="30"/>
    </row>
    <row r="29" spans="1:28" ht="12.75" customHeight="1" x14ac:dyDescent="0.2">
      <c r="A29" s="30"/>
      <c r="B29" s="56"/>
      <c r="C29" s="35"/>
      <c r="D29" s="218"/>
      <c r="E29" s="151"/>
      <c r="F29" s="147"/>
      <c r="G29" s="221"/>
      <c r="H29" s="35"/>
      <c r="I29" s="35"/>
      <c r="J29" s="35"/>
      <c r="K29" s="151"/>
      <c r="L29" s="148">
        <f t="shared" si="3"/>
        <v>0</v>
      </c>
      <c r="M29" s="31"/>
      <c r="N29" s="31"/>
      <c r="O29" s="21">
        <f t="shared" si="0"/>
        <v>0</v>
      </c>
      <c r="P29" s="22">
        <f t="shared" si="4"/>
        <v>0</v>
      </c>
      <c r="Q29" s="21">
        <f t="shared" si="1"/>
        <v>0</v>
      </c>
      <c r="R29" s="22">
        <f t="shared" si="2"/>
        <v>0</v>
      </c>
      <c r="S29" s="30"/>
      <c r="T29" s="30"/>
      <c r="U29" s="30"/>
      <c r="V29" s="30"/>
      <c r="W29" s="30"/>
      <c r="X29" s="30"/>
      <c r="Y29" s="30"/>
      <c r="Z29" s="30"/>
      <c r="AA29" s="30"/>
      <c r="AB29" s="30"/>
    </row>
    <row r="30" spans="1:28" ht="12.75" customHeight="1" x14ac:dyDescent="0.2">
      <c r="A30" s="30"/>
      <c r="B30" s="56"/>
      <c r="C30" s="35"/>
      <c r="D30" s="218"/>
      <c r="E30" s="151"/>
      <c r="F30" s="147"/>
      <c r="G30" s="221"/>
      <c r="H30" s="35"/>
      <c r="I30" s="35"/>
      <c r="J30" s="35"/>
      <c r="K30" s="151"/>
      <c r="L30" s="148">
        <f t="shared" si="3"/>
        <v>0</v>
      </c>
      <c r="M30" s="31"/>
      <c r="N30" s="31"/>
      <c r="O30" s="21">
        <f t="shared" si="0"/>
        <v>0</v>
      </c>
      <c r="P30" s="22">
        <f t="shared" si="4"/>
        <v>0</v>
      </c>
      <c r="Q30" s="21">
        <f t="shared" si="1"/>
        <v>0</v>
      </c>
      <c r="R30" s="22">
        <f t="shared" si="2"/>
        <v>0</v>
      </c>
      <c r="S30" s="30"/>
      <c r="T30" s="30"/>
      <c r="U30" s="30"/>
      <c r="V30" s="30"/>
      <c r="W30" s="30"/>
      <c r="X30" s="30"/>
      <c r="Y30" s="30"/>
      <c r="Z30" s="30"/>
      <c r="AA30" s="30"/>
      <c r="AB30" s="30"/>
    </row>
    <row r="31" spans="1:28" ht="12.75" customHeight="1" x14ac:dyDescent="0.2">
      <c r="A31" s="30"/>
      <c r="B31" s="56"/>
      <c r="C31" s="35"/>
      <c r="D31" s="218"/>
      <c r="E31" s="151"/>
      <c r="F31" s="147"/>
      <c r="G31" s="221"/>
      <c r="H31" s="35"/>
      <c r="I31" s="35"/>
      <c r="J31" s="35"/>
      <c r="K31" s="151"/>
      <c r="L31" s="148">
        <f t="shared" si="3"/>
        <v>0</v>
      </c>
      <c r="M31" s="31"/>
      <c r="N31" s="31"/>
      <c r="O31" s="21">
        <f t="shared" si="0"/>
        <v>0</v>
      </c>
      <c r="P31" s="22">
        <f t="shared" si="4"/>
        <v>0</v>
      </c>
      <c r="Q31" s="21">
        <f t="shared" si="1"/>
        <v>0</v>
      </c>
      <c r="R31" s="22">
        <f t="shared" si="2"/>
        <v>0</v>
      </c>
      <c r="S31" s="30"/>
      <c r="T31" s="30"/>
      <c r="U31" s="30"/>
      <c r="V31" s="30"/>
      <c r="W31" s="30"/>
      <c r="X31" s="30"/>
      <c r="Y31" s="30"/>
      <c r="Z31" s="30"/>
      <c r="AA31" s="30"/>
      <c r="AB31" s="30"/>
    </row>
    <row r="32" spans="1:28" ht="12.75" customHeight="1" x14ac:dyDescent="0.2">
      <c r="A32" s="30"/>
      <c r="B32" s="56"/>
      <c r="C32" s="35"/>
      <c r="D32" s="218"/>
      <c r="E32" s="151"/>
      <c r="F32" s="147"/>
      <c r="G32" s="221"/>
      <c r="H32" s="35"/>
      <c r="I32" s="35"/>
      <c r="J32" s="35"/>
      <c r="K32" s="151"/>
      <c r="L32" s="148">
        <f t="shared" si="3"/>
        <v>0</v>
      </c>
      <c r="M32" s="31"/>
      <c r="N32" s="31"/>
      <c r="O32" s="21">
        <f t="shared" si="0"/>
        <v>0</v>
      </c>
      <c r="P32" s="22">
        <f t="shared" si="4"/>
        <v>0</v>
      </c>
      <c r="Q32" s="21">
        <f t="shared" si="1"/>
        <v>0</v>
      </c>
      <c r="R32" s="22">
        <f t="shared" si="2"/>
        <v>0</v>
      </c>
      <c r="S32" s="30"/>
      <c r="T32" s="30"/>
      <c r="U32" s="30"/>
      <c r="V32" s="30"/>
      <c r="W32" s="30"/>
      <c r="X32" s="30"/>
      <c r="Y32" s="30"/>
      <c r="Z32" s="30"/>
      <c r="AA32" s="30"/>
      <c r="AB32" s="30"/>
    </row>
    <row r="33" spans="1:28" ht="12.75" customHeight="1" x14ac:dyDescent="0.2">
      <c r="A33" s="30"/>
      <c r="B33" s="56"/>
      <c r="C33" s="35"/>
      <c r="D33" s="218"/>
      <c r="E33" s="151"/>
      <c r="F33" s="147"/>
      <c r="G33" s="221"/>
      <c r="H33" s="35"/>
      <c r="I33" s="35"/>
      <c r="J33" s="35"/>
      <c r="K33" s="151"/>
      <c r="L33" s="148">
        <f t="shared" si="3"/>
        <v>0</v>
      </c>
      <c r="M33" s="31"/>
      <c r="N33" s="31"/>
      <c r="O33" s="21">
        <f t="shared" si="0"/>
        <v>0</v>
      </c>
      <c r="P33" s="22">
        <f t="shared" si="4"/>
        <v>0</v>
      </c>
      <c r="Q33" s="21">
        <f t="shared" si="1"/>
        <v>0</v>
      </c>
      <c r="R33" s="22">
        <f t="shared" si="2"/>
        <v>0</v>
      </c>
      <c r="S33" s="30"/>
      <c r="T33" s="30"/>
      <c r="U33" s="30"/>
      <c r="V33" s="30"/>
      <c r="W33" s="30"/>
      <c r="X33" s="30"/>
      <c r="Y33" s="30"/>
      <c r="Z33" s="30"/>
      <c r="AA33" s="30"/>
      <c r="AB33" s="30"/>
    </row>
    <row r="34" spans="1:28" ht="12.75" customHeight="1" x14ac:dyDescent="0.2">
      <c r="A34" s="30"/>
      <c r="B34" s="56"/>
      <c r="C34" s="35"/>
      <c r="D34" s="218"/>
      <c r="E34" s="151"/>
      <c r="F34" s="147"/>
      <c r="G34" s="221"/>
      <c r="H34" s="35"/>
      <c r="I34" s="35"/>
      <c r="J34" s="35"/>
      <c r="K34" s="151"/>
      <c r="L34" s="148">
        <f t="shared" si="3"/>
        <v>0</v>
      </c>
      <c r="M34" s="31"/>
      <c r="N34" s="31"/>
      <c r="O34" s="21">
        <f t="shared" si="0"/>
        <v>0</v>
      </c>
      <c r="P34" s="22">
        <f t="shared" si="4"/>
        <v>0</v>
      </c>
      <c r="Q34" s="21">
        <f t="shared" si="1"/>
        <v>0</v>
      </c>
      <c r="R34" s="22">
        <f t="shared" si="2"/>
        <v>0</v>
      </c>
      <c r="S34" s="30"/>
      <c r="T34" s="30"/>
      <c r="U34" s="30"/>
      <c r="V34" s="30"/>
      <c r="W34" s="30"/>
      <c r="X34" s="30"/>
      <c r="Y34" s="30"/>
      <c r="Z34" s="30"/>
      <c r="AA34" s="30"/>
      <c r="AB34" s="30"/>
    </row>
    <row r="35" spans="1:28" ht="12.75" customHeight="1" x14ac:dyDescent="0.2">
      <c r="A35" s="30"/>
      <c r="B35" s="56"/>
      <c r="C35" s="35"/>
      <c r="D35" s="218"/>
      <c r="E35" s="151"/>
      <c r="F35" s="147"/>
      <c r="G35" s="221"/>
      <c r="H35" s="35"/>
      <c r="I35" s="35"/>
      <c r="J35" s="35"/>
      <c r="K35" s="151"/>
      <c r="L35" s="148">
        <f t="shared" si="3"/>
        <v>0</v>
      </c>
      <c r="M35" s="31"/>
      <c r="N35" s="31"/>
      <c r="O35" s="21">
        <f t="shared" si="0"/>
        <v>0</v>
      </c>
      <c r="P35" s="22">
        <f t="shared" si="4"/>
        <v>0</v>
      </c>
      <c r="Q35" s="21">
        <f t="shared" si="1"/>
        <v>0</v>
      </c>
      <c r="R35" s="22">
        <f t="shared" si="2"/>
        <v>0</v>
      </c>
      <c r="S35" s="30"/>
      <c r="T35" s="30"/>
      <c r="U35" s="30"/>
      <c r="V35" s="30"/>
      <c r="W35" s="30"/>
      <c r="X35" s="30"/>
      <c r="Y35" s="30"/>
      <c r="Z35" s="30"/>
      <c r="AA35" s="30"/>
      <c r="AB35" s="30"/>
    </row>
    <row r="36" spans="1:28" ht="12.75" customHeight="1" x14ac:dyDescent="0.2">
      <c r="A36" s="30"/>
      <c r="B36" s="56"/>
      <c r="C36" s="35"/>
      <c r="D36" s="218"/>
      <c r="E36" s="151"/>
      <c r="F36" s="147"/>
      <c r="G36" s="221"/>
      <c r="H36" s="35"/>
      <c r="I36" s="35"/>
      <c r="J36" s="35"/>
      <c r="K36" s="151"/>
      <c r="L36" s="148">
        <f t="shared" si="3"/>
        <v>0</v>
      </c>
      <c r="M36" s="31"/>
      <c r="N36" s="31"/>
      <c r="O36" s="21">
        <f t="shared" si="0"/>
        <v>0</v>
      </c>
      <c r="P36" s="22">
        <f t="shared" si="4"/>
        <v>0</v>
      </c>
      <c r="Q36" s="21">
        <f t="shared" si="1"/>
        <v>0</v>
      </c>
      <c r="R36" s="22">
        <f t="shared" si="2"/>
        <v>0</v>
      </c>
      <c r="S36" s="30"/>
      <c r="T36" s="30"/>
      <c r="U36" s="30"/>
      <c r="V36" s="30"/>
      <c r="W36" s="30"/>
      <c r="X36" s="30"/>
      <c r="Y36" s="30"/>
      <c r="Z36" s="30"/>
      <c r="AA36" s="30"/>
      <c r="AB36" s="30"/>
    </row>
    <row r="37" spans="1:28" ht="12.75" customHeight="1" x14ac:dyDescent="0.2">
      <c r="A37" s="30"/>
      <c r="B37" s="56"/>
      <c r="C37" s="35"/>
      <c r="D37" s="218"/>
      <c r="E37" s="151"/>
      <c r="F37" s="147"/>
      <c r="G37" s="221"/>
      <c r="H37" s="35"/>
      <c r="I37" s="35"/>
      <c r="J37" s="35"/>
      <c r="K37" s="151"/>
      <c r="L37" s="148">
        <f t="shared" si="3"/>
        <v>0</v>
      </c>
      <c r="M37" s="31"/>
      <c r="N37" s="31"/>
      <c r="O37" s="21">
        <f t="shared" si="0"/>
        <v>0</v>
      </c>
      <c r="P37" s="22">
        <f t="shared" si="4"/>
        <v>0</v>
      </c>
      <c r="Q37" s="21">
        <f t="shared" si="1"/>
        <v>0</v>
      </c>
      <c r="R37" s="22">
        <f t="shared" si="2"/>
        <v>0</v>
      </c>
      <c r="S37" s="30"/>
      <c r="T37" s="30"/>
      <c r="U37" s="30"/>
      <c r="V37" s="30"/>
      <c r="W37" s="30"/>
      <c r="X37" s="30"/>
      <c r="Y37" s="30"/>
      <c r="Z37" s="30"/>
      <c r="AA37" s="30"/>
      <c r="AB37" s="30"/>
    </row>
    <row r="38" spans="1:28" ht="12.75" customHeight="1" x14ac:dyDescent="0.2">
      <c r="A38" s="30"/>
      <c r="B38" s="56"/>
      <c r="C38" s="35"/>
      <c r="D38" s="218"/>
      <c r="E38" s="151"/>
      <c r="F38" s="147"/>
      <c r="G38" s="221"/>
      <c r="H38" s="35"/>
      <c r="I38" s="35"/>
      <c r="J38" s="35"/>
      <c r="K38" s="151"/>
      <c r="L38" s="148">
        <f t="shared" si="3"/>
        <v>0</v>
      </c>
      <c r="M38" s="31"/>
      <c r="N38" s="31"/>
      <c r="O38" s="21">
        <f t="shared" si="0"/>
        <v>0</v>
      </c>
      <c r="P38" s="22">
        <f t="shared" si="4"/>
        <v>0</v>
      </c>
      <c r="Q38" s="21">
        <f t="shared" si="1"/>
        <v>0</v>
      </c>
      <c r="R38" s="22">
        <f t="shared" si="2"/>
        <v>0</v>
      </c>
      <c r="S38" s="30"/>
      <c r="T38" s="30"/>
      <c r="U38" s="30"/>
      <c r="V38" s="30"/>
      <c r="W38" s="30"/>
      <c r="X38" s="30"/>
      <c r="Y38" s="30"/>
      <c r="Z38" s="30"/>
      <c r="AA38" s="30"/>
      <c r="AB38" s="30"/>
    </row>
    <row r="39" spans="1:28" ht="12.75" customHeight="1" x14ac:dyDescent="0.2">
      <c r="A39" s="30"/>
      <c r="B39" s="56"/>
      <c r="C39" s="35"/>
      <c r="D39" s="218"/>
      <c r="E39" s="151"/>
      <c r="F39" s="147"/>
      <c r="G39" s="221"/>
      <c r="H39" s="35"/>
      <c r="I39" s="35"/>
      <c r="J39" s="35"/>
      <c r="K39" s="151"/>
      <c r="L39" s="148">
        <f t="shared" si="3"/>
        <v>0</v>
      </c>
      <c r="M39" s="31"/>
      <c r="N39" s="31"/>
      <c r="O39" s="21">
        <f t="shared" si="0"/>
        <v>0</v>
      </c>
      <c r="P39" s="22">
        <f t="shared" si="4"/>
        <v>0</v>
      </c>
      <c r="Q39" s="21">
        <f t="shared" si="1"/>
        <v>0</v>
      </c>
      <c r="R39" s="22">
        <f t="shared" si="2"/>
        <v>0</v>
      </c>
      <c r="S39" s="30"/>
      <c r="T39" s="30"/>
      <c r="U39" s="30"/>
      <c r="V39" s="30"/>
      <c r="W39" s="30"/>
      <c r="X39" s="30"/>
      <c r="Y39" s="30"/>
      <c r="Z39" s="30"/>
      <c r="AA39" s="30"/>
      <c r="AB39" s="30"/>
    </row>
    <row r="40" spans="1:28" ht="12.75" customHeight="1" x14ac:dyDescent="0.2">
      <c r="A40" s="30"/>
      <c r="B40" s="56"/>
      <c r="C40" s="35"/>
      <c r="D40" s="218"/>
      <c r="E40" s="151"/>
      <c r="F40" s="147"/>
      <c r="G40" s="221"/>
      <c r="H40" s="35"/>
      <c r="I40" s="35"/>
      <c r="J40" s="35"/>
      <c r="K40" s="151"/>
      <c r="L40" s="148">
        <f t="shared" si="3"/>
        <v>0</v>
      </c>
      <c r="M40" s="31"/>
      <c r="N40" s="31"/>
      <c r="O40" s="21">
        <f t="shared" si="0"/>
        <v>0</v>
      </c>
      <c r="P40" s="22">
        <f t="shared" si="4"/>
        <v>0</v>
      </c>
      <c r="Q40" s="21">
        <f t="shared" si="1"/>
        <v>0</v>
      </c>
      <c r="R40" s="22">
        <f t="shared" si="2"/>
        <v>0</v>
      </c>
      <c r="S40" s="30"/>
      <c r="T40" s="30"/>
      <c r="U40" s="30"/>
      <c r="V40" s="30"/>
      <c r="W40" s="30"/>
      <c r="X40" s="30"/>
      <c r="Y40" s="30"/>
      <c r="Z40" s="30"/>
      <c r="AA40" s="30"/>
      <c r="AB40" s="30"/>
    </row>
    <row r="41" spans="1:28" ht="12.75" customHeight="1" x14ac:dyDescent="0.2">
      <c r="A41" s="30"/>
      <c r="B41" s="56"/>
      <c r="C41" s="35"/>
      <c r="D41" s="218"/>
      <c r="E41" s="151"/>
      <c r="F41" s="147"/>
      <c r="G41" s="221"/>
      <c r="H41" s="35"/>
      <c r="I41" s="35"/>
      <c r="J41" s="35"/>
      <c r="K41" s="151"/>
      <c r="L41" s="148">
        <f t="shared" si="3"/>
        <v>0</v>
      </c>
      <c r="M41" s="31"/>
      <c r="N41" s="31"/>
      <c r="O41" s="21">
        <f t="shared" si="0"/>
        <v>0</v>
      </c>
      <c r="P41" s="22">
        <f t="shared" si="4"/>
        <v>0</v>
      </c>
      <c r="Q41" s="21">
        <f t="shared" si="1"/>
        <v>0</v>
      </c>
      <c r="R41" s="22">
        <f t="shared" si="2"/>
        <v>0</v>
      </c>
      <c r="S41" s="30"/>
      <c r="T41" s="30"/>
      <c r="U41" s="30"/>
      <c r="V41" s="30"/>
      <c r="W41" s="30"/>
      <c r="X41" s="30"/>
      <c r="Y41" s="30"/>
      <c r="Z41" s="30"/>
      <c r="AA41" s="30"/>
      <c r="AB41" s="30"/>
    </row>
    <row r="42" spans="1:28" ht="12.75" customHeight="1" thickBot="1" x14ac:dyDescent="0.25">
      <c r="A42" s="30"/>
      <c r="B42" s="188"/>
      <c r="C42" s="24"/>
      <c r="D42" s="223"/>
      <c r="E42" s="25"/>
      <c r="F42" s="224"/>
      <c r="G42" s="103"/>
      <c r="H42" s="24"/>
      <c r="I42" s="24"/>
      <c r="J42" s="24"/>
      <c r="K42" s="25"/>
      <c r="L42" s="225">
        <f t="shared" si="3"/>
        <v>0</v>
      </c>
      <c r="M42" s="31"/>
      <c r="N42" s="31"/>
      <c r="O42" s="21">
        <f t="shared" si="0"/>
        <v>0</v>
      </c>
      <c r="P42" s="22">
        <f t="shared" si="4"/>
        <v>0</v>
      </c>
      <c r="Q42" s="21">
        <f t="shared" si="1"/>
        <v>0</v>
      </c>
      <c r="R42" s="22">
        <f t="shared" si="2"/>
        <v>0</v>
      </c>
      <c r="S42" s="30"/>
      <c r="T42" s="30"/>
      <c r="U42" s="30"/>
      <c r="V42" s="30"/>
      <c r="W42" s="30"/>
      <c r="X42" s="30"/>
      <c r="Y42" s="30"/>
      <c r="Z42" s="30"/>
      <c r="AA42" s="30"/>
      <c r="AB42" s="30"/>
    </row>
    <row r="43" spans="1:28" ht="12.75" customHeight="1" thickBot="1" x14ac:dyDescent="0.25">
      <c r="A43" s="30"/>
      <c r="B43" s="101"/>
      <c r="C43" s="101"/>
      <c r="D43" s="101"/>
      <c r="E43" s="101"/>
      <c r="F43" s="101"/>
      <c r="G43" s="101"/>
      <c r="H43" s="101"/>
      <c r="I43" s="101"/>
      <c r="J43" s="101"/>
      <c r="K43" s="101"/>
      <c r="L43" s="82"/>
      <c r="M43" s="155"/>
      <c r="N43" s="30"/>
      <c r="O43" s="232">
        <f>SUM(O5:O42)</f>
        <v>0</v>
      </c>
      <c r="P43" s="233">
        <f>SUM(P5:P42)</f>
        <v>0</v>
      </c>
      <c r="Q43" s="232">
        <f>SUM(Q5:Q42)</f>
        <v>0</v>
      </c>
      <c r="R43" s="233">
        <f>SUM(R5:R42)</f>
        <v>0</v>
      </c>
      <c r="S43" s="30"/>
      <c r="T43" s="30"/>
      <c r="U43" s="30"/>
      <c r="V43" s="30"/>
      <c r="W43" s="30"/>
      <c r="X43" s="30"/>
      <c r="Y43" s="30"/>
      <c r="Z43" s="30"/>
      <c r="AA43" s="30"/>
      <c r="AB43" s="30"/>
    </row>
    <row r="44" spans="1:28" ht="12.75" customHeight="1" x14ac:dyDescent="0.2">
      <c r="A44" s="30"/>
      <c r="B44" s="226" t="str">
        <f>IF(AND(AND(O43=0,P43=0),OR(Q43&lt;&gt;0,R43&lt;&gt;0)),"Improved appr. within the Funct. limits shall consist of:","Improved appr. within the P.M. limits shall consist of:")</f>
        <v>Improved appr. within the P.M. limits shall consist of:</v>
      </c>
      <c r="C44" s="83"/>
      <c r="D44" s="83"/>
      <c r="E44" s="83"/>
      <c r="F44" s="226" t="str">
        <f>IF(AND(OR(O43&lt;&gt;0,P43&lt;&gt;0),OR(Q43&lt;&gt;0,R43&lt;&gt;0)),"Improved appr. within the Funct. limits shall consist of:","Unimproved/ Reconstructed approaches shall consist of:")</f>
        <v>Unimproved/ Reconstructed approaches shall consist of:</v>
      </c>
      <c r="J44" s="226"/>
      <c r="K44" s="83"/>
      <c r="L44" s="83"/>
      <c r="M44" s="83"/>
      <c r="N44" s="101"/>
      <c r="O44" s="101"/>
      <c r="P44" s="227" t="s">
        <v>227</v>
      </c>
      <c r="Q44" s="86"/>
      <c r="R44" s="207"/>
      <c r="S44" s="227" t="s">
        <v>228</v>
      </c>
      <c r="T44" s="86"/>
      <c r="U44" s="101"/>
      <c r="V44" s="101"/>
      <c r="W44" s="30"/>
      <c r="X44" s="30"/>
      <c r="Y44" s="30"/>
      <c r="Z44" s="30"/>
      <c r="AA44" s="30"/>
      <c r="AB44" s="30"/>
    </row>
    <row r="45" spans="1:28" ht="12.75" customHeight="1" x14ac:dyDescent="0.2">
      <c r="A45" s="30"/>
      <c r="B45" s="86" t="str">
        <f>IF(AND(AND(O43=0,P43=0),OR(Q43&lt;&gt;0,R43&lt;&gt;0)),S45&amp;" #/sys HMA Surface, Type"&amp;" "&amp;$P$48&amp;" on",P45&amp;" #/sys HMA Surface, Type"&amp;" "&amp;$P$48&amp;" on")</f>
        <v xml:space="preserve"> #/sys HMA Surface, Type 0 on</v>
      </c>
      <c r="C45" s="101"/>
      <c r="D45" s="86"/>
      <c r="E45" s="86"/>
      <c r="F45" s="86" t="str">
        <f>IF(AND(OR(O43&lt;&gt;0,P43&lt;&gt;0),OR(Q43&lt;&gt;0,R43&lt;&gt;0)),S45&amp;" #/sys HMA Surface, Type"&amp;" "&amp;$P$48&amp;" on",S49&amp;" #/sys HMA Surface, Type"&amp;" "&amp;$P$48&amp;" on")</f>
        <v>165 #/sys HMA Surface, Type 0 on</v>
      </c>
      <c r="J45" s="101"/>
      <c r="K45" s="101"/>
      <c r="L45" s="86"/>
      <c r="M45" s="86"/>
      <c r="N45" s="30"/>
      <c r="O45" s="251" t="s">
        <v>407</v>
      </c>
      <c r="P45" s="100"/>
      <c r="Q45" s="86" t="s">
        <v>36</v>
      </c>
      <c r="R45" s="304" t="s">
        <v>407</v>
      </c>
      <c r="S45" s="100"/>
      <c r="T45" s="86" t="s">
        <v>36</v>
      </c>
      <c r="U45" s="101"/>
      <c r="V45" s="101"/>
      <c r="Y45" s="30"/>
      <c r="Z45" s="30"/>
      <c r="AA45" s="30"/>
      <c r="AB45" s="30"/>
    </row>
    <row r="46" spans="1:28" ht="12.75" customHeight="1" x14ac:dyDescent="0.2">
      <c r="A46" s="30"/>
      <c r="B46" s="86" t="str">
        <f>IF(AND(AND(O43=0,P43=0),OR(Q43&lt;&gt;0,R43&lt;&gt;0)),S46&amp;" #/sys HMA Intermediate, Type"&amp;" "&amp;$P$48&amp;" on","Milling, Approach")</f>
        <v>Milling, Approach</v>
      </c>
      <c r="C46" s="86"/>
      <c r="D46" s="86"/>
      <c r="E46" s="86"/>
      <c r="F46" s="86" t="str">
        <f>IF(AND(OR(O43&lt;&gt;0,P43&lt;&gt;0),OR(Q43&lt;&gt;0,R43&lt;&gt;0)),IF(S46=0,"",S46)&amp;" #/sys HMA Intermediate, Type"&amp;" "&amp;$P$48&amp;" on",S50&amp;" #/sys HMA Intermediate, Type"&amp;" "&amp;$P$48&amp;" on")</f>
        <v>275 #/sys HMA Intermediate, Type 0 on</v>
      </c>
      <c r="J46" s="101"/>
      <c r="K46" s="101"/>
      <c r="L46" s="86"/>
      <c r="M46" s="86"/>
      <c r="N46" s="30"/>
      <c r="O46" s="101"/>
      <c r="P46" s="174">
        <v>1</v>
      </c>
      <c r="Q46" s="86" t="s">
        <v>86</v>
      </c>
      <c r="R46" s="304" t="s">
        <v>408</v>
      </c>
      <c r="S46" s="100"/>
      <c r="T46" s="86" t="s">
        <v>36</v>
      </c>
      <c r="U46" s="101"/>
      <c r="V46" s="101"/>
      <c r="Y46" s="30"/>
      <c r="Z46" s="30"/>
      <c r="AA46" s="30"/>
      <c r="AB46" s="30"/>
    </row>
    <row r="47" spans="1:28" ht="12.75" customHeight="1" x14ac:dyDescent="0.2">
      <c r="A47" s="30"/>
      <c r="B47" s="101">
        <f>IF(AND(AND(O43=0,P43=0),OR(Q43&lt;&gt;0,R43&lt;&gt;0)),"Milling, Approach",0)</f>
        <v>0</v>
      </c>
      <c r="C47" s="101"/>
      <c r="D47" s="86"/>
      <c r="E47" s="86"/>
      <c r="F47" s="228" t="str">
        <f>IF(AND(OR(O43&lt;&gt;0,P43&lt;&gt;0),OR(Q43&lt;&gt;0,R43&lt;&gt;0)),"Milling, Approach", S51&amp;" #/sys HMA Base, Type"&amp;" "&amp;$P$48&amp;" on")</f>
        <v>880 #/sys HMA Base, Type 0 on</v>
      </c>
      <c r="J47" s="86"/>
      <c r="K47" s="86"/>
      <c r="L47" s="86"/>
      <c r="M47" s="86"/>
      <c r="N47" s="30"/>
      <c r="O47" s="101"/>
      <c r="P47" s="101"/>
      <c r="Q47" s="101"/>
      <c r="R47" s="207"/>
      <c r="S47" s="174">
        <v>2</v>
      </c>
      <c r="T47" s="86" t="s">
        <v>86</v>
      </c>
      <c r="U47" s="101"/>
      <c r="V47" s="101"/>
      <c r="Y47" s="30"/>
      <c r="Z47" s="30"/>
      <c r="AA47" s="30"/>
      <c r="AB47" s="30"/>
    </row>
    <row r="48" spans="1:28" x14ac:dyDescent="0.2">
      <c r="A48" s="30"/>
      <c r="C48" s="86"/>
      <c r="D48" s="86"/>
      <c r="E48" s="86"/>
      <c r="F48" s="127" t="str">
        <f>IF(AND(OR(O43&lt;&gt;0,P43&lt;&gt;0),OR(Q43&lt;&gt;0,R43&lt;&gt;0)), "", "Subgrade Treatment, Type II")</f>
        <v>Subgrade Treatment, Type II</v>
      </c>
      <c r="J48" s="101"/>
      <c r="K48" s="86"/>
      <c r="L48" s="82"/>
      <c r="M48" s="155"/>
      <c r="N48" s="30"/>
      <c r="O48" s="101"/>
      <c r="P48" s="174">
        <f>IF(P49=0,Patching!L35,P49)</f>
        <v>0</v>
      </c>
      <c r="Q48" s="101" t="s">
        <v>390</v>
      </c>
      <c r="R48" s="207"/>
      <c r="S48" s="227" t="s">
        <v>881</v>
      </c>
      <c r="T48" s="86"/>
      <c r="U48" s="101"/>
      <c r="V48" s="101"/>
      <c r="Y48" s="30"/>
      <c r="Z48" s="30"/>
      <c r="AA48" s="30"/>
      <c r="AB48" s="30"/>
    </row>
    <row r="49" spans="1:28" ht="15" x14ac:dyDescent="0.2">
      <c r="A49" s="30"/>
      <c r="B49" s="154" t="s">
        <v>55</v>
      </c>
      <c r="C49" s="86"/>
      <c r="D49" s="86"/>
      <c r="E49" s="86"/>
      <c r="F49" s="226" t="str">
        <f>IF(AND(OR(O43&lt;&gt;0,P43&lt;&gt;0),OR(Q43&lt;&gt;0,R43&lt;&gt;0)), "Unimproved/ Reconstructed approaches shall consist of:", "")</f>
        <v/>
      </c>
      <c r="J49" s="101"/>
      <c r="K49" s="86"/>
      <c r="L49" s="82"/>
      <c r="M49" s="155"/>
      <c r="N49" s="30"/>
      <c r="O49" s="101"/>
      <c r="P49" s="1002"/>
      <c r="Q49" s="101" t="s">
        <v>531</v>
      </c>
      <c r="R49" s="304" t="s">
        <v>407</v>
      </c>
      <c r="S49" s="174">
        <v>165</v>
      </c>
      <c r="T49" s="86" t="s">
        <v>36</v>
      </c>
      <c r="U49" s="101"/>
      <c r="V49" s="101"/>
      <c r="Y49" s="30"/>
      <c r="Z49" s="30"/>
      <c r="AA49" s="30"/>
      <c r="AB49" s="30"/>
    </row>
    <row r="50" spans="1:28" ht="12.75" customHeight="1" x14ac:dyDescent="0.2">
      <c r="A50" s="30"/>
      <c r="B50" s="229">
        <f>ROUNDUP(((O43*P45+(P43+R43)*(S49+S50+S51))+(Q43*(S45+S46)))/2000,0)</f>
        <v>0</v>
      </c>
      <c r="C50" s="86" t="str">
        <f>"HMA for Approaches, Type "&amp;$P$48</f>
        <v>HMA for Approaches, Type 0</v>
      </c>
      <c r="D50" s="86"/>
      <c r="E50" s="92"/>
      <c r="F50" s="101" t="str">
        <f>IF(AND(OR(O43&lt;&gt;0,P43&lt;&gt;0),OR(Q43&lt;&gt;0,R43&lt;&gt;0)),S49&amp;" #/sys HMA Surface, Type"&amp;" "&amp;$P$48&amp;" on","")</f>
        <v/>
      </c>
      <c r="J50" s="83"/>
      <c r="K50" s="86"/>
      <c r="L50" s="82"/>
      <c r="M50" s="155"/>
      <c r="N50" s="30"/>
      <c r="O50" s="101"/>
      <c r="P50" s="33"/>
      <c r="Q50" s="101"/>
      <c r="R50" s="304" t="s">
        <v>408</v>
      </c>
      <c r="S50" s="305">
        <v>275</v>
      </c>
      <c r="T50" s="86" t="s">
        <v>36</v>
      </c>
      <c r="U50" s="101"/>
      <c r="V50" s="101"/>
      <c r="Y50" s="30"/>
      <c r="Z50" s="30"/>
      <c r="AA50" s="30"/>
      <c r="AB50" s="30"/>
    </row>
    <row r="51" spans="1:28" ht="12.75" customHeight="1" x14ac:dyDescent="0.2">
      <c r="A51" s="30"/>
      <c r="B51" s="230">
        <f>ROUNDUP(0.00025*(P46*O43+S52*P43+S47*Q43+S52*R43),1)</f>
        <v>0</v>
      </c>
      <c r="C51" s="86" t="s">
        <v>32</v>
      </c>
      <c r="D51" s="86"/>
      <c r="E51" s="92"/>
      <c r="F51" s="86" t="str">
        <f>IF(AND(OR(O43&lt;&gt;0,P43&lt;&gt;0),OR(Q43&lt;&gt;0,R43&lt;&gt;0)),S50&amp;" #/sys HMA Intermediate, Type"&amp;" "&amp;$P$48&amp;" on", "")</f>
        <v/>
      </c>
      <c r="J51" s="101"/>
      <c r="K51" s="86"/>
      <c r="L51" s="82"/>
      <c r="M51" s="155"/>
      <c r="N51" s="30"/>
      <c r="O51" s="101"/>
      <c r="P51" s="101"/>
      <c r="Q51" s="101"/>
      <c r="R51" s="251" t="s">
        <v>409</v>
      </c>
      <c r="S51" s="305">
        <v>880</v>
      </c>
      <c r="T51" s="86" t="s">
        <v>36</v>
      </c>
      <c r="U51" s="207"/>
      <c r="V51" s="207"/>
      <c r="W51" s="30"/>
      <c r="X51" s="30"/>
      <c r="Y51" s="30"/>
      <c r="Z51" s="30"/>
      <c r="AA51" s="30"/>
      <c r="AB51" s="30"/>
    </row>
    <row r="52" spans="1:28" ht="12.75" customHeight="1" x14ac:dyDescent="0.2">
      <c r="A52" s="30"/>
      <c r="B52" s="178">
        <f>O43+Q43</f>
        <v>0</v>
      </c>
      <c r="C52" s="86" t="s">
        <v>79</v>
      </c>
      <c r="D52" s="86"/>
      <c r="E52" s="86"/>
      <c r="F52" s="101" t="str">
        <f>IF(AND(OR(O43&lt;&gt;0,P43&lt;&gt;0),OR(Q43&lt;&gt;0,R43&lt;&gt;0)),S51&amp;" #/sys HMA Base, Type"&amp;" "&amp;$P$48&amp;" on","")</f>
        <v/>
      </c>
      <c r="J52" s="101"/>
      <c r="K52" s="86"/>
      <c r="L52" s="82"/>
      <c r="M52" s="155"/>
      <c r="N52" s="177"/>
      <c r="O52" s="101"/>
      <c r="P52" s="101"/>
      <c r="Q52" s="101"/>
      <c r="R52" s="101"/>
      <c r="S52" s="305">
        <v>3</v>
      </c>
      <c r="T52" s="86" t="s">
        <v>86</v>
      </c>
      <c r="U52" s="101"/>
      <c r="V52" s="101"/>
      <c r="W52" s="30"/>
      <c r="X52" s="30"/>
      <c r="Y52" s="30"/>
      <c r="Z52" s="30"/>
      <c r="AA52" s="30"/>
      <c r="AB52" s="30"/>
    </row>
    <row r="53" spans="1:28" ht="12.75" customHeight="1" x14ac:dyDescent="0.2">
      <c r="A53" s="30"/>
      <c r="B53" s="178">
        <f>P43+R43</f>
        <v>0</v>
      </c>
      <c r="C53" s="127" t="s">
        <v>859</v>
      </c>
      <c r="D53" s="86"/>
      <c r="E53" s="86"/>
      <c r="F53" s="101" t="str">
        <f>IF(AND(OR(O43&lt;&gt;0,P43&lt;&gt;0),OR(Q43&lt;&gt;0,R43&lt;&gt;0)),"Subgrade Treatment, Type II", "")</f>
        <v/>
      </c>
      <c r="J53" s="101"/>
      <c r="K53" s="86"/>
      <c r="L53" s="82"/>
      <c r="M53" s="155"/>
      <c r="N53" s="30"/>
      <c r="O53" s="101"/>
      <c r="P53" s="101"/>
      <c r="Q53" s="101"/>
      <c r="R53" s="101"/>
      <c r="S53" s="101"/>
      <c r="T53" s="101"/>
      <c r="U53" s="101"/>
      <c r="V53" s="101"/>
      <c r="W53" s="30"/>
      <c r="X53" s="30"/>
      <c r="Y53" s="30"/>
      <c r="Z53" s="30"/>
      <c r="AA53" s="30"/>
      <c r="AB53" s="30"/>
    </row>
    <row r="54" spans="1:28" ht="6.75" customHeight="1" x14ac:dyDescent="0.2">
      <c r="A54" s="30"/>
      <c r="B54" s="30"/>
      <c r="C54" s="30"/>
      <c r="D54" s="30"/>
      <c r="E54" s="30"/>
      <c r="F54" s="30"/>
      <c r="G54" s="30"/>
      <c r="H54" s="30"/>
      <c r="I54" s="30"/>
      <c r="J54" s="30"/>
      <c r="K54" s="30"/>
      <c r="L54" s="155"/>
      <c r="M54" s="155"/>
      <c r="N54" s="30"/>
      <c r="S54" s="234"/>
      <c r="T54" s="101"/>
      <c r="U54" s="101"/>
      <c r="V54" s="101"/>
      <c r="W54" s="30"/>
      <c r="X54" s="30"/>
      <c r="Y54" s="30"/>
      <c r="Z54" s="30"/>
      <c r="AA54" s="30"/>
      <c r="AB54" s="30"/>
    </row>
    <row r="55" spans="1:28" ht="12.75" customHeight="1" x14ac:dyDescent="0.2">
      <c r="A55" s="30"/>
      <c r="B55" s="30"/>
      <c r="C55" s="30"/>
      <c r="D55" s="30"/>
      <c r="E55" s="30"/>
      <c r="F55" s="30"/>
      <c r="G55" s="30"/>
      <c r="H55" s="30"/>
      <c r="I55" s="30"/>
      <c r="J55" s="30"/>
      <c r="K55" s="30"/>
      <c r="L55" s="155"/>
      <c r="M55" s="155"/>
      <c r="N55" s="30"/>
      <c r="O55" s="183" t="s">
        <v>61</v>
      </c>
      <c r="P55" s="216" t="s">
        <v>66</v>
      </c>
      <c r="Q55" s="217" t="s">
        <v>226</v>
      </c>
      <c r="R55" s="149" t="s">
        <v>50</v>
      </c>
      <c r="S55" s="234"/>
      <c r="T55" s="101"/>
      <c r="U55" s="101"/>
      <c r="V55" s="101"/>
      <c r="W55" s="30"/>
      <c r="X55" s="30"/>
      <c r="Y55" s="30"/>
      <c r="Z55" s="30"/>
      <c r="AA55" s="30"/>
      <c r="AB55" s="30"/>
    </row>
    <row r="56" spans="1:28" ht="12.75" customHeight="1" x14ac:dyDescent="0.2">
      <c r="A56" s="30"/>
      <c r="B56" s="30"/>
      <c r="C56" s="30"/>
      <c r="D56" s="30"/>
      <c r="E56" s="30"/>
      <c r="F56" s="30"/>
      <c r="G56" s="30"/>
      <c r="H56" s="30"/>
      <c r="I56" s="30"/>
      <c r="J56" s="30"/>
      <c r="K56" s="30"/>
      <c r="L56" s="155"/>
      <c r="M56" s="155"/>
      <c r="N56" s="30"/>
      <c r="O56" s="180"/>
      <c r="P56" s="190"/>
      <c r="Q56" s="220"/>
      <c r="R56" s="190"/>
      <c r="S56" s="101"/>
      <c r="T56" s="101"/>
      <c r="U56" s="101"/>
      <c r="V56" s="101"/>
      <c r="W56" s="30"/>
      <c r="X56" s="30"/>
      <c r="Y56" s="30"/>
      <c r="Z56" s="30"/>
      <c r="AA56" s="30"/>
      <c r="AB56" s="30"/>
    </row>
    <row r="57" spans="1:28" ht="12.75" customHeight="1" x14ac:dyDescent="0.2">
      <c r="A57" s="30"/>
      <c r="B57" s="30"/>
      <c r="C57" s="30"/>
      <c r="D57" s="30"/>
      <c r="E57" s="30"/>
      <c r="F57" s="30"/>
      <c r="G57" s="30"/>
      <c r="H57" s="30"/>
      <c r="I57" s="30"/>
      <c r="J57" s="30"/>
      <c r="K57" s="30"/>
      <c r="L57" s="155"/>
      <c r="M57" s="155"/>
      <c r="N57" s="30"/>
      <c r="O57" s="180" t="s">
        <v>63</v>
      </c>
      <c r="P57" s="190" t="s">
        <v>14</v>
      </c>
      <c r="Q57" s="220" t="s">
        <v>224</v>
      </c>
      <c r="R57" s="190" t="s">
        <v>51</v>
      </c>
      <c r="S57" s="231"/>
      <c r="T57" s="231"/>
      <c r="U57" s="101"/>
      <c r="V57" s="101"/>
      <c r="W57" s="30"/>
      <c r="X57" s="30"/>
      <c r="Y57" s="30"/>
      <c r="Z57" s="30"/>
      <c r="AA57" s="30"/>
      <c r="AB57" s="30"/>
    </row>
    <row r="58" spans="1:28" ht="12.75" customHeight="1" x14ac:dyDescent="0.2">
      <c r="A58" s="30"/>
      <c r="B58" s="30"/>
      <c r="C58" s="30"/>
      <c r="D58" s="30"/>
      <c r="E58" s="30"/>
      <c r="F58" s="30"/>
      <c r="G58" s="30"/>
      <c r="H58" s="30"/>
      <c r="I58" s="30"/>
      <c r="J58" s="30"/>
      <c r="K58" s="30"/>
      <c r="L58" s="155"/>
      <c r="M58" s="155"/>
      <c r="N58" s="30"/>
      <c r="O58" s="180" t="s">
        <v>64</v>
      </c>
      <c r="P58" s="190" t="s">
        <v>857</v>
      </c>
      <c r="Q58" s="220" t="s">
        <v>223</v>
      </c>
      <c r="R58" s="190" t="s">
        <v>52</v>
      </c>
      <c r="S58" s="231"/>
      <c r="T58" s="231"/>
      <c r="U58" s="101"/>
      <c r="V58" s="101"/>
      <c r="W58" s="30"/>
      <c r="X58" s="30"/>
      <c r="Y58" s="30"/>
      <c r="Z58" s="30"/>
      <c r="AA58" s="30"/>
      <c r="AB58" s="30"/>
    </row>
    <row r="59" spans="1:28" ht="12.75" customHeight="1" x14ac:dyDescent="0.2">
      <c r="A59" s="30"/>
      <c r="B59" s="30"/>
      <c r="C59" s="30"/>
      <c r="D59" s="30"/>
      <c r="E59" s="30"/>
      <c r="F59" s="30"/>
      <c r="G59" s="30"/>
      <c r="H59" s="30"/>
      <c r="I59" s="30"/>
      <c r="J59" s="30"/>
      <c r="K59" s="30"/>
      <c r="L59" s="155"/>
      <c r="M59" s="155"/>
      <c r="N59" s="30"/>
      <c r="O59" s="1040" t="s">
        <v>867</v>
      </c>
      <c r="P59" s="101"/>
      <c r="Q59" s="220" t="s">
        <v>880</v>
      </c>
      <c r="R59" s="190" t="s">
        <v>53</v>
      </c>
      <c r="S59" s="101"/>
      <c r="T59" s="101"/>
      <c r="U59" s="101"/>
      <c r="V59" s="101"/>
      <c r="W59" s="30"/>
      <c r="X59" s="30"/>
      <c r="Y59" s="30"/>
      <c r="Z59" s="30"/>
      <c r="AA59" s="30"/>
      <c r="AB59" s="30"/>
    </row>
    <row r="60" spans="1:28" ht="12.75" customHeight="1" x14ac:dyDescent="0.2">
      <c r="A60" s="30"/>
      <c r="B60" s="30"/>
      <c r="C60" s="30"/>
      <c r="D60" s="30"/>
      <c r="E60" s="30"/>
      <c r="F60" s="30"/>
      <c r="G60" s="30"/>
      <c r="H60" s="30"/>
      <c r="I60" s="30"/>
      <c r="J60" s="30"/>
      <c r="K60" s="30"/>
      <c r="L60" s="155"/>
      <c r="M60" s="155"/>
      <c r="N60" s="30"/>
      <c r="O60" s="207"/>
      <c r="P60" s="207"/>
      <c r="Q60" s="101"/>
      <c r="R60" s="190" t="s">
        <v>54</v>
      </c>
      <c r="S60" s="30"/>
      <c r="T60" s="30"/>
      <c r="U60" s="30"/>
      <c r="V60" s="30"/>
      <c r="W60" s="30"/>
      <c r="X60" s="30"/>
      <c r="Y60" s="30"/>
      <c r="Z60" s="30"/>
      <c r="AA60" s="30"/>
      <c r="AB60" s="30"/>
    </row>
    <row r="61" spans="1:28" ht="12.75" customHeight="1" x14ac:dyDescent="0.2">
      <c r="A61" s="30"/>
      <c r="B61" s="30"/>
      <c r="C61" s="30"/>
      <c r="D61" s="30"/>
      <c r="E61" s="30"/>
      <c r="F61" s="30"/>
      <c r="G61" s="30"/>
      <c r="H61" s="30"/>
      <c r="I61" s="30"/>
      <c r="J61" s="30"/>
      <c r="K61" s="30"/>
      <c r="L61" s="155"/>
      <c r="M61" s="155"/>
      <c r="N61" s="30"/>
      <c r="O61" s="30"/>
      <c r="P61" s="30"/>
      <c r="Q61" s="30"/>
      <c r="R61" s="30"/>
      <c r="S61" s="30"/>
      <c r="T61" s="30"/>
      <c r="U61" s="30"/>
      <c r="V61" s="30"/>
      <c r="W61" s="30"/>
      <c r="X61" s="30"/>
      <c r="Y61" s="30"/>
      <c r="Z61" s="30"/>
      <c r="AA61" s="30"/>
      <c r="AB61" s="30"/>
    </row>
    <row r="62" spans="1:28" ht="15.75" customHeight="1" x14ac:dyDescent="0.2">
      <c r="A62" s="30"/>
      <c r="B62" s="30"/>
      <c r="C62" s="30"/>
      <c r="D62" s="30"/>
      <c r="E62" s="30"/>
      <c r="F62" s="30"/>
      <c r="G62" s="30"/>
      <c r="H62" s="30"/>
      <c r="I62" s="30"/>
      <c r="J62" s="30"/>
      <c r="K62" s="30"/>
      <c r="L62" s="155"/>
      <c r="M62" s="155"/>
      <c r="N62" s="30"/>
      <c r="O62" s="30"/>
      <c r="P62" s="30"/>
      <c r="Q62" s="30"/>
      <c r="R62" s="30"/>
      <c r="S62" s="30"/>
      <c r="T62" s="30"/>
      <c r="U62" s="30"/>
      <c r="V62" s="30"/>
      <c r="W62" s="30"/>
      <c r="X62" s="30"/>
      <c r="Y62" s="30"/>
      <c r="Z62" s="30"/>
      <c r="AA62" s="30"/>
      <c r="AB62" s="30"/>
    </row>
    <row r="63" spans="1:28" ht="15.75" customHeight="1" x14ac:dyDescent="0.2">
      <c r="A63" s="30"/>
      <c r="B63" s="30"/>
      <c r="C63" s="30"/>
      <c r="D63" s="30"/>
      <c r="E63" s="30"/>
      <c r="F63" s="30"/>
      <c r="G63" s="30"/>
      <c r="H63" s="30"/>
      <c r="I63" s="30"/>
      <c r="J63" s="30"/>
      <c r="K63" s="30"/>
      <c r="L63" s="155"/>
      <c r="M63" s="155"/>
      <c r="N63" s="30"/>
      <c r="O63" s="30"/>
      <c r="P63" s="30"/>
      <c r="Q63" s="30"/>
      <c r="R63" s="30"/>
      <c r="S63" s="30"/>
      <c r="T63" s="30"/>
      <c r="U63" s="30"/>
      <c r="V63" s="30"/>
      <c r="W63" s="30"/>
      <c r="X63" s="30"/>
      <c r="Y63" s="30"/>
      <c r="Z63" s="30"/>
      <c r="AA63" s="30"/>
      <c r="AB63" s="30"/>
    </row>
    <row r="64" spans="1:28" ht="15.75" customHeight="1" x14ac:dyDescent="0.2">
      <c r="A64" s="30"/>
      <c r="B64" s="30"/>
      <c r="C64" s="30"/>
      <c r="D64" s="30"/>
      <c r="E64" s="30"/>
      <c r="F64" s="30"/>
      <c r="G64" s="30"/>
      <c r="H64" s="30"/>
      <c r="I64" s="30"/>
      <c r="J64" s="30"/>
      <c r="K64" s="30"/>
      <c r="L64" s="155"/>
      <c r="M64" s="155"/>
      <c r="N64" s="30"/>
      <c r="O64" s="30"/>
      <c r="P64" s="30"/>
      <c r="Q64" s="30"/>
      <c r="R64" s="30"/>
      <c r="S64" s="30"/>
      <c r="T64" s="30"/>
      <c r="U64" s="30"/>
      <c r="V64" s="30"/>
      <c r="W64" s="30"/>
      <c r="X64" s="30"/>
      <c r="Y64" s="30"/>
      <c r="Z64" s="30"/>
      <c r="AA64" s="30"/>
      <c r="AB64" s="30"/>
    </row>
    <row r="65" spans="1:28" ht="15.75" customHeight="1" x14ac:dyDescent="0.2">
      <c r="A65" s="30"/>
      <c r="B65" s="30"/>
      <c r="C65" s="30"/>
      <c r="D65" s="30"/>
      <c r="E65" s="30"/>
      <c r="F65" s="30"/>
      <c r="G65" s="30"/>
      <c r="H65" s="30"/>
      <c r="I65" s="30"/>
      <c r="J65" s="30"/>
      <c r="K65" s="30"/>
      <c r="L65" s="155"/>
      <c r="M65" s="155"/>
      <c r="N65" s="30"/>
      <c r="O65" s="30"/>
      <c r="P65" s="30"/>
      <c r="Q65" s="30"/>
      <c r="R65" s="30"/>
      <c r="S65" s="30"/>
      <c r="T65" s="30"/>
      <c r="U65" s="30"/>
      <c r="V65" s="30"/>
      <c r="W65" s="30"/>
      <c r="X65" s="30"/>
      <c r="Y65" s="30"/>
      <c r="Z65" s="30"/>
      <c r="AA65" s="30"/>
      <c r="AB65" s="30"/>
    </row>
    <row r="66" spans="1:28" ht="15.75" customHeight="1" x14ac:dyDescent="0.2">
      <c r="A66" s="30"/>
      <c r="B66" s="30"/>
      <c r="C66" s="30"/>
      <c r="D66" s="30"/>
      <c r="E66" s="30"/>
      <c r="F66" s="30"/>
      <c r="G66" s="30"/>
      <c r="H66" s="30"/>
      <c r="I66" s="30"/>
      <c r="J66" s="30"/>
      <c r="K66" s="30"/>
      <c r="L66" s="155"/>
      <c r="M66" s="155"/>
      <c r="N66" s="30"/>
      <c r="O66" s="30"/>
      <c r="P66" s="30"/>
      <c r="Q66" s="30"/>
      <c r="R66" s="30"/>
      <c r="S66" s="30"/>
      <c r="T66" s="30"/>
      <c r="U66" s="30"/>
      <c r="V66" s="30"/>
      <c r="W66" s="30"/>
      <c r="X66" s="30"/>
      <c r="Y66" s="30"/>
      <c r="Z66" s="30"/>
      <c r="AA66" s="30"/>
      <c r="AB66" s="30"/>
    </row>
    <row r="67" spans="1:28" ht="15.75" customHeight="1" x14ac:dyDescent="0.2">
      <c r="A67" s="30"/>
      <c r="B67" s="30"/>
      <c r="C67" s="30"/>
      <c r="D67" s="30"/>
      <c r="E67" s="30"/>
      <c r="F67" s="30"/>
      <c r="G67" s="30"/>
      <c r="H67" s="30"/>
      <c r="I67" s="30"/>
      <c r="J67" s="30"/>
      <c r="K67" s="30"/>
      <c r="L67" s="155"/>
      <c r="M67" s="155"/>
      <c r="N67" s="30"/>
      <c r="O67" s="30"/>
      <c r="P67" s="30"/>
      <c r="Q67" s="30"/>
      <c r="R67" s="30"/>
      <c r="S67" s="30"/>
      <c r="T67" s="30"/>
      <c r="U67" s="30"/>
      <c r="V67" s="30"/>
      <c r="W67" s="30"/>
      <c r="X67" s="30"/>
      <c r="Y67" s="30"/>
      <c r="Z67" s="30"/>
      <c r="AA67" s="30"/>
      <c r="AB67" s="30"/>
    </row>
    <row r="68" spans="1:28" ht="15.75" customHeight="1" x14ac:dyDescent="0.2">
      <c r="A68" s="30"/>
      <c r="B68" s="30"/>
      <c r="C68" s="30"/>
      <c r="D68" s="30"/>
      <c r="E68" s="30"/>
      <c r="F68" s="30"/>
      <c r="G68" s="30"/>
      <c r="H68" s="30"/>
      <c r="I68" s="30"/>
      <c r="J68" s="30"/>
      <c r="K68" s="30"/>
      <c r="L68" s="155"/>
      <c r="M68" s="155"/>
      <c r="N68" s="30"/>
      <c r="O68" s="30"/>
      <c r="P68" s="30"/>
      <c r="Q68" s="30"/>
      <c r="R68" s="30"/>
      <c r="S68" s="30"/>
      <c r="T68" s="30"/>
      <c r="U68" s="30"/>
      <c r="V68" s="30"/>
      <c r="W68" s="30"/>
      <c r="X68" s="30"/>
      <c r="Y68" s="30"/>
      <c r="Z68" s="30"/>
      <c r="AA68" s="30"/>
      <c r="AB68" s="30"/>
    </row>
    <row r="69" spans="1:28" ht="15.75" customHeight="1" x14ac:dyDescent="0.2">
      <c r="A69" s="30"/>
      <c r="B69" s="30"/>
      <c r="C69" s="30"/>
      <c r="D69" s="30"/>
      <c r="E69" s="30"/>
      <c r="F69" s="30"/>
      <c r="G69" s="30"/>
      <c r="H69" s="30"/>
      <c r="I69" s="30"/>
      <c r="J69" s="30"/>
      <c r="K69" s="30"/>
      <c r="L69" s="155"/>
      <c r="M69" s="155"/>
      <c r="N69" s="30"/>
      <c r="O69" s="30"/>
      <c r="P69" s="30"/>
      <c r="Q69" s="30"/>
      <c r="R69" s="30"/>
      <c r="S69" s="30"/>
      <c r="T69" s="30"/>
      <c r="U69" s="30"/>
      <c r="V69" s="30"/>
      <c r="W69" s="30"/>
      <c r="X69" s="30"/>
      <c r="Y69" s="30"/>
      <c r="Z69" s="30"/>
      <c r="AA69" s="30"/>
      <c r="AB69" s="30"/>
    </row>
    <row r="70" spans="1:28" ht="15.75" customHeight="1" x14ac:dyDescent="0.2">
      <c r="A70" s="30"/>
      <c r="G70" s="30"/>
      <c r="H70" s="30"/>
      <c r="I70" s="30"/>
      <c r="J70" s="30"/>
      <c r="K70" s="30"/>
      <c r="L70" s="155"/>
      <c r="N70" s="30"/>
      <c r="O70" s="30"/>
      <c r="P70" s="30"/>
      <c r="Q70" s="30"/>
      <c r="R70" s="30"/>
      <c r="S70" s="30"/>
      <c r="T70" s="30"/>
      <c r="U70" s="30"/>
      <c r="V70" s="30"/>
      <c r="W70" s="30"/>
      <c r="X70" s="30"/>
      <c r="Y70" s="30"/>
      <c r="Z70" s="30"/>
      <c r="AA70" s="30"/>
      <c r="AB70" s="30"/>
    </row>
    <row r="71" spans="1:28" ht="15.75" customHeight="1" x14ac:dyDescent="0.2"/>
    <row r="72" spans="1:28" ht="15.75" customHeight="1" x14ac:dyDescent="0.2"/>
    <row r="73" spans="1:28" ht="15.75" customHeight="1" x14ac:dyDescent="0.2"/>
    <row r="74" spans="1:28" ht="15.75" customHeight="1" x14ac:dyDescent="0.2"/>
    <row r="75" spans="1:28" ht="15.75" customHeight="1" x14ac:dyDescent="0.2"/>
    <row r="76" spans="1:28" ht="15.75" customHeight="1" x14ac:dyDescent="0.2"/>
    <row r="77" spans="1:28" ht="15.75" customHeight="1" x14ac:dyDescent="0.2"/>
    <row r="78" spans="1:28" ht="15.75" customHeight="1" x14ac:dyDescent="0.2"/>
    <row r="79" spans="1:28" ht="15.75" customHeight="1" x14ac:dyDescent="0.2"/>
    <row r="80" spans="1:28" ht="15.75" customHeight="1" x14ac:dyDescent="0.2"/>
    <row r="81" ht="12.75" customHeight="1" x14ac:dyDescent="0.2"/>
  </sheetData>
  <mergeCells count="11">
    <mergeCell ref="F3:F4"/>
    <mergeCell ref="O1:V1"/>
    <mergeCell ref="S3:AA4"/>
    <mergeCell ref="O2:P2"/>
    <mergeCell ref="Q2:R2"/>
    <mergeCell ref="A1:M1"/>
    <mergeCell ref="A2:M2"/>
    <mergeCell ref="B3:B4"/>
    <mergeCell ref="C3:C4"/>
    <mergeCell ref="D3:D4"/>
    <mergeCell ref="E3:E4"/>
  </mergeCells>
  <phoneticPr fontId="1" type="noConversion"/>
  <conditionalFormatting sqref="P5">
    <cfRule type="cellIs" dxfId="21" priority="2" stopIfTrue="1" operator="equal">
      <formula>"pick Improv."</formula>
    </cfRule>
  </conditionalFormatting>
  <conditionalFormatting sqref="P6:P42">
    <cfRule type="cellIs" dxfId="20" priority="1" stopIfTrue="1" operator="equal">
      <formula>"pick Improv."</formula>
    </cfRule>
  </conditionalFormatting>
  <dataValidations disablePrompts="1" count="4">
    <dataValidation type="list" allowBlank="1" showInputMessage="1" showErrorMessage="1" sqref="P49">
      <formula1>$R$56:$R$60</formula1>
    </dataValidation>
    <dataValidation type="list" showInputMessage="1" showErrorMessage="1" sqref="E5:E42">
      <formula1>$P$56:$P$58</formula1>
    </dataValidation>
    <dataValidation type="list" showInputMessage="1" showErrorMessage="1" sqref="C5:C42">
      <formula1>$O$56:$O$59</formula1>
    </dataValidation>
    <dataValidation type="list" showInputMessage="1" showErrorMessage="1" sqref="F5:F42">
      <formula1>$Q$56:$Q$59</formula1>
    </dataValidation>
  </dataValidations>
  <printOptions horizontalCentered="1"/>
  <pageMargins left="0.35" right="0.35" top="0.38199803149606298" bottom="0.38199803149606298" header="0.5" footer="0.5"/>
  <pageSetup orientation="portrait" r:id="rId1"/>
  <headerFooter alignWithMargins="0"/>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5"/>
  <dimension ref="A1:AD92"/>
  <sheetViews>
    <sheetView showGridLines="0" showZeros="0" zoomScale="75" zoomScaleNormal="75" workbookViewId="0">
      <selection activeCell="K1" sqref="K1:Y1"/>
    </sheetView>
  </sheetViews>
  <sheetFormatPr defaultRowHeight="12.75" x14ac:dyDescent="0.2"/>
  <cols>
    <col min="1" max="1" width="1.7109375" style="3" customWidth="1"/>
    <col min="2" max="2" width="6.5703125" style="3" customWidth="1"/>
    <col min="3" max="3" width="13.85546875" style="3" customWidth="1"/>
    <col min="4" max="8" width="10.7109375" style="3" customWidth="1"/>
    <col min="9" max="9" width="1.7109375" style="3" customWidth="1"/>
    <col min="10" max="10" width="12.42578125" style="3" customWidth="1"/>
    <col min="11" max="11" width="15.140625" style="3" bestFit="1" customWidth="1"/>
    <col min="12" max="12" width="7.140625" style="3" customWidth="1"/>
    <col min="13" max="13" width="23.140625" style="3" customWidth="1"/>
    <col min="14" max="14" width="21.85546875" style="3" customWidth="1"/>
    <col min="15" max="15" width="9.140625" style="3"/>
    <col min="16" max="16" width="13.7109375" style="3" bestFit="1" customWidth="1"/>
    <col min="17" max="17" width="7.5703125" style="3" bestFit="1" customWidth="1"/>
    <col min="18" max="18" width="6.85546875" style="3" bestFit="1" customWidth="1"/>
    <col min="19" max="19" width="9.140625" style="3"/>
    <col min="20" max="20" width="20.5703125" style="3" customWidth="1"/>
    <col min="21" max="21" width="10" style="3" bestFit="1" customWidth="1"/>
    <col min="22" max="22" width="13.7109375" style="3" bestFit="1" customWidth="1"/>
    <col min="23" max="23" width="7.28515625" style="3" bestFit="1" customWidth="1"/>
    <col min="24" max="24" width="6.85546875" style="3" bestFit="1" customWidth="1"/>
    <col min="25" max="25" width="11.28515625" style="3" customWidth="1"/>
    <col min="26" max="16384" width="9.140625" style="3"/>
  </cols>
  <sheetData>
    <row r="1" spans="1:30" ht="18" x14ac:dyDescent="0.2">
      <c r="A1" s="1224" t="str">
        <f>UPPER("Minor Road Approach Summary Table")</f>
        <v>MINOR ROAD APPROACH SUMMARY TABLE</v>
      </c>
      <c r="B1" s="1380"/>
      <c r="C1" s="1380"/>
      <c r="D1" s="1380"/>
      <c r="E1" s="1380"/>
      <c r="F1" s="1380"/>
      <c r="G1" s="1380"/>
      <c r="H1" s="1380"/>
      <c r="I1" s="1380"/>
      <c r="J1" s="82"/>
      <c r="K1" s="1321" t="s">
        <v>425</v>
      </c>
      <c r="L1" s="1373"/>
      <c r="M1" s="1373"/>
      <c r="N1" s="1373"/>
      <c r="O1" s="1373"/>
      <c r="P1" s="1373"/>
      <c r="Q1" s="1373"/>
      <c r="R1" s="1373"/>
      <c r="S1" s="1373"/>
      <c r="T1" s="1373"/>
      <c r="U1" s="1373"/>
      <c r="V1" s="1373"/>
      <c r="W1" s="1373"/>
      <c r="X1" s="1373"/>
      <c r="Y1" s="1373"/>
      <c r="Z1" s="82"/>
      <c r="AA1" s="82"/>
      <c r="AB1" s="82"/>
      <c r="AC1" s="82"/>
      <c r="AD1" s="82"/>
    </row>
    <row r="2" spans="1:30" ht="12.75" customHeight="1" thickBot="1" x14ac:dyDescent="0.25">
      <c r="A2" s="82"/>
      <c r="B2" s="1356">
        <f>IF(K4=N50,"P.M. Treatment Section",0)</f>
        <v>0</v>
      </c>
      <c r="C2" s="1356"/>
      <c r="D2" s="1356"/>
      <c r="E2" s="1356"/>
      <c r="F2" s="1356"/>
      <c r="G2" s="1356"/>
      <c r="H2" s="1356"/>
      <c r="I2" s="156"/>
      <c r="J2" s="82"/>
      <c r="K2" s="170"/>
      <c r="L2" s="86" t="s">
        <v>78</v>
      </c>
      <c r="M2" s="82"/>
      <c r="N2" s="82"/>
      <c r="O2" s="82"/>
      <c r="P2" s="82"/>
      <c r="Q2" s="82"/>
      <c r="R2" s="82"/>
      <c r="S2" s="82"/>
      <c r="T2" s="82"/>
      <c r="U2" s="82"/>
      <c r="V2" s="82"/>
      <c r="W2" s="82"/>
      <c r="X2" s="82"/>
      <c r="Y2" s="82"/>
      <c r="Z2" s="82"/>
      <c r="AA2" s="82"/>
      <c r="AB2" s="82"/>
      <c r="AC2" s="82"/>
      <c r="AD2" s="82"/>
    </row>
    <row r="3" spans="1:30" ht="24.75" customHeight="1" x14ac:dyDescent="0.2">
      <c r="A3" s="82"/>
      <c r="B3" s="1359" t="s">
        <v>70</v>
      </c>
      <c r="C3" s="1360"/>
      <c r="D3" s="235" t="s">
        <v>396</v>
      </c>
      <c r="E3" s="236" t="s">
        <v>397</v>
      </c>
      <c r="F3" s="269" t="s">
        <v>398</v>
      </c>
      <c r="G3" s="237" t="s">
        <v>399</v>
      </c>
      <c r="H3" s="150" t="s">
        <v>400</v>
      </c>
      <c r="I3" s="215"/>
      <c r="J3" s="215"/>
      <c r="K3" s="1041"/>
      <c r="L3" s="1340" t="str">
        <f>IF(AND(K3&gt;-0.001,K3&lt;8),"Average width of HMA shoulder where minor approaches are located","Pick a value from 0 ft to 8 ft")</f>
        <v>Average width of HMA shoulder where minor approaches are located</v>
      </c>
      <c r="M3" s="1341"/>
      <c r="N3" s="1385" t="s">
        <v>6</v>
      </c>
      <c r="O3" s="1386"/>
      <c r="P3" s="1386"/>
      <c r="Q3" s="1386"/>
      <c r="R3" s="1386"/>
      <c r="S3" s="1387"/>
      <c r="T3" s="1388" t="s">
        <v>7</v>
      </c>
      <c r="U3" s="1386"/>
      <c r="V3" s="1386"/>
      <c r="W3" s="1386"/>
      <c r="X3" s="1386"/>
      <c r="Y3" s="1386"/>
      <c r="Z3" s="82"/>
      <c r="AA3" s="82"/>
      <c r="AB3" s="82"/>
      <c r="AC3" s="82"/>
      <c r="AD3" s="82"/>
    </row>
    <row r="4" spans="1:30" ht="13.5" thickBot="1" x14ac:dyDescent="0.25">
      <c r="A4" s="82"/>
      <c r="B4" s="1361"/>
      <c r="C4" s="1362"/>
      <c r="D4" s="329" t="s">
        <v>20</v>
      </c>
      <c r="E4" s="286" t="s">
        <v>20</v>
      </c>
      <c r="F4" s="289" t="s">
        <v>210</v>
      </c>
      <c r="G4" s="290" t="s">
        <v>210</v>
      </c>
      <c r="H4" s="287" t="s">
        <v>210</v>
      </c>
      <c r="I4" s="215"/>
      <c r="J4" s="215"/>
      <c r="K4" s="331"/>
      <c r="L4" s="36" t="s">
        <v>221</v>
      </c>
      <c r="M4" s="82"/>
      <c r="N4" s="220"/>
      <c r="O4" s="291" t="s">
        <v>8</v>
      </c>
      <c r="P4" s="297" t="s">
        <v>402</v>
      </c>
      <c r="Q4" s="295">
        <f>((8-K3)*20)*(8-K3)*0.5</f>
        <v>640</v>
      </c>
      <c r="R4" s="299" t="s">
        <v>401</v>
      </c>
      <c r="S4" s="180"/>
      <c r="T4" s="220"/>
      <c r="U4" s="291" t="s">
        <v>9</v>
      </c>
      <c r="V4" s="297" t="s">
        <v>402</v>
      </c>
      <c r="W4" s="295">
        <f>((8-K3)*12)*(8-K3)*0.5</f>
        <v>384</v>
      </c>
      <c r="X4" s="299" t="s">
        <v>401</v>
      </c>
      <c r="Y4" s="220"/>
      <c r="Z4" s="82"/>
      <c r="AA4" s="82"/>
      <c r="AB4" s="82"/>
      <c r="AC4" s="82"/>
      <c r="AD4" s="82"/>
    </row>
    <row r="5" spans="1:30" ht="12.75" customHeight="1" thickBot="1" x14ac:dyDescent="0.25">
      <c r="A5" s="82"/>
      <c r="B5" s="1363" t="s">
        <v>5</v>
      </c>
      <c r="C5" s="1364"/>
      <c r="D5" s="330"/>
      <c r="E5" s="238"/>
      <c r="F5" s="239"/>
      <c r="G5" s="239"/>
      <c r="H5" s="240"/>
      <c r="I5" s="40"/>
      <c r="J5" s="40"/>
      <c r="K5" s="40"/>
      <c r="L5" s="189"/>
      <c r="M5" s="82"/>
      <c r="N5" s="220"/>
      <c r="O5" s="220"/>
      <c r="P5" s="297" t="s">
        <v>403</v>
      </c>
      <c r="Q5" s="295">
        <f>(6+(8/12))*(8-K3)</f>
        <v>53.333333333333336</v>
      </c>
      <c r="R5" s="299" t="s">
        <v>401</v>
      </c>
      <c r="S5" s="180"/>
      <c r="T5" s="220"/>
      <c r="U5" s="220"/>
      <c r="V5" s="297" t="s">
        <v>403</v>
      </c>
      <c r="W5" s="295">
        <f>(6+(8/12))*(8-K3)</f>
        <v>53.333333333333336</v>
      </c>
      <c r="X5" s="299" t="s">
        <v>401</v>
      </c>
      <c r="Y5" s="220"/>
      <c r="Z5" s="82"/>
      <c r="AA5" s="82"/>
      <c r="AB5" s="82"/>
      <c r="AC5" s="82"/>
      <c r="AD5" s="82"/>
    </row>
    <row r="6" spans="1:30" ht="12.75" customHeight="1" x14ac:dyDescent="0.2">
      <c r="A6" s="82"/>
      <c r="B6" s="1354" t="s">
        <v>71</v>
      </c>
      <c r="C6" s="1355"/>
      <c r="D6" s="147"/>
      <c r="E6" s="35"/>
      <c r="F6" s="65">
        <f>$R$34</f>
        <v>14</v>
      </c>
      <c r="G6" s="62">
        <f>D6*F6</f>
        <v>0</v>
      </c>
      <c r="H6" s="64">
        <f>E6*F6</f>
        <v>0</v>
      </c>
      <c r="I6" s="241"/>
      <c r="J6" s="241"/>
      <c r="K6" s="1342" t="s">
        <v>426</v>
      </c>
      <c r="L6" s="1343"/>
      <c r="M6" s="1344"/>
      <c r="N6" s="220"/>
      <c r="O6" s="220"/>
      <c r="P6" s="297" t="s">
        <v>404</v>
      </c>
      <c r="Q6" s="295">
        <f>5*(8-K3)</f>
        <v>40</v>
      </c>
      <c r="R6" s="299" t="s">
        <v>401</v>
      </c>
      <c r="S6" s="180"/>
      <c r="T6" s="220"/>
      <c r="U6" s="220"/>
      <c r="V6" s="297" t="s">
        <v>404</v>
      </c>
      <c r="W6" s="295">
        <f>5*(8-K3)</f>
        <v>40</v>
      </c>
      <c r="X6" s="299" t="s">
        <v>401</v>
      </c>
      <c r="Y6" s="220"/>
      <c r="Z6" s="82"/>
      <c r="AA6" s="82"/>
      <c r="AB6" s="82"/>
      <c r="AC6" s="82"/>
      <c r="AD6" s="82"/>
    </row>
    <row r="7" spans="1:30" ht="12.75" customHeight="1" x14ac:dyDescent="0.2">
      <c r="A7" s="82"/>
      <c r="B7" s="1354" t="s">
        <v>72</v>
      </c>
      <c r="C7" s="1355"/>
      <c r="D7" s="147"/>
      <c r="E7" s="35"/>
      <c r="F7" s="65">
        <f>$X$34</f>
        <v>20</v>
      </c>
      <c r="G7" s="62">
        <f>D7*F7</f>
        <v>0</v>
      </c>
      <c r="H7" s="64">
        <f>E7*F7</f>
        <v>0</v>
      </c>
      <c r="I7" s="241"/>
      <c r="J7" s="241"/>
      <c r="K7" s="1345"/>
      <c r="L7" s="1346"/>
      <c r="M7" s="1347"/>
      <c r="N7" s="220"/>
      <c r="O7" s="220"/>
      <c r="P7" s="297" t="s">
        <v>403</v>
      </c>
      <c r="Q7" s="295">
        <f>16.5*(8-K3)</f>
        <v>132</v>
      </c>
      <c r="R7" s="299" t="s">
        <v>401</v>
      </c>
      <c r="S7" s="180"/>
      <c r="T7" s="220"/>
      <c r="U7" s="220"/>
      <c r="V7" s="297" t="s">
        <v>403</v>
      </c>
      <c r="W7" s="295">
        <f>16.5*(8-K3)</f>
        <v>132</v>
      </c>
      <c r="X7" s="299" t="s">
        <v>401</v>
      </c>
      <c r="Y7" s="220"/>
      <c r="Z7" s="82"/>
      <c r="AA7" s="82"/>
      <c r="AB7" s="82"/>
      <c r="AC7" s="82"/>
      <c r="AD7" s="82"/>
    </row>
    <row r="8" spans="1:30" ht="12.75" customHeight="1" x14ac:dyDescent="0.2">
      <c r="A8" s="82"/>
      <c r="B8" s="1354" t="s">
        <v>73</v>
      </c>
      <c r="C8" s="1355"/>
      <c r="D8" s="147"/>
      <c r="E8" s="146"/>
      <c r="F8" s="242">
        <f>$X$42</f>
        <v>32</v>
      </c>
      <c r="G8" s="62">
        <f>D8*F8</f>
        <v>0</v>
      </c>
      <c r="H8" s="64">
        <f>E8*F8</f>
        <v>0</v>
      </c>
      <c r="I8" s="241"/>
      <c r="J8" s="241"/>
      <c r="K8" s="336"/>
      <c r="L8" s="1348" t="s">
        <v>427</v>
      </c>
      <c r="M8" s="1349"/>
      <c r="N8" s="220"/>
      <c r="O8" s="220"/>
      <c r="P8" s="298" t="s">
        <v>402</v>
      </c>
      <c r="Q8" s="316">
        <f>Q4</f>
        <v>640</v>
      </c>
      <c r="R8" s="301" t="s">
        <v>401</v>
      </c>
      <c r="S8" s="180"/>
      <c r="T8" s="220"/>
      <c r="U8" s="220"/>
      <c r="V8" s="298" t="s">
        <v>402</v>
      </c>
      <c r="W8" s="316">
        <f>W4</f>
        <v>384</v>
      </c>
      <c r="X8" s="301" t="s">
        <v>401</v>
      </c>
      <c r="Y8" s="220"/>
      <c r="Z8" s="82"/>
      <c r="AA8" s="82"/>
      <c r="AB8" s="82"/>
      <c r="AC8" s="82"/>
      <c r="AD8" s="82"/>
    </row>
    <row r="9" spans="1:30" ht="12.75" customHeight="1" thickBot="1" x14ac:dyDescent="0.25">
      <c r="A9" s="82"/>
      <c r="B9" s="1365" t="s">
        <v>77</v>
      </c>
      <c r="C9" s="1366"/>
      <c r="D9" s="224"/>
      <c r="E9" s="146"/>
      <c r="F9" s="242">
        <f>$R$42</f>
        <v>18</v>
      </c>
      <c r="G9" s="62">
        <f>D9*F9</f>
        <v>0</v>
      </c>
      <c r="H9" s="64">
        <f>E9*F9</f>
        <v>0</v>
      </c>
      <c r="I9" s="241"/>
      <c r="J9" s="241"/>
      <c r="K9" s="337"/>
      <c r="L9" s="1350"/>
      <c r="M9" s="1349"/>
      <c r="N9" s="220"/>
      <c r="O9" s="220"/>
      <c r="P9" s="297" t="s">
        <v>405</v>
      </c>
      <c r="Q9" s="295">
        <f>SUM(Q4:Q8)</f>
        <v>1505.3333333333335</v>
      </c>
      <c r="R9" s="299" t="s">
        <v>401</v>
      </c>
      <c r="S9" s="180"/>
      <c r="T9" s="220"/>
      <c r="U9" s="220"/>
      <c r="V9" s="297" t="s">
        <v>405</v>
      </c>
      <c r="W9" s="295">
        <f>SUM(W4:W8)</f>
        <v>993.33333333333326</v>
      </c>
      <c r="X9" s="299" t="s">
        <v>401</v>
      </c>
      <c r="Y9" s="220"/>
      <c r="Z9" s="82"/>
      <c r="AA9" s="82"/>
      <c r="AB9" s="82"/>
      <c r="AC9" s="82"/>
      <c r="AD9" s="82"/>
    </row>
    <row r="10" spans="1:30" ht="12.75" customHeight="1" x14ac:dyDescent="0.2">
      <c r="A10" s="82"/>
      <c r="B10" s="1363" t="s">
        <v>10</v>
      </c>
      <c r="C10" s="1364"/>
      <c r="D10" s="243"/>
      <c r="E10" s="243"/>
      <c r="F10" s="244"/>
      <c r="G10" s="244"/>
      <c r="H10" s="245"/>
      <c r="I10" s="241"/>
      <c r="J10" s="241"/>
      <c r="K10" s="338"/>
      <c r="L10" s="1350"/>
      <c r="M10" s="1349"/>
      <c r="N10" s="174"/>
      <c r="O10" s="174"/>
      <c r="P10" s="302" t="s">
        <v>405</v>
      </c>
      <c r="Q10" s="300">
        <f>ROUNDUP(Q9/9,0)</f>
        <v>168</v>
      </c>
      <c r="R10" s="303" t="s">
        <v>142</v>
      </c>
      <c r="S10" s="183"/>
      <c r="T10" s="174"/>
      <c r="U10" s="174"/>
      <c r="V10" s="302" t="s">
        <v>405</v>
      </c>
      <c r="W10" s="300">
        <f>ROUNDUP(W9/9,0)</f>
        <v>111</v>
      </c>
      <c r="X10" s="303" t="s">
        <v>142</v>
      </c>
      <c r="Y10" s="174"/>
      <c r="Z10" s="82"/>
      <c r="AA10" s="82"/>
      <c r="AB10" s="82"/>
      <c r="AC10" s="82"/>
      <c r="AD10" s="82"/>
    </row>
    <row r="11" spans="1:30" ht="12.75" customHeight="1" x14ac:dyDescent="0.2">
      <c r="A11" s="82"/>
      <c r="B11" s="1354" t="s">
        <v>74</v>
      </c>
      <c r="C11" s="1355"/>
      <c r="D11" s="147"/>
      <c r="E11" s="35"/>
      <c r="F11" s="65">
        <f>IF($K$9&gt;0,(1-$K$2)*(1-$K$9)*$Q$10+$K$2*(1-$K$9)*$W$10+$K$2*$K$9*$K$13,(1-$K$2)*$Q$10+$K$2*$W$10)</f>
        <v>168</v>
      </c>
      <c r="G11" s="62">
        <f>D11*F11</f>
        <v>0</v>
      </c>
      <c r="H11" s="64">
        <f>E11*F11</f>
        <v>0</v>
      </c>
      <c r="I11" s="161"/>
      <c r="J11" s="161"/>
      <c r="K11" s="339"/>
      <c r="L11" s="189"/>
      <c r="M11" s="340"/>
      <c r="N11" s="220"/>
      <c r="O11" s="220"/>
      <c r="P11" s="220"/>
      <c r="Q11" s="220"/>
      <c r="R11" s="220"/>
      <c r="S11" s="180"/>
      <c r="T11" s="220"/>
      <c r="U11" s="220"/>
      <c r="V11" s="220"/>
      <c r="W11" s="220"/>
      <c r="X11" s="220"/>
      <c r="Y11" s="220"/>
      <c r="Z11" s="82"/>
      <c r="AA11" s="82"/>
      <c r="AB11" s="82"/>
      <c r="AC11" s="82"/>
      <c r="AD11" s="82"/>
    </row>
    <row r="12" spans="1:30" ht="12.75" customHeight="1" x14ac:dyDescent="0.2">
      <c r="A12" s="82"/>
      <c r="B12" s="1354" t="s">
        <v>75</v>
      </c>
      <c r="C12" s="1355"/>
      <c r="D12" s="147"/>
      <c r="E12" s="35"/>
      <c r="F12" s="65">
        <f>IF($K$9&gt;0,(1-$K$2)*(1-$K$9)*$Q$26+$K$2*(1-$K$9)*$W$26+$K$2*$K$9*$K$14,(1-$K$2)*$Q$26+$K$2*$W$26)</f>
        <v>106</v>
      </c>
      <c r="G12" s="62">
        <f>D12*F12</f>
        <v>0</v>
      </c>
      <c r="H12" s="64">
        <f>E12*F12</f>
        <v>0</v>
      </c>
      <c r="I12" s="161"/>
      <c r="J12" s="161"/>
      <c r="K12" s="1351" t="s">
        <v>428</v>
      </c>
      <c r="L12" s="1352"/>
      <c r="M12" s="1353"/>
      <c r="N12" s="1368" t="s">
        <v>11</v>
      </c>
      <c r="O12" s="1368"/>
      <c r="P12" s="1368"/>
      <c r="Q12" s="1368"/>
      <c r="R12" s="1368"/>
      <c r="S12" s="1369"/>
      <c r="T12" s="1368" t="s">
        <v>12</v>
      </c>
      <c r="U12" s="1368"/>
      <c r="V12" s="1368"/>
      <c r="W12" s="1368"/>
      <c r="X12" s="1368"/>
      <c r="Y12" s="1368"/>
      <c r="Z12" s="82"/>
      <c r="AA12" s="82"/>
      <c r="AB12" s="82"/>
      <c r="AC12" s="82"/>
      <c r="AD12" s="82"/>
    </row>
    <row r="13" spans="1:30" ht="12.75" customHeight="1" thickBot="1" x14ac:dyDescent="0.25">
      <c r="A13" s="82"/>
      <c r="B13" s="1365" t="s">
        <v>76</v>
      </c>
      <c r="C13" s="1366"/>
      <c r="D13" s="224"/>
      <c r="E13" s="24"/>
      <c r="F13" s="65">
        <f>IF($K$9&gt;0,(1-$K$2)*(1-$K$9)*$Q$18+$K$2*(1-$K$9)*$W$18+$K$2*$K$9*$K$15,(1-$K$2)*$Q$18+$K$2*$W$18)</f>
        <v>97</v>
      </c>
      <c r="G13" s="62">
        <f>D13*F13</f>
        <v>0</v>
      </c>
      <c r="H13" s="64">
        <f>E13*F13</f>
        <v>0</v>
      </c>
      <c r="I13" s="161"/>
      <c r="J13" s="161"/>
      <c r="K13" s="344"/>
      <c r="L13" s="207" t="str">
        <f>B11</f>
        <v>Stand-Alone</v>
      </c>
      <c r="M13" s="341"/>
      <c r="N13" s="1378" t="s">
        <v>421</v>
      </c>
      <c r="O13" s="1378"/>
      <c r="P13" s="1378"/>
      <c r="Q13" s="1378"/>
      <c r="R13" s="1378"/>
      <c r="S13" s="1379"/>
      <c r="T13" s="1378" t="s">
        <v>421</v>
      </c>
      <c r="U13" s="1378"/>
      <c r="V13" s="1378"/>
      <c r="W13" s="1378"/>
      <c r="X13" s="1378"/>
      <c r="Y13" s="1379"/>
      <c r="Z13" s="82"/>
      <c r="AA13" s="82"/>
      <c r="AB13" s="82"/>
      <c r="AC13" s="82"/>
      <c r="AD13" s="82"/>
    </row>
    <row r="14" spans="1:30" ht="12.75" customHeight="1" x14ac:dyDescent="0.2">
      <c r="A14" s="82"/>
      <c r="B14" s="246"/>
      <c r="C14" s="246"/>
      <c r="D14" s="118"/>
      <c r="E14" s="120"/>
      <c r="F14" s="247" t="s">
        <v>34</v>
      </c>
      <c r="G14" s="248">
        <f>SUM(G6:G13)</f>
        <v>0</v>
      </c>
      <c r="H14" s="248">
        <f>SUM(H6:H13)</f>
        <v>0</v>
      </c>
      <c r="I14" s="249"/>
      <c r="J14" s="249"/>
      <c r="K14" s="345"/>
      <c r="L14" s="207" t="str">
        <f>B12</f>
        <v>Combo (before drive)</v>
      </c>
      <c r="M14" s="341"/>
      <c r="N14" s="220"/>
      <c r="O14" s="291" t="s">
        <v>8</v>
      </c>
      <c r="P14" s="297" t="s">
        <v>402</v>
      </c>
      <c r="Q14" s="295">
        <f>((8-K3)*20)*(8-K3)*0.5</f>
        <v>640</v>
      </c>
      <c r="R14" s="299" t="s">
        <v>401</v>
      </c>
      <c r="S14" s="180"/>
      <c r="T14" s="220"/>
      <c r="U14" s="291" t="s">
        <v>9</v>
      </c>
      <c r="V14" s="297" t="s">
        <v>402</v>
      </c>
      <c r="W14" s="295">
        <f>((8-K3)*12)*(8-K3)*0.5</f>
        <v>384</v>
      </c>
      <c r="X14" s="299" t="s">
        <v>401</v>
      </c>
      <c r="Y14" s="220"/>
      <c r="Z14" s="82"/>
      <c r="AA14" s="82"/>
      <c r="AB14" s="82"/>
      <c r="AC14" s="82"/>
      <c r="AD14" s="82"/>
    </row>
    <row r="15" spans="1:30" ht="12.75" customHeight="1" thickBot="1" x14ac:dyDescent="0.25">
      <c r="A15" s="82"/>
      <c r="B15" s="36" t="s">
        <v>393</v>
      </c>
      <c r="C15" s="36"/>
      <c r="D15" s="31"/>
      <c r="E15" s="31"/>
      <c r="F15" s="189"/>
      <c r="G15" s="189"/>
      <c r="H15" s="189"/>
      <c r="I15" s="189"/>
      <c r="J15" s="189"/>
      <c r="K15" s="346"/>
      <c r="L15" s="342" t="str">
        <f>B13</f>
        <v>Combo (after drive)</v>
      </c>
      <c r="M15" s="343"/>
      <c r="N15" s="292"/>
      <c r="O15" s="220"/>
      <c r="P15" s="297" t="s">
        <v>403</v>
      </c>
      <c r="Q15" s="295">
        <f>(6+(8/12))*(8-K3)</f>
        <v>53.333333333333336</v>
      </c>
      <c r="R15" s="299" t="s">
        <v>401</v>
      </c>
      <c r="S15" s="180"/>
      <c r="T15" s="220"/>
      <c r="U15" s="220"/>
      <c r="V15" s="297" t="s">
        <v>403</v>
      </c>
      <c r="W15" s="295">
        <f>(6+(8/12))*(8-K3)</f>
        <v>53.333333333333336</v>
      </c>
      <c r="X15" s="299" t="s">
        <v>401</v>
      </c>
      <c r="Y15" s="220"/>
      <c r="Z15" s="82"/>
      <c r="AA15" s="82"/>
      <c r="AB15" s="82"/>
      <c r="AC15" s="82"/>
      <c r="AD15" s="82"/>
    </row>
    <row r="16" spans="1:30" ht="12.75" customHeight="1" x14ac:dyDescent="0.2">
      <c r="A16" s="82"/>
      <c r="B16" s="1322" t="s">
        <v>394</v>
      </c>
      <c r="C16" s="1322"/>
      <c r="D16" s="1322"/>
      <c r="E16" s="1322"/>
      <c r="F16" s="1322"/>
      <c r="G16" s="1322"/>
      <c r="H16" s="1322"/>
      <c r="I16" s="157"/>
      <c r="J16" s="157"/>
      <c r="K16" s="231"/>
      <c r="L16" s="231"/>
      <c r="M16" s="231"/>
      <c r="N16" s="292"/>
      <c r="O16" s="220"/>
      <c r="P16" s="298" t="s">
        <v>403</v>
      </c>
      <c r="Q16" s="316">
        <f>22*(8-K3)</f>
        <v>176</v>
      </c>
      <c r="R16" s="301" t="s">
        <v>401</v>
      </c>
      <c r="S16" s="180"/>
      <c r="T16" s="220"/>
      <c r="U16" s="220"/>
      <c r="V16" s="297" t="s">
        <v>403</v>
      </c>
      <c r="W16" s="295">
        <f>22*(8-K3)</f>
        <v>176</v>
      </c>
      <c r="X16" s="299" t="s">
        <v>401</v>
      </c>
      <c r="Y16" s="220"/>
      <c r="Z16" s="82"/>
      <c r="AA16" s="82"/>
      <c r="AB16" s="82"/>
      <c r="AC16" s="82"/>
      <c r="AD16" s="82"/>
    </row>
    <row r="17" spans="1:30" ht="12.75" customHeight="1" x14ac:dyDescent="0.2">
      <c r="A17" s="82"/>
      <c r="B17" s="1322"/>
      <c r="C17" s="1322"/>
      <c r="D17" s="1322"/>
      <c r="E17" s="1322"/>
      <c r="F17" s="1322"/>
      <c r="G17" s="1322"/>
      <c r="H17" s="1322"/>
      <c r="I17" s="157"/>
      <c r="J17" s="157"/>
      <c r="K17" s="174">
        <f>IF(K18=0,Patching!L35,K18)</f>
        <v>0</v>
      </c>
      <c r="L17" s="101" t="s">
        <v>390</v>
      </c>
      <c r="M17" s="82"/>
      <c r="N17" s="292"/>
      <c r="O17" s="220"/>
      <c r="P17" s="297" t="s">
        <v>405</v>
      </c>
      <c r="Q17" s="295">
        <f>SUM(Q14:Q16)</f>
        <v>869.33333333333337</v>
      </c>
      <c r="R17" s="299" t="s">
        <v>401</v>
      </c>
      <c r="S17" s="180"/>
      <c r="T17" s="220"/>
      <c r="U17" s="220"/>
      <c r="V17" s="317" t="s">
        <v>405</v>
      </c>
      <c r="W17" s="318">
        <f>SUM(W14:W16)</f>
        <v>613.33333333333326</v>
      </c>
      <c r="X17" s="319" t="s">
        <v>401</v>
      </c>
      <c r="Y17" s="220"/>
      <c r="Z17" s="82"/>
      <c r="AA17" s="82"/>
      <c r="AB17" s="82"/>
      <c r="AC17" s="82"/>
      <c r="AD17" s="82"/>
    </row>
    <row r="18" spans="1:30" ht="12.75" customHeight="1" x14ac:dyDescent="0.2">
      <c r="A18" s="82"/>
      <c r="B18" s="82"/>
      <c r="C18" s="82"/>
      <c r="D18" s="82"/>
      <c r="E18" s="82"/>
      <c r="F18" s="82"/>
      <c r="G18" s="82"/>
      <c r="H18" s="82"/>
      <c r="I18" s="82"/>
      <c r="J18" s="82"/>
      <c r="K18" s="1002"/>
      <c r="L18" s="101" t="s">
        <v>531</v>
      </c>
      <c r="M18" s="231"/>
      <c r="N18" s="174"/>
      <c r="O18" s="174"/>
      <c r="P18" s="302" t="s">
        <v>405</v>
      </c>
      <c r="Q18" s="300">
        <f>ROUNDUP(Q17/9,0)</f>
        <v>97</v>
      </c>
      <c r="R18" s="303" t="s">
        <v>142</v>
      </c>
      <c r="S18" s="183"/>
      <c r="T18" s="174"/>
      <c r="U18" s="174"/>
      <c r="V18" s="302" t="s">
        <v>405</v>
      </c>
      <c r="W18" s="300">
        <f>ROUNDUP(W17/9,0)</f>
        <v>69</v>
      </c>
      <c r="X18" s="303" t="s">
        <v>142</v>
      </c>
      <c r="Y18" s="174"/>
      <c r="Z18" s="82"/>
      <c r="AA18" s="82"/>
      <c r="AB18" s="82"/>
      <c r="AC18" s="82"/>
      <c r="AD18" s="82"/>
    </row>
    <row r="19" spans="1:30" ht="12.75" customHeight="1" x14ac:dyDescent="0.15">
      <c r="A19" s="82"/>
      <c r="B19" s="226" t="s">
        <v>80</v>
      </c>
      <c r="C19" s="226"/>
      <c r="D19" s="101"/>
      <c r="E19" s="101"/>
      <c r="F19" s="101"/>
      <c r="G19" s="101"/>
      <c r="H19" s="101"/>
      <c r="I19" s="30"/>
      <c r="N19" s="220"/>
      <c r="O19" s="220"/>
      <c r="P19" s="220"/>
      <c r="Q19" s="220"/>
      <c r="R19" s="220"/>
      <c r="S19" s="180"/>
      <c r="T19" s="220"/>
      <c r="U19" s="220"/>
      <c r="V19" s="220"/>
      <c r="W19" s="220"/>
      <c r="X19" s="220"/>
      <c r="Y19" s="220"/>
      <c r="Z19" s="82"/>
      <c r="AA19" s="82"/>
      <c r="AB19" s="82"/>
      <c r="AC19" s="82"/>
      <c r="AD19" s="82"/>
    </row>
    <row r="20" spans="1:30" ht="12.75" customHeight="1" x14ac:dyDescent="0.15">
      <c r="A20" s="82"/>
      <c r="B20" s="101" t="str">
        <f>$K$21&amp;" #/sys HMA Surface, Type"&amp;" "&amp;$K$17&amp;" on"</f>
        <v xml:space="preserve"> #/sys HMA Surface, Type 0 on</v>
      </c>
      <c r="D20" s="83"/>
      <c r="E20" s="83"/>
      <c r="F20" s="83"/>
      <c r="G20" s="101"/>
      <c r="H20" s="83"/>
      <c r="I20" s="83"/>
      <c r="J20" s="30"/>
      <c r="K20" s="250" t="s">
        <v>14</v>
      </c>
      <c r="L20" s="155"/>
      <c r="M20" s="82"/>
      <c r="N20" s="1368" t="s">
        <v>11</v>
      </c>
      <c r="O20" s="1368"/>
      <c r="P20" s="1368"/>
      <c r="Q20" s="1368"/>
      <c r="R20" s="1368"/>
      <c r="S20" s="1369"/>
      <c r="T20" s="1368" t="s">
        <v>12</v>
      </c>
      <c r="U20" s="1368"/>
      <c r="V20" s="1368"/>
      <c r="W20" s="1368"/>
      <c r="X20" s="1368"/>
      <c r="Y20" s="1368"/>
      <c r="Z20" s="82"/>
      <c r="AA20" s="82"/>
      <c r="AB20" s="82"/>
      <c r="AC20" s="82"/>
      <c r="AD20" s="82"/>
    </row>
    <row r="21" spans="1:30" ht="12.75" customHeight="1" x14ac:dyDescent="0.15">
      <c r="A21" s="82"/>
      <c r="B21" s="252" t="str">
        <f>IF($K$4=$N$49,$K$22&amp;" #/sys HMA Intermediate, Type "&amp;$K$17&amp;" on","Milling, Approach")</f>
        <v>Milling, Approach</v>
      </c>
      <c r="D21" s="83"/>
      <c r="E21" s="83"/>
      <c r="F21" s="83"/>
      <c r="G21" s="101"/>
      <c r="H21" s="83"/>
      <c r="I21" s="83"/>
      <c r="J21" s="251" t="s">
        <v>407</v>
      </c>
      <c r="K21" s="100"/>
      <c r="L21" s="168" t="s">
        <v>36</v>
      </c>
      <c r="M21" s="82"/>
      <c r="N21" s="1378" t="s">
        <v>422</v>
      </c>
      <c r="O21" s="1378"/>
      <c r="P21" s="1378"/>
      <c r="Q21" s="1378"/>
      <c r="R21" s="1378"/>
      <c r="S21" s="1379"/>
      <c r="T21" s="1378" t="s">
        <v>422</v>
      </c>
      <c r="U21" s="1378"/>
      <c r="V21" s="1378"/>
      <c r="W21" s="1378"/>
      <c r="X21" s="1378"/>
      <c r="Y21" s="1379"/>
      <c r="Z21" s="82"/>
      <c r="AA21" s="82"/>
      <c r="AB21" s="82"/>
      <c r="AC21" s="82"/>
      <c r="AD21" s="82"/>
    </row>
    <row r="22" spans="1:30" ht="12.75" customHeight="1" x14ac:dyDescent="0.15">
      <c r="A22" s="82"/>
      <c r="B22" s="86">
        <f>IF($K$4=$N$49,"Milling, Approach",0)</f>
        <v>0</v>
      </c>
      <c r="C22" s="252"/>
      <c r="D22" s="83"/>
      <c r="E22" s="83"/>
      <c r="F22" s="83"/>
      <c r="G22" s="101"/>
      <c r="H22" s="83"/>
      <c r="I22" s="83"/>
      <c r="J22" s="251" t="s">
        <v>408</v>
      </c>
      <c r="K22" s="130"/>
      <c r="L22" s="168" t="s">
        <v>36</v>
      </c>
      <c r="M22" s="82"/>
      <c r="N22" s="220"/>
      <c r="O22" s="291" t="s">
        <v>8</v>
      </c>
      <c r="P22" s="297" t="s">
        <v>402</v>
      </c>
      <c r="Q22" s="295">
        <f>((8-K3)*20)*(8-K3)*0.5</f>
        <v>640</v>
      </c>
      <c r="R22" s="299" t="s">
        <v>401</v>
      </c>
      <c r="S22" s="180"/>
      <c r="T22" s="220"/>
      <c r="U22" s="291" t="s">
        <v>9</v>
      </c>
      <c r="V22" s="297" t="s">
        <v>402</v>
      </c>
      <c r="W22" s="295">
        <f>((8-K3)*12)*(8-K3)*0.5</f>
        <v>384</v>
      </c>
      <c r="X22" s="299" t="s">
        <v>401</v>
      </c>
      <c r="Y22" s="220"/>
      <c r="Z22" s="82"/>
      <c r="AA22" s="82"/>
      <c r="AB22" s="82"/>
      <c r="AC22" s="82"/>
      <c r="AD22" s="82"/>
    </row>
    <row r="23" spans="1:30" ht="12.75" customHeight="1" x14ac:dyDescent="0.2">
      <c r="A23" s="82"/>
      <c r="B23" s="101"/>
      <c r="C23" s="101"/>
      <c r="D23" s="101"/>
      <c r="E23" s="86"/>
      <c r="F23" s="86"/>
      <c r="G23" s="175"/>
      <c r="H23" s="86"/>
      <c r="I23" s="86"/>
      <c r="J23" s="86"/>
      <c r="K23" s="116">
        <f>IF(K4=N49,2,1)</f>
        <v>1</v>
      </c>
      <c r="L23" s="86" t="s">
        <v>86</v>
      </c>
      <c r="M23" s="82"/>
      <c r="N23" s="220"/>
      <c r="O23" s="220"/>
      <c r="P23" s="297" t="s">
        <v>403</v>
      </c>
      <c r="Q23" s="295">
        <f>(16.5)*(8-K3)</f>
        <v>132</v>
      </c>
      <c r="R23" s="299" t="s">
        <v>401</v>
      </c>
      <c r="S23" s="180"/>
      <c r="T23" s="220"/>
      <c r="U23" s="220"/>
      <c r="V23" s="297" t="s">
        <v>403</v>
      </c>
      <c r="W23" s="295">
        <f>(16.5)*(8-K3)</f>
        <v>132</v>
      </c>
      <c r="X23" s="299" t="s">
        <v>401</v>
      </c>
      <c r="Y23" s="220"/>
      <c r="Z23" s="82"/>
      <c r="AA23" s="82"/>
      <c r="AB23" s="82"/>
      <c r="AC23" s="82"/>
      <c r="AD23" s="82"/>
    </row>
    <row r="24" spans="1:30" ht="12.75" customHeight="1" x14ac:dyDescent="0.2">
      <c r="A24" s="82"/>
      <c r="B24" s="227" t="s">
        <v>82</v>
      </c>
      <c r="C24" s="227"/>
      <c r="D24" s="86"/>
      <c r="E24" s="86"/>
      <c r="F24" s="86"/>
      <c r="G24" s="86"/>
      <c r="H24" s="86"/>
      <c r="I24" s="86"/>
      <c r="J24" s="86"/>
      <c r="K24" s="91"/>
      <c r="L24" s="86"/>
      <c r="M24" s="82"/>
      <c r="N24" s="220"/>
      <c r="O24" s="220"/>
      <c r="P24" s="298" t="s">
        <v>403</v>
      </c>
      <c r="Q24" s="316">
        <f>22*(8-K3)</f>
        <v>176</v>
      </c>
      <c r="R24" s="301" t="s">
        <v>401</v>
      </c>
      <c r="S24" s="180"/>
      <c r="T24" s="220"/>
      <c r="U24" s="220"/>
      <c r="V24" s="298" t="s">
        <v>403</v>
      </c>
      <c r="W24" s="316">
        <f>22*(8-K3)</f>
        <v>176</v>
      </c>
      <c r="X24" s="301" t="s">
        <v>401</v>
      </c>
      <c r="Y24" s="220"/>
      <c r="Z24" s="82"/>
      <c r="AA24" s="82"/>
      <c r="AB24" s="82"/>
      <c r="AC24" s="82"/>
      <c r="AD24" s="82"/>
    </row>
    <row r="25" spans="1:30" ht="12.75" customHeight="1" x14ac:dyDescent="0.15">
      <c r="A25" s="82"/>
      <c r="B25" s="1367" t="s">
        <v>81</v>
      </c>
      <c r="C25" s="1367"/>
      <c r="D25" s="86" t="str">
        <f>$K$27&amp;" #/sys HMA Surface, Type"&amp;" "&amp;$K$17&amp;" on"</f>
        <v>165 #/sys HMA Surface, Type 0 on</v>
      </c>
      <c r="E25" s="86"/>
      <c r="F25" s="86"/>
      <c r="G25" s="86"/>
      <c r="H25" s="86"/>
      <c r="I25" s="86"/>
      <c r="J25" s="86"/>
      <c r="K25" s="156" t="s">
        <v>13</v>
      </c>
      <c r="L25" s="168"/>
      <c r="M25" s="82"/>
      <c r="N25" s="220"/>
      <c r="O25" s="220"/>
      <c r="P25" s="297" t="s">
        <v>405</v>
      </c>
      <c r="Q25" s="295">
        <f>SUM(Q22:Q24)</f>
        <v>948</v>
      </c>
      <c r="R25" s="299" t="s">
        <v>401</v>
      </c>
      <c r="S25" s="180"/>
      <c r="T25" s="220"/>
      <c r="U25" s="220"/>
      <c r="V25" s="297" t="s">
        <v>405</v>
      </c>
      <c r="W25" s="295">
        <f>SUM(W22:W24)</f>
        <v>692</v>
      </c>
      <c r="X25" s="299" t="s">
        <v>401</v>
      </c>
      <c r="Y25" s="220"/>
      <c r="Z25" s="82"/>
      <c r="AA25" s="82"/>
      <c r="AB25" s="82"/>
      <c r="AC25" s="82"/>
      <c r="AD25" s="82"/>
    </row>
    <row r="26" spans="1:30" ht="12.75" customHeight="1" x14ac:dyDescent="0.15">
      <c r="A26" s="82"/>
      <c r="B26" s="82"/>
      <c r="C26" s="82"/>
      <c r="D26" s="86" t="str">
        <f>$K$28&amp;" #/sys HMA Intermediate, Type"&amp;" "&amp;$K$17&amp;" on"</f>
        <v>385 #/sys HMA Intermediate, Type 0 on</v>
      </c>
      <c r="E26" s="86"/>
      <c r="F26" s="92"/>
      <c r="G26" s="86"/>
      <c r="H26" s="86"/>
      <c r="I26" s="86"/>
      <c r="J26" s="86"/>
      <c r="K26" s="227" t="s">
        <v>84</v>
      </c>
      <c r="L26" s="168"/>
      <c r="M26" s="82"/>
      <c r="N26" s="174"/>
      <c r="O26" s="174"/>
      <c r="P26" s="302" t="s">
        <v>405</v>
      </c>
      <c r="Q26" s="300">
        <f>ROUNDUP(Q25/9,0)</f>
        <v>106</v>
      </c>
      <c r="R26" s="303" t="s">
        <v>142</v>
      </c>
      <c r="S26" s="183"/>
      <c r="T26" s="174"/>
      <c r="U26" s="174"/>
      <c r="V26" s="302" t="s">
        <v>405</v>
      </c>
      <c r="W26" s="300">
        <f>ROUNDUP(W25/9,0)</f>
        <v>77</v>
      </c>
      <c r="X26" s="303" t="s">
        <v>142</v>
      </c>
      <c r="Y26" s="174"/>
      <c r="Z26" s="82"/>
      <c r="AA26" s="82"/>
      <c r="AB26" s="82"/>
      <c r="AC26" s="82"/>
      <c r="AD26" s="82"/>
    </row>
    <row r="27" spans="1:30" ht="12.75" customHeight="1" x14ac:dyDescent="0.15">
      <c r="A27" s="82"/>
      <c r="B27" s="82"/>
      <c r="C27" s="82"/>
      <c r="D27" s="127" t="str">
        <f>"Subgrade Treatment, Type "&amp;$K$41</f>
        <v>Subgrade Treatment, Type II</v>
      </c>
      <c r="E27" s="86"/>
      <c r="F27" s="92"/>
      <c r="G27" s="86"/>
      <c r="H27" s="86"/>
      <c r="I27" s="86"/>
      <c r="J27" s="251" t="s">
        <v>407</v>
      </c>
      <c r="K27" s="116">
        <v>165</v>
      </c>
      <c r="L27" s="168" t="s">
        <v>36</v>
      </c>
      <c r="M27" s="82"/>
      <c r="N27" s="220"/>
      <c r="O27" s="220"/>
      <c r="P27" s="220"/>
      <c r="Q27" s="220"/>
      <c r="R27" s="220"/>
      <c r="S27" s="180"/>
      <c r="T27" s="90"/>
      <c r="U27" s="90"/>
      <c r="V27" s="90"/>
      <c r="W27" s="90"/>
      <c r="X27" s="90"/>
      <c r="Y27" s="90"/>
      <c r="Z27" s="82"/>
      <c r="AA27" s="82"/>
      <c r="AB27" s="82"/>
      <c r="AC27" s="82"/>
      <c r="AD27" s="82"/>
    </row>
    <row r="28" spans="1:30" ht="12.75" customHeight="1" x14ac:dyDescent="0.15">
      <c r="A28" s="82"/>
      <c r="B28" s="82"/>
      <c r="C28" s="82"/>
      <c r="D28" s="86"/>
      <c r="E28" s="82"/>
      <c r="F28" s="82"/>
      <c r="G28" s="86"/>
      <c r="H28" s="86"/>
      <c r="I28" s="86"/>
      <c r="J28" s="251" t="s">
        <v>408</v>
      </c>
      <c r="K28" s="116">
        <v>385</v>
      </c>
      <c r="L28" s="168" t="s">
        <v>36</v>
      </c>
      <c r="M28" s="31"/>
      <c r="N28" s="1368" t="s">
        <v>15</v>
      </c>
      <c r="O28" s="1375"/>
      <c r="P28" s="1368"/>
      <c r="Q28" s="1368"/>
      <c r="R28" s="1368"/>
      <c r="S28" s="1369"/>
      <c r="T28" s="1376" t="s">
        <v>16</v>
      </c>
      <c r="U28" s="1376"/>
      <c r="V28" s="1376"/>
      <c r="W28" s="1376"/>
      <c r="X28" s="1376"/>
      <c r="Y28" s="1376"/>
      <c r="Z28" s="82"/>
      <c r="AA28" s="82"/>
      <c r="AB28" s="82"/>
      <c r="AC28" s="82"/>
      <c r="AD28" s="82"/>
    </row>
    <row r="29" spans="1:30" ht="12.75" customHeight="1" x14ac:dyDescent="0.2">
      <c r="A29" s="82"/>
      <c r="B29" s="1367" t="s">
        <v>395</v>
      </c>
      <c r="C29" s="1367"/>
      <c r="D29" s="86" t="str">
        <f>$K$31&amp;" #/sys HMA Surface, Type"&amp;" "&amp;$K$17&amp;" on"</f>
        <v>165 #/sys HMA Surface, Type 0 on</v>
      </c>
      <c r="E29" s="82"/>
      <c r="F29" s="82"/>
      <c r="G29" s="86"/>
      <c r="H29" s="86"/>
      <c r="I29" s="86"/>
      <c r="J29" s="86"/>
      <c r="K29" s="116">
        <v>1</v>
      </c>
      <c r="L29" s="86" t="s">
        <v>86</v>
      </c>
      <c r="M29" s="31"/>
      <c r="N29" s="1377" t="s">
        <v>414</v>
      </c>
      <c r="O29" s="1377"/>
      <c r="P29" s="1006">
        <v>20</v>
      </c>
      <c r="Q29" s="1384" t="s">
        <v>410</v>
      </c>
      <c r="R29" s="1384"/>
      <c r="S29" s="308"/>
      <c r="T29" s="1381" t="s">
        <v>418</v>
      </c>
      <c r="U29" s="1391"/>
      <c r="V29" s="1007">
        <v>40</v>
      </c>
      <c r="W29" s="1384" t="s">
        <v>411</v>
      </c>
      <c r="X29" s="1384"/>
      <c r="Y29" s="256"/>
      <c r="Z29" s="82"/>
      <c r="AA29" s="82"/>
      <c r="AB29" s="82"/>
      <c r="AC29" s="82"/>
      <c r="AD29" s="82"/>
    </row>
    <row r="30" spans="1:30" ht="12.75" customHeight="1" x14ac:dyDescent="0.15">
      <c r="A30" s="82"/>
      <c r="B30" s="82"/>
      <c r="C30" s="82"/>
      <c r="D30" s="86" t="str">
        <f>$K$32&amp;" #/sys HMA Intermediate, Type"&amp;" "&amp;$K$17&amp;" on"</f>
        <v>275 #/sys HMA Intermediate, Type 0 on</v>
      </c>
      <c r="E30" s="82"/>
      <c r="F30" s="82"/>
      <c r="G30" s="31"/>
      <c r="H30" s="31"/>
      <c r="I30" s="31"/>
      <c r="J30" s="31"/>
      <c r="K30" s="227" t="s">
        <v>569</v>
      </c>
      <c r="L30" s="168"/>
      <c r="M30" s="82"/>
      <c r="N30" s="1377"/>
      <c r="O30" s="1377"/>
      <c r="P30" s="306"/>
      <c r="Q30" s="153"/>
      <c r="R30" s="293"/>
      <c r="S30" s="308"/>
      <c r="T30" s="1381"/>
      <c r="U30" s="1391"/>
      <c r="V30" s="256"/>
      <c r="W30" s="116"/>
      <c r="X30" s="256"/>
      <c r="Y30" s="256"/>
      <c r="Z30" s="82"/>
      <c r="AA30" s="82"/>
      <c r="AB30" s="82"/>
      <c r="AC30" s="82"/>
      <c r="AD30" s="82"/>
    </row>
    <row r="31" spans="1:30" ht="12.75" customHeight="1" x14ac:dyDescent="0.15">
      <c r="A31" s="82"/>
      <c r="B31" s="82"/>
      <c r="C31" s="82"/>
      <c r="D31" s="86" t="str">
        <f>$K$33&amp;" #/sys HMA Base, Type"&amp;" "&amp;$K$17&amp;" on"</f>
        <v>880 #/sys HMA Base, Type 0 on</v>
      </c>
      <c r="E31" s="82"/>
      <c r="F31" s="82"/>
      <c r="G31" s="31"/>
      <c r="H31" s="31"/>
      <c r="I31" s="31"/>
      <c r="J31" s="251" t="s">
        <v>407</v>
      </c>
      <c r="K31" s="116">
        <v>165</v>
      </c>
      <c r="L31" s="168" t="s">
        <v>36</v>
      </c>
      <c r="M31" s="31"/>
      <c r="N31" s="1377" t="s">
        <v>412</v>
      </c>
      <c r="O31" s="1377"/>
      <c r="P31" s="307">
        <v>3</v>
      </c>
      <c r="Q31" s="153"/>
      <c r="R31" s="220"/>
      <c r="S31" s="180"/>
      <c r="T31" s="1381" t="s">
        <v>412</v>
      </c>
      <c r="U31" s="1391"/>
      <c r="V31" s="307">
        <v>3</v>
      </c>
      <c r="W31" s="153"/>
      <c r="X31" s="90"/>
      <c r="Y31" s="90"/>
      <c r="Z31" s="82"/>
      <c r="AA31" s="82"/>
      <c r="AB31" s="82"/>
      <c r="AC31" s="82"/>
      <c r="AD31" s="82"/>
    </row>
    <row r="32" spans="1:30" ht="12.75" customHeight="1" x14ac:dyDescent="0.15">
      <c r="A32" s="82"/>
      <c r="B32" s="82"/>
      <c r="C32" s="82"/>
      <c r="D32" s="127" t="str">
        <f>"Subgrade Treatment, Type "&amp;$K$41</f>
        <v>Subgrade Treatment, Type II</v>
      </c>
      <c r="E32" s="82"/>
      <c r="F32" s="82"/>
      <c r="G32" s="215"/>
      <c r="H32" s="215"/>
      <c r="I32" s="215"/>
      <c r="J32" s="251" t="s">
        <v>408</v>
      </c>
      <c r="K32" s="116">
        <v>275</v>
      </c>
      <c r="L32" s="168" t="s">
        <v>36</v>
      </c>
      <c r="M32" s="31"/>
      <c r="N32" s="1377"/>
      <c r="O32" s="1377"/>
      <c r="P32" s="293"/>
      <c r="Q32" s="297" t="s">
        <v>405</v>
      </c>
      <c r="R32" s="295">
        <f>((P29+P33)/2)*P31</f>
        <v>120</v>
      </c>
      <c r="S32" s="294" t="s">
        <v>401</v>
      </c>
      <c r="T32" s="1377"/>
      <c r="U32" s="1391"/>
      <c r="V32" s="256"/>
      <c r="W32" s="297" t="s">
        <v>405</v>
      </c>
      <c r="X32" s="295">
        <f>((V29+V33)/2)*V31</f>
        <v>180</v>
      </c>
      <c r="Y32" s="299" t="s">
        <v>401</v>
      </c>
      <c r="Z32" s="82"/>
      <c r="AA32" s="82"/>
      <c r="AB32" s="82"/>
      <c r="AC32" s="82"/>
      <c r="AD32" s="82"/>
    </row>
    <row r="33" spans="1:30" ht="12.75" customHeight="1" x14ac:dyDescent="0.15">
      <c r="A33" s="82"/>
      <c r="B33" s="82"/>
      <c r="C33" s="82"/>
      <c r="D33" s="86"/>
      <c r="E33" s="82"/>
      <c r="F33" s="82"/>
      <c r="G33" s="31"/>
      <c r="H33" s="31"/>
      <c r="I33" s="31"/>
      <c r="J33" s="251" t="s">
        <v>409</v>
      </c>
      <c r="K33" s="306">
        <v>880</v>
      </c>
      <c r="L33" s="168" t="s">
        <v>36</v>
      </c>
      <c r="M33" s="82"/>
      <c r="N33" s="1377" t="s">
        <v>415</v>
      </c>
      <c r="O33" s="1389"/>
      <c r="P33" s="307">
        <f>P29+15+25</f>
        <v>60</v>
      </c>
      <c r="Q33" s="153"/>
      <c r="R33" s="153"/>
      <c r="S33" s="314"/>
      <c r="T33" s="1377" t="s">
        <v>416</v>
      </c>
      <c r="U33" s="1389"/>
      <c r="V33" s="312">
        <f>V29+2*20</f>
        <v>80</v>
      </c>
      <c r="W33" s="153"/>
      <c r="X33" s="311"/>
      <c r="Y33" s="310"/>
      <c r="Z33" s="82"/>
      <c r="AA33" s="82"/>
      <c r="AB33" s="82"/>
      <c r="AC33" s="82"/>
      <c r="AD33" s="82"/>
    </row>
    <row r="34" spans="1:30" ht="12.75" customHeight="1" x14ac:dyDescent="0.2">
      <c r="A34" s="82"/>
      <c r="B34" s="1367" t="s">
        <v>83</v>
      </c>
      <c r="C34" s="1367"/>
      <c r="D34" s="86" t="str">
        <f>$K$36&amp;" #/sys HMA Surface, Type"&amp;" "&amp;$K$17&amp;" on"</f>
        <v>165 #/sys HMA Surface, Type 0 on</v>
      </c>
      <c r="E34" s="82"/>
      <c r="F34" s="82"/>
      <c r="G34" s="31"/>
      <c r="H34" s="31"/>
      <c r="I34" s="31"/>
      <c r="J34" s="31"/>
      <c r="K34" s="116">
        <v>3</v>
      </c>
      <c r="L34" s="86" t="s">
        <v>86</v>
      </c>
      <c r="M34" s="31"/>
      <c r="N34" s="1390"/>
      <c r="O34" s="1390"/>
      <c r="P34" s="217"/>
      <c r="Q34" s="302" t="s">
        <v>405</v>
      </c>
      <c r="R34" s="300">
        <f>ROUNDUP(R32/9,0)</f>
        <v>14</v>
      </c>
      <c r="S34" s="309" t="s">
        <v>142</v>
      </c>
      <c r="T34" s="1390"/>
      <c r="U34" s="1390"/>
      <c r="V34" s="217"/>
      <c r="W34" s="302" t="s">
        <v>405</v>
      </c>
      <c r="X34" s="300">
        <f>X32/9</f>
        <v>20</v>
      </c>
      <c r="Y34" s="303" t="s">
        <v>142</v>
      </c>
      <c r="Z34" s="82"/>
      <c r="AA34" s="82"/>
      <c r="AB34" s="82"/>
      <c r="AC34" s="82"/>
      <c r="AD34" s="82"/>
    </row>
    <row r="35" spans="1:30" ht="12.75" customHeight="1" x14ac:dyDescent="0.15">
      <c r="A35" s="82"/>
      <c r="B35" s="82"/>
      <c r="C35" s="82"/>
      <c r="D35" s="86" t="str">
        <f>$K$37&amp;" #/sys HMA Intermediate, Type"&amp;" "&amp;$K$17&amp;" on"</f>
        <v>275 #/sys HMA Intermediate, Type 0 on</v>
      </c>
      <c r="E35" s="82"/>
      <c r="F35" s="82"/>
      <c r="G35" s="31"/>
      <c r="H35" s="31"/>
      <c r="I35" s="31"/>
      <c r="J35" s="31"/>
      <c r="K35" s="227" t="s">
        <v>85</v>
      </c>
      <c r="L35" s="168"/>
      <c r="M35" s="31"/>
      <c r="N35" s="320"/>
      <c r="O35" s="320"/>
      <c r="P35" s="320"/>
      <c r="Q35" s="320"/>
      <c r="R35" s="317"/>
      <c r="S35" s="321"/>
      <c r="T35" s="322"/>
      <c r="U35" s="323"/>
      <c r="V35" s="323"/>
      <c r="W35" s="323"/>
      <c r="X35" s="324"/>
      <c r="Y35" s="320"/>
      <c r="Z35" s="82"/>
      <c r="AA35" s="82"/>
      <c r="AB35" s="82"/>
      <c r="AC35" s="82"/>
      <c r="AD35" s="82"/>
    </row>
    <row r="36" spans="1:30" ht="12.75" customHeight="1" x14ac:dyDescent="0.15">
      <c r="A36" s="82"/>
      <c r="B36" s="82"/>
      <c r="C36" s="82"/>
      <c r="D36" s="86" t="str">
        <f>$K$38&amp;" #/sys HMA Base, Type"&amp;" "&amp;$K$17&amp;" on"</f>
        <v>440 #/sys HMA Base, Type 0 on</v>
      </c>
      <c r="E36" s="82"/>
      <c r="F36" s="82"/>
      <c r="G36" s="31"/>
      <c r="H36" s="31"/>
      <c r="I36" s="31"/>
      <c r="J36" s="251" t="s">
        <v>407</v>
      </c>
      <c r="K36" s="116">
        <v>165</v>
      </c>
      <c r="L36" s="168" t="s">
        <v>36</v>
      </c>
      <c r="M36" s="82"/>
      <c r="N36" s="1368" t="s">
        <v>17</v>
      </c>
      <c r="O36" s="1368"/>
      <c r="P36" s="1368"/>
      <c r="Q36" s="1368"/>
      <c r="R36" s="1368"/>
      <c r="S36" s="1369"/>
      <c r="T36" s="1374" t="s">
        <v>18</v>
      </c>
      <c r="U36" s="1375"/>
      <c r="V36" s="1375"/>
      <c r="W36" s="1375"/>
      <c r="X36" s="1375"/>
      <c r="Y36" s="1375"/>
      <c r="Z36" s="82"/>
      <c r="AA36" s="82"/>
      <c r="AB36" s="82"/>
      <c r="AC36" s="82"/>
      <c r="AD36" s="82"/>
    </row>
    <row r="37" spans="1:30" ht="12.75" customHeight="1" x14ac:dyDescent="0.15">
      <c r="A37" s="82"/>
      <c r="B37" s="82"/>
      <c r="C37" s="82"/>
      <c r="D37" s="127" t="str">
        <f>"Subgrade Treatment, Type "&amp;$K$41</f>
        <v>Subgrade Treatment, Type II</v>
      </c>
      <c r="E37" s="82"/>
      <c r="F37" s="82"/>
      <c r="G37" s="31"/>
      <c r="H37" s="31"/>
      <c r="I37" s="31"/>
      <c r="J37" s="251" t="s">
        <v>408</v>
      </c>
      <c r="K37" s="116">
        <v>275</v>
      </c>
      <c r="L37" s="168" t="s">
        <v>36</v>
      </c>
      <c r="M37" s="82"/>
      <c r="N37" s="1377" t="s">
        <v>420</v>
      </c>
      <c r="O37" s="1377"/>
      <c r="P37" s="1006">
        <v>32</v>
      </c>
      <c r="Q37" s="1384" t="s">
        <v>413</v>
      </c>
      <c r="R37" s="1384"/>
      <c r="S37" s="308"/>
      <c r="T37" s="1381" t="s">
        <v>419</v>
      </c>
      <c r="U37" s="1377"/>
      <c r="V37" s="1006">
        <v>50</v>
      </c>
      <c r="W37" s="310"/>
      <c r="X37" s="220"/>
      <c r="Y37" s="220"/>
      <c r="Z37" s="82"/>
      <c r="AA37" s="82"/>
      <c r="AB37" s="82"/>
      <c r="AC37" s="82"/>
      <c r="AD37" s="82"/>
    </row>
    <row r="38" spans="1:30" ht="12.75" customHeight="1" x14ac:dyDescent="0.15">
      <c r="A38" s="82"/>
      <c r="B38" s="82"/>
      <c r="C38" s="82"/>
      <c r="D38" s="82"/>
      <c r="E38" s="86"/>
      <c r="F38" s="86"/>
      <c r="G38" s="253"/>
      <c r="H38" s="253"/>
      <c r="I38" s="253"/>
      <c r="J38" s="251" t="s">
        <v>409</v>
      </c>
      <c r="K38" s="306">
        <v>440</v>
      </c>
      <c r="L38" s="168" t="s">
        <v>36</v>
      </c>
      <c r="M38" s="82"/>
      <c r="N38" s="1377"/>
      <c r="O38" s="1377"/>
      <c r="P38" s="306"/>
      <c r="Q38" s="310"/>
      <c r="R38" s="293"/>
      <c r="S38" s="308"/>
      <c r="T38" s="1381"/>
      <c r="U38" s="1377"/>
      <c r="V38" s="306"/>
      <c r="W38" s="310"/>
      <c r="X38" s="220"/>
      <c r="Y38" s="220"/>
      <c r="Z38" s="91"/>
      <c r="AA38" s="82"/>
      <c r="AB38" s="82"/>
      <c r="AC38" s="82"/>
      <c r="AD38" s="82"/>
    </row>
    <row r="39" spans="1:30" ht="12.75" customHeight="1" x14ac:dyDescent="0.2">
      <c r="A39" s="82"/>
      <c r="B39" s="82"/>
      <c r="C39" s="1357" t="s">
        <v>55</v>
      </c>
      <c r="D39" s="1358"/>
      <c r="E39" s="82"/>
      <c r="F39" s="86"/>
      <c r="G39" s="82"/>
      <c r="H39" s="82"/>
      <c r="I39" s="82"/>
      <c r="J39" s="82"/>
      <c r="K39" s="116">
        <v>2</v>
      </c>
      <c r="L39" s="86" t="s">
        <v>86</v>
      </c>
      <c r="M39" s="82"/>
      <c r="N39" s="1377" t="s">
        <v>412</v>
      </c>
      <c r="O39" s="1377"/>
      <c r="P39" s="307">
        <v>3</v>
      </c>
      <c r="Q39" s="310"/>
      <c r="R39" s="220"/>
      <c r="S39" s="180"/>
      <c r="T39" s="1381" t="s">
        <v>412</v>
      </c>
      <c r="U39" s="1377"/>
      <c r="V39" s="307">
        <v>3</v>
      </c>
      <c r="W39" s="310"/>
      <c r="X39" s="220"/>
      <c r="Y39" s="220"/>
      <c r="Z39" s="91"/>
      <c r="AA39" s="82"/>
      <c r="AB39" s="82"/>
      <c r="AC39" s="82"/>
      <c r="AD39" s="82"/>
    </row>
    <row r="40" spans="1:30" ht="12.75" customHeight="1" x14ac:dyDescent="0.2">
      <c r="A40" s="82"/>
      <c r="B40" s="82"/>
      <c r="C40" s="254">
        <f>IF(K4=N49,ROUNDUP((($K$21+$K$22)*G14+($K$27+$K$28)*(H6+H11+H12+H13)+($K$31+$K$32+$K$33)*(H7+H8)+($K$36+$K$37+$K$38)*H9)/2000,0),ROUNDUP(($K$21*G14+($K$27+$K$28)*(H6+H11+H12+H13)+($K$31+$K$32+$K$33)*(H7+H8)+($K$36+$K$37+$K$38)*H9)/2000,0))</f>
        <v>0</v>
      </c>
      <c r="D40" s="86" t="str">
        <f>"HMA for Approaches, Type "&amp;$K$17</f>
        <v>HMA for Approaches, Type 0</v>
      </c>
      <c r="E40" s="31"/>
      <c r="F40" s="31"/>
      <c r="G40" s="82"/>
      <c r="H40" s="82"/>
      <c r="I40" s="82"/>
      <c r="J40" s="82"/>
      <c r="K40" s="82"/>
      <c r="L40" s="82"/>
      <c r="M40" s="91"/>
      <c r="N40" s="1377"/>
      <c r="O40" s="1377"/>
      <c r="P40" s="293"/>
      <c r="Q40" s="297" t="s">
        <v>405</v>
      </c>
      <c r="R40" s="295">
        <f>((P37+P41)/2)*P39</f>
        <v>156</v>
      </c>
      <c r="S40" s="294" t="s">
        <v>401</v>
      </c>
      <c r="T40" s="1381"/>
      <c r="U40" s="1377"/>
      <c r="V40" s="293"/>
      <c r="W40" s="297" t="s">
        <v>405</v>
      </c>
      <c r="X40" s="295">
        <f>((V37+V41)/2)*V39</f>
        <v>285</v>
      </c>
      <c r="Y40" s="299" t="s">
        <v>401</v>
      </c>
      <c r="Z40" s="91"/>
      <c r="AA40" s="82"/>
      <c r="AB40" s="82"/>
      <c r="AC40" s="82"/>
      <c r="AD40" s="82"/>
    </row>
    <row r="41" spans="1:30" ht="12.75" customHeight="1" x14ac:dyDescent="0.2">
      <c r="A41" s="82"/>
      <c r="B41" s="82"/>
      <c r="C41" s="230">
        <f>ROUNDUP(0.00025*($K$23*G14+$K$29*(H6+H11+H12+H13)+$K$34*(H7+H8)+$K$39*H9),1)</f>
        <v>0</v>
      </c>
      <c r="D41" s="86" t="s">
        <v>32</v>
      </c>
      <c r="E41" s="31"/>
      <c r="F41" s="31"/>
      <c r="G41" s="82"/>
      <c r="H41" s="82"/>
      <c r="I41" s="82"/>
      <c r="J41" s="82"/>
      <c r="K41" s="116" t="s">
        <v>858</v>
      </c>
      <c r="L41" s="86" t="s">
        <v>423</v>
      </c>
      <c r="M41" s="91"/>
      <c r="N41" s="1377" t="s">
        <v>415</v>
      </c>
      <c r="O41" s="1382"/>
      <c r="P41" s="307">
        <f>P37+15+25</f>
        <v>72</v>
      </c>
      <c r="Q41" s="310"/>
      <c r="R41" s="310"/>
      <c r="S41" s="314"/>
      <c r="T41" s="1381" t="s">
        <v>417</v>
      </c>
      <c r="U41" s="1382"/>
      <c r="V41" s="307">
        <f>V37+2*45</f>
        <v>140</v>
      </c>
      <c r="W41" s="310"/>
      <c r="X41" s="310"/>
      <c r="Y41" s="310"/>
      <c r="Z41" s="91"/>
      <c r="AA41" s="82"/>
      <c r="AB41" s="82"/>
      <c r="AC41" s="82"/>
      <c r="AD41" s="82"/>
    </row>
    <row r="42" spans="1:30" ht="12.75" customHeight="1" x14ac:dyDescent="0.2">
      <c r="A42" s="82"/>
      <c r="B42" s="82"/>
      <c r="C42" s="178">
        <f>G14</f>
        <v>0</v>
      </c>
      <c r="D42" s="86" t="s">
        <v>79</v>
      </c>
      <c r="E42" s="215"/>
      <c r="F42" s="215"/>
      <c r="G42" s="82"/>
      <c r="H42" s="82"/>
      <c r="I42" s="82"/>
      <c r="J42" s="82"/>
      <c r="K42" s="82"/>
      <c r="L42" s="82"/>
      <c r="M42" s="91"/>
      <c r="N42" s="1382"/>
      <c r="O42" s="1382"/>
      <c r="P42" s="293"/>
      <c r="Q42" s="313" t="s">
        <v>405</v>
      </c>
      <c r="R42" s="296">
        <f>ROUNDUP(R40/9,0)</f>
        <v>18</v>
      </c>
      <c r="S42" s="315" t="s">
        <v>142</v>
      </c>
      <c r="T42" s="1383"/>
      <c r="U42" s="1382"/>
      <c r="V42" s="293"/>
      <c r="W42" s="313" t="s">
        <v>405</v>
      </c>
      <c r="X42" s="296">
        <f>ROUNDUP(X40/9,0)</f>
        <v>32</v>
      </c>
      <c r="Y42" s="325" t="s">
        <v>142</v>
      </c>
      <c r="Z42" s="91"/>
      <c r="AA42" s="82"/>
      <c r="AB42" s="82"/>
      <c r="AC42" s="82"/>
      <c r="AD42" s="82"/>
    </row>
    <row r="43" spans="1:30" ht="12.75" customHeight="1" x14ac:dyDescent="0.2">
      <c r="A43" s="82"/>
      <c r="B43" s="82"/>
      <c r="C43" s="178">
        <f>H14</f>
        <v>0</v>
      </c>
      <c r="D43" s="127" t="str">
        <f>"Subgrade Treatment, Type "&amp;$K$41</f>
        <v>Subgrade Treatment, Type II</v>
      </c>
      <c r="E43" s="31"/>
      <c r="F43" s="31"/>
      <c r="G43" s="82"/>
      <c r="H43" s="82"/>
      <c r="I43" s="82"/>
      <c r="J43" s="82"/>
      <c r="K43" s="82"/>
      <c r="L43" s="82"/>
      <c r="M43" s="91"/>
      <c r="N43" s="82"/>
      <c r="O43" s="82"/>
      <c r="P43" s="82"/>
      <c r="Q43" s="82"/>
      <c r="R43" s="82"/>
      <c r="S43" s="82"/>
      <c r="T43" s="91"/>
      <c r="U43" s="91"/>
      <c r="V43" s="91"/>
      <c r="W43" s="91"/>
      <c r="X43" s="91"/>
      <c r="Y43" s="91"/>
      <c r="Z43" s="91"/>
      <c r="AA43" s="82"/>
      <c r="AB43" s="82"/>
      <c r="AC43" s="82"/>
      <c r="AD43" s="82"/>
    </row>
    <row r="44" spans="1:30" ht="12.75" customHeight="1" x14ac:dyDescent="0.2">
      <c r="A44" s="82"/>
      <c r="B44" s="82"/>
      <c r="C44" s="255">
        <f>ROUNDUP(IF(K9&lt;&gt;0,K9*SUM(D11:E13),SUM(D11:E13)/10),0)</f>
        <v>0</v>
      </c>
      <c r="D44" s="86" t="s">
        <v>956</v>
      </c>
      <c r="E44" s="31"/>
      <c r="F44" s="31"/>
      <c r="G44" s="86"/>
      <c r="H44" s="82"/>
      <c r="I44" s="82"/>
      <c r="J44" s="82"/>
      <c r="K44" s="82"/>
      <c r="L44" s="82"/>
      <c r="M44" s="91"/>
      <c r="N44" s="82"/>
      <c r="O44" s="82"/>
      <c r="P44" s="82"/>
      <c r="Q44" s="82"/>
      <c r="R44" s="82"/>
      <c r="S44" s="82"/>
      <c r="T44" s="91"/>
      <c r="U44" s="91"/>
      <c r="V44" s="91"/>
      <c r="W44" s="91"/>
      <c r="X44" s="91"/>
      <c r="Y44" s="91"/>
      <c r="Z44" s="91"/>
      <c r="AA44" s="82"/>
      <c r="AB44" s="82"/>
      <c r="AC44" s="82"/>
      <c r="AD44" s="82"/>
    </row>
    <row r="45" spans="1:30" ht="6.75" customHeight="1" x14ac:dyDescent="0.2">
      <c r="A45" s="82"/>
      <c r="B45" s="82"/>
      <c r="C45" s="82"/>
      <c r="D45" s="82"/>
      <c r="E45" s="253"/>
      <c r="F45" s="253"/>
      <c r="G45" s="86"/>
      <c r="H45" s="82"/>
      <c r="I45" s="82"/>
      <c r="J45" s="82"/>
      <c r="K45" s="82"/>
      <c r="L45" s="82"/>
      <c r="M45" s="91"/>
      <c r="T45" s="91"/>
      <c r="U45" s="91"/>
      <c r="V45" s="91"/>
      <c r="W45" s="91"/>
      <c r="X45" s="91"/>
      <c r="Y45" s="91"/>
      <c r="Z45" s="91"/>
      <c r="AA45" s="82"/>
      <c r="AB45" s="82"/>
      <c r="AC45" s="82"/>
      <c r="AD45" s="82"/>
    </row>
    <row r="46" spans="1:30" x14ac:dyDescent="0.2">
      <c r="A46" s="82"/>
      <c r="B46" s="82"/>
      <c r="C46" s="31"/>
      <c r="D46" s="31"/>
      <c r="E46" s="82"/>
      <c r="F46" s="82"/>
      <c r="G46" s="82"/>
      <c r="H46" s="82"/>
      <c r="I46" s="82"/>
      <c r="J46" s="82"/>
      <c r="K46" s="82"/>
      <c r="L46" s="82"/>
      <c r="M46" s="91"/>
      <c r="N46" s="217" t="s">
        <v>226</v>
      </c>
      <c r="O46" s="149" t="s">
        <v>50</v>
      </c>
      <c r="T46" s="91"/>
      <c r="U46" s="91"/>
      <c r="V46" s="91"/>
      <c r="W46" s="91"/>
      <c r="X46" s="91"/>
      <c r="Y46" s="91"/>
      <c r="Z46" s="91"/>
      <c r="AA46" s="82"/>
      <c r="AB46" s="82"/>
      <c r="AC46" s="82"/>
      <c r="AD46" s="82"/>
    </row>
    <row r="47" spans="1:30" x14ac:dyDescent="0.2">
      <c r="A47" s="82"/>
      <c r="B47" s="31"/>
      <c r="C47" s="31"/>
      <c r="D47" s="31"/>
      <c r="E47" s="257"/>
      <c r="F47" s="82"/>
      <c r="G47" s="82"/>
      <c r="H47" s="82"/>
      <c r="I47" s="82"/>
      <c r="J47" s="82"/>
      <c r="K47" s="82"/>
      <c r="L47" s="82"/>
      <c r="M47" s="91"/>
      <c r="N47" s="220"/>
      <c r="O47" s="190"/>
      <c r="T47" s="91"/>
      <c r="U47" s="91"/>
      <c r="V47" s="91"/>
      <c r="W47" s="91"/>
      <c r="X47" s="91"/>
      <c r="Y47" s="91"/>
      <c r="Z47" s="91"/>
      <c r="AA47" s="82"/>
      <c r="AB47" s="82"/>
      <c r="AC47" s="82"/>
      <c r="AD47" s="82"/>
    </row>
    <row r="48" spans="1:30" ht="18" x14ac:dyDescent="0.2">
      <c r="A48" s="1224" t="str">
        <f>UPPER("Minor Road Approach Summary Table")</f>
        <v>MINOR ROAD APPROACH SUMMARY TABLE</v>
      </c>
      <c r="B48" s="1380"/>
      <c r="C48" s="1380"/>
      <c r="D48" s="1380"/>
      <c r="E48" s="1380"/>
      <c r="F48" s="1380"/>
      <c r="G48" s="1380"/>
      <c r="H48" s="1380"/>
      <c r="I48" s="1380"/>
      <c r="J48" s="82"/>
      <c r="K48" s="82"/>
      <c r="L48" s="82"/>
      <c r="M48" s="91"/>
      <c r="N48" s="220" t="s">
        <v>224</v>
      </c>
      <c r="O48" s="190" t="s">
        <v>51</v>
      </c>
      <c r="T48" s="91"/>
      <c r="U48" s="91"/>
      <c r="V48" s="91"/>
      <c r="W48" s="91"/>
      <c r="X48" s="91"/>
      <c r="Y48" s="91"/>
      <c r="Z48" s="91"/>
      <c r="AA48" s="82"/>
      <c r="AB48" s="82"/>
      <c r="AC48" s="82"/>
      <c r="AD48" s="82"/>
    </row>
    <row r="49" spans="1:30" ht="12.75" customHeight="1" thickBot="1" x14ac:dyDescent="0.25">
      <c r="A49" s="82"/>
      <c r="B49" s="1356" t="s">
        <v>424</v>
      </c>
      <c r="C49" s="1356"/>
      <c r="D49" s="1356"/>
      <c r="E49" s="1356"/>
      <c r="F49" s="1356"/>
      <c r="G49" s="1356"/>
      <c r="H49" s="1356"/>
      <c r="I49" s="156"/>
      <c r="J49" s="82"/>
      <c r="K49" s="82"/>
      <c r="L49" s="82"/>
      <c r="M49" s="91"/>
      <c r="N49" s="220" t="s">
        <v>223</v>
      </c>
      <c r="O49" s="190" t="s">
        <v>52</v>
      </c>
      <c r="T49" s="91"/>
      <c r="U49" s="91"/>
      <c r="V49" s="91"/>
      <c r="W49" s="91"/>
      <c r="X49" s="91"/>
      <c r="Y49" s="91"/>
      <c r="Z49" s="91"/>
      <c r="AA49" s="82"/>
      <c r="AB49" s="82"/>
      <c r="AC49" s="82"/>
      <c r="AD49" s="82"/>
    </row>
    <row r="50" spans="1:30" ht="22.5" x14ac:dyDescent="0.2">
      <c r="A50" s="82"/>
      <c r="B50" s="1359" t="s">
        <v>70</v>
      </c>
      <c r="C50" s="1360"/>
      <c r="D50" s="235" t="s">
        <v>396</v>
      </c>
      <c r="E50" s="236" t="s">
        <v>397</v>
      </c>
      <c r="F50" s="269" t="s">
        <v>398</v>
      </c>
      <c r="G50" s="237" t="s">
        <v>399</v>
      </c>
      <c r="H50" s="150" t="s">
        <v>400</v>
      </c>
      <c r="I50" s="215"/>
      <c r="J50" s="82"/>
      <c r="K50" s="1370" t="str">
        <f>IF(K4=N50,"Use this table to left as well","Do not use the table to the left")</f>
        <v>Do not use the table to the left</v>
      </c>
      <c r="L50" s="1371"/>
      <c r="M50" s="1371"/>
      <c r="N50" s="220" t="s">
        <v>336</v>
      </c>
      <c r="O50" s="190" t="s">
        <v>53</v>
      </c>
      <c r="T50" s="91"/>
      <c r="U50" s="91"/>
      <c r="V50" s="91"/>
      <c r="W50" s="91"/>
      <c r="X50" s="91"/>
      <c r="Y50" s="91"/>
      <c r="Z50" s="91"/>
      <c r="AA50" s="82"/>
      <c r="AB50" s="82"/>
      <c r="AC50" s="82"/>
      <c r="AD50" s="82"/>
    </row>
    <row r="51" spans="1:30" ht="13.5" thickBot="1" x14ac:dyDescent="0.25">
      <c r="A51" s="82"/>
      <c r="B51" s="1361"/>
      <c r="C51" s="1362"/>
      <c r="D51" s="329" t="s">
        <v>20</v>
      </c>
      <c r="E51" s="286" t="s">
        <v>20</v>
      </c>
      <c r="F51" s="289" t="s">
        <v>210</v>
      </c>
      <c r="G51" s="290" t="s">
        <v>210</v>
      </c>
      <c r="H51" s="287" t="s">
        <v>210</v>
      </c>
      <c r="I51" s="215"/>
      <c r="J51" s="82"/>
      <c r="K51" s="1372">
        <f>IF(K50="Use this table to left as well","Print Area = A48:I92",0)</f>
        <v>0</v>
      </c>
      <c r="L51" s="1373"/>
      <c r="M51" s="91"/>
      <c r="N51" s="101"/>
      <c r="O51" s="190" t="s">
        <v>54</v>
      </c>
      <c r="T51" s="82"/>
      <c r="U51" s="82"/>
      <c r="V51" s="82"/>
      <c r="W51" s="82"/>
      <c r="X51" s="82"/>
      <c r="Y51" s="82"/>
      <c r="Z51" s="91"/>
      <c r="AA51" s="82"/>
      <c r="AB51" s="82"/>
      <c r="AC51" s="82"/>
      <c r="AD51" s="82"/>
    </row>
    <row r="52" spans="1:30" x14ac:dyDescent="0.2">
      <c r="A52" s="82"/>
      <c r="B52" s="1363" t="s">
        <v>5</v>
      </c>
      <c r="C52" s="1364"/>
      <c r="D52" s="330"/>
      <c r="E52" s="238"/>
      <c r="F52" s="239"/>
      <c r="G52" s="239"/>
      <c r="H52" s="240"/>
      <c r="I52" s="40"/>
      <c r="J52" s="82"/>
      <c r="K52" s="82"/>
      <c r="L52" s="82"/>
      <c r="M52" s="91"/>
      <c r="T52" s="82"/>
      <c r="U52" s="82"/>
      <c r="V52" s="82"/>
      <c r="W52" s="82"/>
      <c r="X52" s="82"/>
      <c r="Y52" s="82"/>
      <c r="Z52" s="91"/>
      <c r="AA52" s="82"/>
      <c r="AB52" s="82"/>
      <c r="AC52" s="82"/>
      <c r="AD52" s="82"/>
    </row>
    <row r="53" spans="1:30" x14ac:dyDescent="0.2">
      <c r="A53" s="82"/>
      <c r="B53" s="1354" t="s">
        <v>71</v>
      </c>
      <c r="C53" s="1355"/>
      <c r="D53" s="147"/>
      <c r="E53" s="35"/>
      <c r="F53" s="65">
        <f>$R$34</f>
        <v>14</v>
      </c>
      <c r="G53" s="62">
        <f>D53*F53</f>
        <v>0</v>
      </c>
      <c r="H53" s="64">
        <f>E53*F53</f>
        <v>0</v>
      </c>
      <c r="I53" s="241"/>
      <c r="J53" s="82"/>
      <c r="K53" s="82"/>
      <c r="L53" s="82"/>
      <c r="M53" s="91"/>
      <c r="N53" s="82"/>
      <c r="O53" s="82"/>
      <c r="P53" s="82"/>
      <c r="Q53" s="82"/>
      <c r="R53" s="82"/>
      <c r="S53" s="82"/>
      <c r="T53" s="82"/>
      <c r="U53" s="82"/>
      <c r="V53" s="82"/>
      <c r="W53" s="82"/>
      <c r="X53" s="82"/>
      <c r="Y53" s="82"/>
      <c r="Z53" s="91"/>
      <c r="AA53" s="82"/>
      <c r="AB53" s="82"/>
      <c r="AC53" s="82"/>
      <c r="AD53" s="82"/>
    </row>
    <row r="54" spans="1:30" x14ac:dyDescent="0.2">
      <c r="A54" s="82"/>
      <c r="B54" s="1354" t="s">
        <v>72</v>
      </c>
      <c r="C54" s="1355"/>
      <c r="D54" s="147"/>
      <c r="E54" s="35"/>
      <c r="F54" s="65">
        <f>$X$34</f>
        <v>20</v>
      </c>
      <c r="G54" s="62">
        <f>D54*F54</f>
        <v>0</v>
      </c>
      <c r="H54" s="64">
        <f>E54*F54</f>
        <v>0</v>
      </c>
      <c r="I54" s="241"/>
      <c r="J54" s="82"/>
      <c r="K54" s="82"/>
      <c r="L54" s="82"/>
      <c r="M54" s="91"/>
      <c r="T54" s="82"/>
      <c r="U54" s="82"/>
      <c r="V54" s="82"/>
      <c r="W54" s="82"/>
      <c r="X54" s="82"/>
      <c r="Y54" s="82"/>
      <c r="Z54" s="91"/>
      <c r="AA54" s="82"/>
      <c r="AB54" s="82"/>
      <c r="AC54" s="82"/>
      <c r="AD54" s="82"/>
    </row>
    <row r="55" spans="1:30" x14ac:dyDescent="0.2">
      <c r="A55" s="82"/>
      <c r="B55" s="1354" t="s">
        <v>73</v>
      </c>
      <c r="C55" s="1355"/>
      <c r="D55" s="147"/>
      <c r="E55" s="146"/>
      <c r="F55" s="242">
        <f>$X$42</f>
        <v>32</v>
      </c>
      <c r="G55" s="62">
        <f>D55*F55</f>
        <v>0</v>
      </c>
      <c r="H55" s="64">
        <f>E55*F55</f>
        <v>0</v>
      </c>
      <c r="I55" s="241"/>
      <c r="J55" s="82"/>
      <c r="K55" s="82"/>
      <c r="L55" s="82"/>
      <c r="M55" s="91"/>
      <c r="T55" s="83"/>
      <c r="U55" s="82"/>
      <c r="V55" s="82"/>
      <c r="W55" s="82"/>
      <c r="X55" s="82"/>
      <c r="Y55" s="82"/>
      <c r="Z55" s="91"/>
      <c r="AA55" s="82"/>
      <c r="AB55" s="82"/>
      <c r="AC55" s="82"/>
      <c r="AD55" s="82"/>
    </row>
    <row r="56" spans="1:30" ht="13.5" thickBot="1" x14ac:dyDescent="0.25">
      <c r="A56" s="82"/>
      <c r="B56" s="1365" t="s">
        <v>77</v>
      </c>
      <c r="C56" s="1366"/>
      <c r="D56" s="224"/>
      <c r="E56" s="146"/>
      <c r="F56" s="242">
        <f>$R$42</f>
        <v>18</v>
      </c>
      <c r="G56" s="62">
        <f>D56*F56</f>
        <v>0</v>
      </c>
      <c r="H56" s="64">
        <f>E56*F56</f>
        <v>0</v>
      </c>
      <c r="I56" s="241"/>
      <c r="J56" s="82"/>
      <c r="K56" s="82"/>
      <c r="L56" s="82"/>
      <c r="M56" s="91"/>
      <c r="T56" s="82"/>
      <c r="U56" s="82"/>
      <c r="V56" s="82"/>
      <c r="W56" s="82"/>
      <c r="X56" s="82"/>
      <c r="Y56" s="82"/>
      <c r="Z56" s="91"/>
      <c r="AA56" s="82"/>
      <c r="AB56" s="82"/>
      <c r="AC56" s="82"/>
      <c r="AD56" s="82"/>
    </row>
    <row r="57" spans="1:30" ht="12.75" customHeight="1" x14ac:dyDescent="0.2">
      <c r="A57" s="82"/>
      <c r="B57" s="1363" t="s">
        <v>10</v>
      </c>
      <c r="C57" s="1364"/>
      <c r="D57" s="243"/>
      <c r="E57" s="243"/>
      <c r="F57" s="244"/>
      <c r="G57" s="244"/>
      <c r="H57" s="245"/>
      <c r="I57" s="241"/>
      <c r="J57" s="82"/>
      <c r="K57" s="82"/>
      <c r="L57" s="82"/>
      <c r="M57" s="91"/>
      <c r="T57" s="82"/>
      <c r="U57" s="82"/>
      <c r="V57" s="82"/>
      <c r="W57" s="82"/>
      <c r="X57" s="82"/>
      <c r="Y57" s="82"/>
      <c r="Z57" s="91"/>
      <c r="AA57" s="82"/>
      <c r="AB57" s="82"/>
      <c r="AC57" s="82"/>
      <c r="AD57" s="82"/>
    </row>
    <row r="58" spans="1:30" x14ac:dyDescent="0.2">
      <c r="A58" s="82"/>
      <c r="B58" s="1354" t="s">
        <v>74</v>
      </c>
      <c r="C58" s="1355"/>
      <c r="D58" s="147"/>
      <c r="E58" s="35"/>
      <c r="F58" s="65">
        <f>IF($K$9&gt;0,$K$9*$K$13+(1-$K$9)*(1-$K$2)*$Q$10+$K$2*$W$10,(1-$K$2)*$Q$10+$K$2*$W$10)</f>
        <v>168</v>
      </c>
      <c r="G58" s="62">
        <f>D58*F58</f>
        <v>0</v>
      </c>
      <c r="H58" s="64">
        <f>E58*F58</f>
        <v>0</v>
      </c>
      <c r="I58" s="161"/>
      <c r="J58" s="82"/>
      <c r="K58" s="82"/>
      <c r="L58" s="82"/>
      <c r="M58" s="91"/>
      <c r="T58" s="82"/>
      <c r="U58" s="82"/>
      <c r="V58" s="82"/>
      <c r="W58" s="82"/>
      <c r="X58" s="82"/>
      <c r="Y58" s="82"/>
      <c r="Z58" s="91"/>
      <c r="AA58" s="82"/>
      <c r="AB58" s="82"/>
      <c r="AC58" s="82"/>
      <c r="AD58" s="82"/>
    </row>
    <row r="59" spans="1:30" x14ac:dyDescent="0.2">
      <c r="A59" s="82"/>
      <c r="B59" s="1354" t="s">
        <v>75</v>
      </c>
      <c r="C59" s="1355"/>
      <c r="D59" s="147"/>
      <c r="E59" s="35"/>
      <c r="F59" s="65">
        <f>IF($K$9&gt;0,$K$9*$K$14+(1-$K$9)*(1-$K$2)*$Q$26+$K$2*$W$26,(1-$K$2)*$Q$26+$K$2*$W$26)</f>
        <v>106</v>
      </c>
      <c r="G59" s="62">
        <f>D59*F59</f>
        <v>0</v>
      </c>
      <c r="H59" s="64">
        <f>E59*F59</f>
        <v>0</v>
      </c>
      <c r="I59" s="161"/>
      <c r="J59" s="82"/>
      <c r="K59" s="82"/>
      <c r="L59" s="82"/>
      <c r="M59" s="91"/>
      <c r="T59" s="82"/>
      <c r="U59" s="82"/>
      <c r="V59" s="82"/>
      <c r="W59" s="82"/>
      <c r="X59" s="82"/>
      <c r="Y59" s="82"/>
      <c r="Z59" s="91"/>
      <c r="AA59" s="82"/>
      <c r="AB59" s="82"/>
      <c r="AC59" s="82"/>
      <c r="AD59" s="82"/>
    </row>
    <row r="60" spans="1:30" ht="13.5" thickBot="1" x14ac:dyDescent="0.25">
      <c r="A60" s="82"/>
      <c r="B60" s="1365" t="s">
        <v>76</v>
      </c>
      <c r="C60" s="1366"/>
      <c r="D60" s="224"/>
      <c r="E60" s="24"/>
      <c r="F60" s="65">
        <f>IF($K$9&gt;0,$K$9*$K$15+(1-$K$9)*(1-$K$2)*$Q$18+$K$2*$W$18,(1-$K$2)*$Q$18+$K$2*$W$18)</f>
        <v>97</v>
      </c>
      <c r="G60" s="62">
        <f>D60*F60</f>
        <v>0</v>
      </c>
      <c r="H60" s="64">
        <f>E60*F60</f>
        <v>0</v>
      </c>
      <c r="I60" s="161"/>
      <c r="J60" s="82"/>
      <c r="K60" s="82"/>
      <c r="L60" s="82"/>
      <c r="M60" s="91"/>
      <c r="T60" s="82"/>
      <c r="U60" s="82"/>
      <c r="V60" s="82"/>
      <c r="W60" s="82"/>
      <c r="X60" s="82"/>
      <c r="Y60" s="82"/>
      <c r="Z60" s="91"/>
      <c r="AA60" s="82"/>
      <c r="AB60" s="82"/>
      <c r="AC60" s="82"/>
      <c r="AD60" s="82"/>
    </row>
    <row r="61" spans="1:30" x14ac:dyDescent="0.2">
      <c r="A61" s="82"/>
      <c r="B61" s="246"/>
      <c r="C61" s="246"/>
      <c r="D61" s="118"/>
      <c r="E61" s="120"/>
      <c r="F61" s="247" t="s">
        <v>34</v>
      </c>
      <c r="G61" s="248">
        <f>SUM(G53:G60)</f>
        <v>0</v>
      </c>
      <c r="H61" s="248">
        <f>SUM(H53:H60)</f>
        <v>0</v>
      </c>
      <c r="I61" s="249"/>
      <c r="J61" s="82"/>
      <c r="K61" s="82"/>
      <c r="L61" s="82"/>
      <c r="M61" s="91"/>
      <c r="T61" s="82"/>
      <c r="U61" s="82"/>
      <c r="V61" s="82"/>
      <c r="W61" s="82"/>
      <c r="X61" s="82"/>
      <c r="Y61" s="82"/>
      <c r="Z61" s="82"/>
      <c r="AA61" s="82"/>
      <c r="AB61" s="82"/>
      <c r="AC61" s="82"/>
      <c r="AD61" s="82"/>
    </row>
    <row r="62" spans="1:30" x14ac:dyDescent="0.2">
      <c r="A62" s="82"/>
      <c r="B62" s="36" t="s">
        <v>393</v>
      </c>
      <c r="C62" s="36"/>
      <c r="D62" s="31"/>
      <c r="E62" s="31"/>
      <c r="F62" s="189"/>
      <c r="G62" s="189"/>
      <c r="H62" s="189"/>
      <c r="I62" s="189"/>
      <c r="J62" s="82"/>
      <c r="K62" s="82"/>
      <c r="L62" s="82"/>
      <c r="M62" s="82"/>
      <c r="Z62" s="82"/>
      <c r="AA62" s="82"/>
      <c r="AB62" s="82"/>
      <c r="AC62" s="82"/>
      <c r="AD62" s="82"/>
    </row>
    <row r="63" spans="1:30" x14ac:dyDescent="0.2">
      <c r="A63" s="82"/>
      <c r="B63" s="1322" t="s">
        <v>394</v>
      </c>
      <c r="C63" s="1322"/>
      <c r="D63" s="1322"/>
      <c r="E63" s="1322"/>
      <c r="F63" s="1322"/>
      <c r="G63" s="1322"/>
      <c r="H63" s="1322"/>
      <c r="I63" s="157"/>
      <c r="J63" s="82"/>
      <c r="K63" s="82"/>
      <c r="L63" s="82"/>
      <c r="M63" s="82"/>
      <c r="Z63" s="82"/>
      <c r="AA63" s="82"/>
      <c r="AB63" s="82"/>
      <c r="AC63" s="82"/>
      <c r="AD63" s="82"/>
    </row>
    <row r="64" spans="1:30" x14ac:dyDescent="0.2">
      <c r="A64" s="82"/>
      <c r="B64" s="1322"/>
      <c r="C64" s="1322"/>
      <c r="D64" s="1322"/>
      <c r="E64" s="1322"/>
      <c r="F64" s="1322"/>
      <c r="G64" s="1322"/>
      <c r="H64" s="1322"/>
      <c r="I64" s="157"/>
      <c r="J64" s="82"/>
      <c r="K64" s="82"/>
      <c r="L64" s="82"/>
      <c r="M64" s="82"/>
      <c r="Z64" s="82"/>
      <c r="AA64" s="82"/>
      <c r="AB64" s="82"/>
      <c r="AC64" s="82"/>
      <c r="AD64" s="82"/>
    </row>
    <row r="65" spans="1:30" x14ac:dyDescent="0.2">
      <c r="A65" s="82"/>
      <c r="B65" s="82"/>
      <c r="C65" s="82"/>
      <c r="D65" s="82"/>
      <c r="E65" s="82"/>
      <c r="F65" s="82"/>
      <c r="G65" s="82"/>
      <c r="H65" s="82"/>
      <c r="I65" s="82"/>
      <c r="J65" s="82"/>
      <c r="K65" s="82"/>
      <c r="L65" s="82"/>
      <c r="M65" s="82"/>
      <c r="Z65" s="82"/>
      <c r="AA65" s="82"/>
      <c r="AB65" s="82"/>
      <c r="AC65" s="82"/>
      <c r="AD65" s="82"/>
    </row>
    <row r="66" spans="1:30" x14ac:dyDescent="0.15">
      <c r="A66" s="82"/>
      <c r="B66" s="226" t="s">
        <v>80</v>
      </c>
      <c r="C66" s="226"/>
      <c r="D66" s="101"/>
      <c r="E66" s="101"/>
      <c r="F66" s="101"/>
      <c r="G66" s="101"/>
      <c r="H66" s="101"/>
      <c r="I66" s="30"/>
      <c r="J66" s="82"/>
      <c r="K66" s="82"/>
      <c r="L66" s="82"/>
      <c r="M66" s="82"/>
      <c r="Z66" s="82"/>
      <c r="AA66" s="82"/>
      <c r="AB66" s="82"/>
      <c r="AC66" s="82"/>
      <c r="AD66" s="82"/>
    </row>
    <row r="67" spans="1:30" x14ac:dyDescent="0.2">
      <c r="A67" s="82"/>
      <c r="B67" s="101" t="str">
        <f>$K$21&amp;" #/sys HMA Surface, Type"&amp;" "&amp;$K$17&amp;" on"</f>
        <v xml:space="preserve"> #/sys HMA Surface, Type 0 on</v>
      </c>
      <c r="D67" s="83"/>
      <c r="E67" s="83"/>
      <c r="F67" s="83"/>
      <c r="G67" s="101"/>
      <c r="H67" s="83"/>
      <c r="I67" s="83"/>
      <c r="J67" s="82"/>
      <c r="K67" s="82"/>
      <c r="L67" s="82"/>
      <c r="M67" s="82"/>
      <c r="Z67" s="82"/>
      <c r="AA67" s="82"/>
      <c r="AB67" s="82"/>
      <c r="AC67" s="82"/>
      <c r="AD67" s="82"/>
    </row>
    <row r="68" spans="1:30" x14ac:dyDescent="0.2">
      <c r="A68" s="82"/>
      <c r="B68" s="252" t="str">
        <f>$K$22&amp;" #/sys HMA Intermediate, Type "&amp;$K$17&amp;" on"</f>
        <v xml:space="preserve"> #/sys HMA Intermediate, Type 0 on</v>
      </c>
      <c r="D68" s="83"/>
      <c r="E68" s="83"/>
      <c r="F68" s="83"/>
      <c r="G68" s="101"/>
      <c r="H68" s="83"/>
      <c r="I68" s="83"/>
      <c r="J68" s="82"/>
      <c r="K68" s="82"/>
      <c r="L68" s="82"/>
      <c r="M68" s="82"/>
      <c r="Z68" s="82"/>
      <c r="AA68" s="82"/>
      <c r="AB68" s="82"/>
      <c r="AC68" s="82"/>
      <c r="AD68" s="82"/>
    </row>
    <row r="69" spans="1:30" x14ac:dyDescent="0.2">
      <c r="A69" s="82"/>
      <c r="B69" s="86" t="s">
        <v>79</v>
      </c>
      <c r="C69" s="252"/>
      <c r="D69" s="83"/>
      <c r="E69" s="83"/>
      <c r="F69" s="83"/>
      <c r="G69" s="101"/>
      <c r="H69" s="83"/>
      <c r="I69" s="83"/>
      <c r="J69" s="82"/>
      <c r="K69" s="82"/>
      <c r="L69" s="82"/>
      <c r="M69" s="82"/>
      <c r="Z69" s="82"/>
      <c r="AA69" s="82"/>
      <c r="AB69" s="82"/>
      <c r="AC69" s="82"/>
      <c r="AD69" s="82"/>
    </row>
    <row r="70" spans="1:30" x14ac:dyDescent="0.2">
      <c r="A70" s="82"/>
      <c r="B70" s="101"/>
      <c r="C70" s="101"/>
      <c r="D70" s="101"/>
      <c r="E70" s="86"/>
      <c r="F70" s="86"/>
      <c r="G70" s="175"/>
      <c r="H70" s="86"/>
      <c r="I70" s="86"/>
      <c r="J70" s="82"/>
      <c r="K70" s="82"/>
      <c r="L70" s="82"/>
      <c r="M70" s="82"/>
      <c r="Z70" s="82"/>
      <c r="AA70" s="82"/>
      <c r="AB70" s="82"/>
      <c r="AC70" s="82"/>
      <c r="AD70" s="82"/>
    </row>
    <row r="71" spans="1:30" x14ac:dyDescent="0.2">
      <c r="A71" s="82"/>
      <c r="B71" s="227" t="s">
        <v>82</v>
      </c>
      <c r="C71" s="227"/>
      <c r="D71" s="86"/>
      <c r="E71" s="86"/>
      <c r="F71" s="86"/>
      <c r="G71" s="86"/>
      <c r="H71" s="86"/>
      <c r="I71" s="86"/>
      <c r="K71" s="82"/>
      <c r="L71" s="82"/>
      <c r="M71" s="82"/>
      <c r="Z71" s="82"/>
      <c r="AA71" s="82"/>
      <c r="AB71" s="82"/>
      <c r="AC71" s="82"/>
      <c r="AD71" s="82"/>
    </row>
    <row r="72" spans="1:30" x14ac:dyDescent="0.2">
      <c r="A72" s="82"/>
      <c r="B72" s="1367" t="s">
        <v>81</v>
      </c>
      <c r="C72" s="1367"/>
      <c r="D72" s="86" t="str">
        <f>$K$27&amp;" #/sys HMA Surface, Type"&amp;" "&amp;$K$17&amp;" on"</f>
        <v>165 #/sys HMA Surface, Type 0 on</v>
      </c>
      <c r="E72" s="86"/>
      <c r="F72" s="86"/>
      <c r="G72" s="86"/>
      <c r="H72" s="86"/>
      <c r="I72" s="86"/>
    </row>
    <row r="73" spans="1:30" x14ac:dyDescent="0.2">
      <c r="A73" s="82"/>
      <c r="B73" s="82"/>
      <c r="C73" s="82"/>
      <c r="D73" s="86" t="str">
        <f>$K$28&amp;" #/sys HMA Intermediate, Type"&amp;" "&amp;$K$17&amp;" on"</f>
        <v>385 #/sys HMA Intermediate, Type 0 on</v>
      </c>
      <c r="E73" s="86"/>
      <c r="F73" s="92"/>
      <c r="G73" s="86"/>
      <c r="H73" s="86"/>
      <c r="I73" s="86"/>
    </row>
    <row r="74" spans="1:30" x14ac:dyDescent="0.2">
      <c r="A74" s="82"/>
      <c r="B74" s="82"/>
      <c r="C74" s="82"/>
      <c r="D74" s="127" t="str">
        <f>"Subgrade Treatment, Type "&amp;$K$41</f>
        <v>Subgrade Treatment, Type II</v>
      </c>
      <c r="E74" s="86"/>
      <c r="F74" s="92"/>
      <c r="G74" s="86"/>
      <c r="H74" s="86"/>
      <c r="I74" s="86"/>
    </row>
    <row r="75" spans="1:30" x14ac:dyDescent="0.2">
      <c r="A75" s="82"/>
      <c r="B75" s="82"/>
      <c r="C75" s="82"/>
      <c r="D75" s="86"/>
      <c r="E75" s="82"/>
      <c r="F75" s="82"/>
      <c r="G75" s="86"/>
      <c r="H75" s="86"/>
      <c r="I75" s="86"/>
    </row>
    <row r="76" spans="1:30" x14ac:dyDescent="0.2">
      <c r="A76" s="82"/>
      <c r="B76" s="1367" t="s">
        <v>395</v>
      </c>
      <c r="C76" s="1367"/>
      <c r="D76" s="86" t="str">
        <f>$K$31&amp;" #/sys HMA Surface, Type"&amp;" "&amp;$K$17&amp;" on"</f>
        <v>165 #/sys HMA Surface, Type 0 on</v>
      </c>
      <c r="E76" s="82"/>
      <c r="F76" s="82"/>
      <c r="G76" s="86"/>
      <c r="H76" s="86"/>
      <c r="I76" s="86"/>
    </row>
    <row r="77" spans="1:30" x14ac:dyDescent="0.2">
      <c r="A77" s="82"/>
      <c r="B77" s="82"/>
      <c r="C77" s="82"/>
      <c r="D77" s="86" t="str">
        <f>$K$32&amp;" #/sys HMA Intermediate, Type"&amp;" "&amp;$K$17&amp;" on"</f>
        <v>275 #/sys HMA Intermediate, Type 0 on</v>
      </c>
      <c r="E77" s="82"/>
      <c r="F77" s="82"/>
      <c r="G77" s="31"/>
      <c r="H77" s="31"/>
      <c r="I77" s="31"/>
    </row>
    <row r="78" spans="1:30" x14ac:dyDescent="0.2">
      <c r="A78" s="82"/>
      <c r="B78" s="82"/>
      <c r="C78" s="82"/>
      <c r="D78" s="86" t="str">
        <f>$K$33&amp;" #/sys HMA Base, Type"&amp;" "&amp;$K$17&amp;" on"</f>
        <v>880 #/sys HMA Base, Type 0 on</v>
      </c>
      <c r="E78" s="82"/>
      <c r="F78" s="82"/>
      <c r="G78" s="31"/>
      <c r="H78" s="31"/>
      <c r="I78" s="31"/>
    </row>
    <row r="79" spans="1:30" x14ac:dyDescent="0.2">
      <c r="A79" s="82"/>
      <c r="B79" s="82"/>
      <c r="C79" s="82"/>
      <c r="D79" s="127" t="str">
        <f>"Subgrade Treatment, Type "&amp;$K$41</f>
        <v>Subgrade Treatment, Type II</v>
      </c>
      <c r="E79" s="82"/>
      <c r="F79" s="82"/>
      <c r="G79" s="215"/>
      <c r="H79" s="215"/>
      <c r="I79" s="215"/>
    </row>
    <row r="80" spans="1:30" x14ac:dyDescent="0.2">
      <c r="A80" s="82"/>
      <c r="B80" s="82"/>
      <c r="C80" s="82"/>
      <c r="D80" s="86"/>
      <c r="E80" s="82"/>
      <c r="F80" s="82"/>
      <c r="G80" s="31"/>
      <c r="H80" s="31"/>
      <c r="I80" s="31"/>
    </row>
    <row r="81" spans="1:9" x14ac:dyDescent="0.2">
      <c r="A81" s="82"/>
      <c r="B81" s="1367" t="s">
        <v>83</v>
      </c>
      <c r="C81" s="1367"/>
      <c r="D81" s="86" t="str">
        <f>$K$36&amp;" #/sys HMA Surface, Type"&amp;" "&amp;$K$17&amp;" on"</f>
        <v>165 #/sys HMA Surface, Type 0 on</v>
      </c>
      <c r="E81" s="82"/>
      <c r="F81" s="82"/>
      <c r="G81" s="31"/>
      <c r="H81" s="31"/>
      <c r="I81" s="31"/>
    </row>
    <row r="82" spans="1:9" x14ac:dyDescent="0.2">
      <c r="A82" s="82"/>
      <c r="B82" s="82"/>
      <c r="C82" s="82"/>
      <c r="D82" s="86" t="str">
        <f>$K$37&amp;" #/sys HMA Intermediate, Type"&amp;" "&amp;$K$17&amp;" on"</f>
        <v>275 #/sys HMA Intermediate, Type 0 on</v>
      </c>
      <c r="E82" s="82"/>
      <c r="F82" s="82"/>
      <c r="G82" s="31"/>
      <c r="H82" s="31"/>
      <c r="I82" s="31"/>
    </row>
    <row r="83" spans="1:9" x14ac:dyDescent="0.2">
      <c r="A83" s="82"/>
      <c r="B83" s="82"/>
      <c r="C83" s="82"/>
      <c r="D83" s="86" t="str">
        <f>$K$38&amp;" #/sys HMA Base, Type"&amp;" "&amp;$K$17&amp;" on"</f>
        <v>440 #/sys HMA Base, Type 0 on</v>
      </c>
      <c r="E83" s="82"/>
      <c r="F83" s="82"/>
      <c r="G83" s="31"/>
      <c r="H83" s="31"/>
      <c r="I83" s="31"/>
    </row>
    <row r="84" spans="1:9" x14ac:dyDescent="0.2">
      <c r="A84" s="82"/>
      <c r="B84" s="82"/>
      <c r="C84" s="82"/>
      <c r="D84" s="127" t="str">
        <f>"Subgrade Treatment, Type "&amp;$K$41</f>
        <v>Subgrade Treatment, Type II</v>
      </c>
      <c r="E84" s="82"/>
      <c r="F84" s="82"/>
      <c r="G84" s="31"/>
      <c r="H84" s="31"/>
      <c r="I84" s="31"/>
    </row>
    <row r="85" spans="1:9" x14ac:dyDescent="0.2">
      <c r="A85" s="82"/>
      <c r="B85" s="82"/>
      <c r="C85" s="82"/>
      <c r="D85" s="82"/>
      <c r="E85" s="86"/>
      <c r="F85" s="86"/>
      <c r="G85" s="253"/>
      <c r="H85" s="253"/>
      <c r="I85" s="253"/>
    </row>
    <row r="86" spans="1:9" ht="15" x14ac:dyDescent="0.2">
      <c r="A86" s="82"/>
      <c r="B86" s="82"/>
      <c r="C86" s="1357" t="s">
        <v>55</v>
      </c>
      <c r="D86" s="1358"/>
      <c r="E86" s="82"/>
      <c r="F86" s="86"/>
      <c r="G86" s="82"/>
      <c r="H86" s="82"/>
      <c r="I86" s="82"/>
    </row>
    <row r="87" spans="1:9" x14ac:dyDescent="0.2">
      <c r="A87" s="82"/>
      <c r="B87" s="82"/>
      <c r="C87" s="254">
        <f>ROUNDUP((($K$21+$K$22)*G61+($K$27+$K$28)*(H53+H58+H59+H60)+($K$31+$K$32+$K$33)*(H54+H55)+($K$36+$K$37+$K$38)*H56)/2000,0)</f>
        <v>0</v>
      </c>
      <c r="D87" s="86" t="str">
        <f>"HMA for Approaches, Type "&amp;$K$17</f>
        <v>HMA for Approaches, Type 0</v>
      </c>
      <c r="E87" s="31"/>
      <c r="F87" s="31"/>
      <c r="G87" s="82"/>
      <c r="H87" s="82"/>
      <c r="I87" s="82"/>
    </row>
    <row r="88" spans="1:9" x14ac:dyDescent="0.2">
      <c r="A88" s="82"/>
      <c r="B88" s="82"/>
      <c r="C88" s="230">
        <f>ROUNDUP(0.00025*(2*G61+$K$29*(H53+H58+H59+H60)+$K$34*(H54+H55)+$K$39*H56),1)</f>
        <v>0</v>
      </c>
      <c r="D88" s="86" t="s">
        <v>32</v>
      </c>
      <c r="E88" s="31"/>
      <c r="F88" s="31"/>
      <c r="G88" s="82"/>
      <c r="H88" s="82"/>
      <c r="I88" s="82"/>
    </row>
    <row r="89" spans="1:9" x14ac:dyDescent="0.2">
      <c r="A89" s="82"/>
      <c r="B89" s="82"/>
      <c r="C89" s="178">
        <f>G61</f>
        <v>0</v>
      </c>
      <c r="D89" s="86" t="s">
        <v>79</v>
      </c>
      <c r="E89" s="215"/>
      <c r="F89" s="215"/>
      <c r="G89" s="82"/>
      <c r="H89" s="82"/>
      <c r="I89" s="82"/>
    </row>
    <row r="90" spans="1:9" x14ac:dyDescent="0.2">
      <c r="A90" s="82"/>
      <c r="B90" s="82"/>
      <c r="C90" s="178">
        <f>H61</f>
        <v>0</v>
      </c>
      <c r="D90" s="127" t="str">
        <f>"Subgrade Treatment, Type "&amp;$K$41</f>
        <v>Subgrade Treatment, Type II</v>
      </c>
      <c r="E90" s="31"/>
      <c r="F90" s="31"/>
      <c r="G90" s="82"/>
      <c r="H90" s="82"/>
      <c r="I90" s="82"/>
    </row>
    <row r="91" spans="1:9" x14ac:dyDescent="0.2">
      <c r="A91" s="82"/>
      <c r="B91" s="82"/>
      <c r="C91" s="255">
        <f>ROUNDUP(SUM(D58:E60)/10,0)</f>
        <v>0</v>
      </c>
      <c r="D91" s="86" t="s">
        <v>266</v>
      </c>
      <c r="E91" s="31"/>
      <c r="F91" s="31"/>
      <c r="G91" s="86"/>
      <c r="H91" s="82"/>
      <c r="I91" s="82"/>
    </row>
    <row r="92" spans="1:9" ht="6.75" customHeight="1" x14ac:dyDescent="0.2">
      <c r="A92" s="82"/>
      <c r="B92" s="82"/>
      <c r="C92" s="82"/>
      <c r="D92" s="82"/>
      <c r="E92" s="253"/>
      <c r="F92" s="253"/>
      <c r="G92" s="86"/>
      <c r="H92" s="82"/>
      <c r="I92" s="82"/>
    </row>
  </sheetData>
  <mergeCells count="70">
    <mergeCell ref="N3:S3"/>
    <mergeCell ref="T3:Y3"/>
    <mergeCell ref="T33:U34"/>
    <mergeCell ref="T29:U30"/>
    <mergeCell ref="W29:X29"/>
    <mergeCell ref="T31:U32"/>
    <mergeCell ref="T21:Y21"/>
    <mergeCell ref="N21:S21"/>
    <mergeCell ref="N31:O32"/>
    <mergeCell ref="N33:O34"/>
    <mergeCell ref="N28:S28"/>
    <mergeCell ref="B49:H49"/>
    <mergeCell ref="K1:Y1"/>
    <mergeCell ref="B50:C51"/>
    <mergeCell ref="B52:C52"/>
    <mergeCell ref="B53:C53"/>
    <mergeCell ref="B9:C9"/>
    <mergeCell ref="A1:I1"/>
    <mergeCell ref="T37:U38"/>
    <mergeCell ref="T39:U40"/>
    <mergeCell ref="T41:U42"/>
    <mergeCell ref="N37:O38"/>
    <mergeCell ref="N39:O40"/>
    <mergeCell ref="N41:O42"/>
    <mergeCell ref="Q37:R37"/>
    <mergeCell ref="B29:C29"/>
    <mergeCell ref="B34:C34"/>
    <mergeCell ref="T36:Y36"/>
    <mergeCell ref="T28:Y28"/>
    <mergeCell ref="N36:S36"/>
    <mergeCell ref="N29:O30"/>
    <mergeCell ref="T12:Y12"/>
    <mergeCell ref="T13:Y13"/>
    <mergeCell ref="T20:Y20"/>
    <mergeCell ref="N12:S12"/>
    <mergeCell ref="N13:S13"/>
    <mergeCell ref="Q29:R29"/>
    <mergeCell ref="B72:C72"/>
    <mergeCell ref="B76:C76"/>
    <mergeCell ref="B81:C81"/>
    <mergeCell ref="C86:D86"/>
    <mergeCell ref="N20:S20"/>
    <mergeCell ref="B59:C59"/>
    <mergeCell ref="B60:C60"/>
    <mergeCell ref="B63:H64"/>
    <mergeCell ref="K50:M50"/>
    <mergeCell ref="K51:L51"/>
    <mergeCell ref="B57:C57"/>
    <mergeCell ref="B58:C58"/>
    <mergeCell ref="B54:C54"/>
    <mergeCell ref="B55:C55"/>
    <mergeCell ref="B56:C56"/>
    <mergeCell ref="A48:I48"/>
    <mergeCell ref="B2:H2"/>
    <mergeCell ref="C39:D39"/>
    <mergeCell ref="B16:H17"/>
    <mergeCell ref="B3:C4"/>
    <mergeCell ref="B5:C5"/>
    <mergeCell ref="B10:C10"/>
    <mergeCell ref="B11:C11"/>
    <mergeCell ref="B12:C12"/>
    <mergeCell ref="B13:C13"/>
    <mergeCell ref="B25:C25"/>
    <mergeCell ref="L3:M3"/>
    <mergeCell ref="K6:M7"/>
    <mergeCell ref="L8:M10"/>
    <mergeCell ref="K12:M12"/>
    <mergeCell ref="B6:C6"/>
    <mergeCell ref="B7:C7"/>
    <mergeCell ref="B8:C8"/>
  </mergeCells>
  <phoneticPr fontId="1" type="noConversion"/>
  <conditionalFormatting sqref="K51">
    <cfRule type="cellIs" dxfId="19" priority="4" stopIfTrue="1" operator="equal">
      <formula>"Print Area = A48:I92"</formula>
    </cfRule>
  </conditionalFormatting>
  <conditionalFormatting sqref="L3:M3">
    <cfRule type="cellIs" dxfId="18" priority="1" stopIfTrue="1" operator="equal">
      <formula>"Pick a value from 0 ft to 8 ft"</formula>
    </cfRule>
  </conditionalFormatting>
  <dataValidations disablePrompts="1" count="2">
    <dataValidation type="list" allowBlank="1" showInputMessage="1" showErrorMessage="1" sqref="K4">
      <formula1>$N$47:$N$50</formula1>
    </dataValidation>
    <dataValidation type="list" allowBlank="1" showInputMessage="1" showErrorMessage="1" sqref="K18">
      <formula1>$O$47:$O$51</formula1>
    </dataValidation>
  </dataValidations>
  <printOptions horizontalCentered="1"/>
  <pageMargins left="0.35" right="0.35" top="0.38199803149606298" bottom="0.38199803149606298" header="0.5" footer="0.5"/>
  <pageSetup firstPageNumber="31" orientation="portrait" useFirstPageNumber="1" r:id="rId1"/>
  <headerFooter alignWithMargins="0"/>
  <legacy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A1:V212"/>
  <sheetViews>
    <sheetView showGridLines="0" showZeros="0" zoomScale="75" zoomScaleNormal="75" workbookViewId="0">
      <pane ySplit="4" topLeftCell="A5" activePane="bottomLeft" state="frozen"/>
      <selection pane="bottomLeft" activeCell="J1" sqref="J1:M1"/>
    </sheetView>
  </sheetViews>
  <sheetFormatPr defaultRowHeight="12.75" x14ac:dyDescent="0.2"/>
  <cols>
    <col min="1" max="1" width="1.7109375" customWidth="1"/>
    <col min="2" max="3" width="11.42578125" customWidth="1"/>
    <col min="4" max="4" width="8.5703125" bestFit="1" customWidth="1"/>
    <col min="5" max="5" width="8.42578125" customWidth="1"/>
    <col min="6" max="7" width="10.5703125" customWidth="1"/>
    <col min="8" max="8" width="1.7109375" customWidth="1"/>
    <col min="9" max="9" width="8.140625" customWidth="1"/>
    <col min="10" max="10" width="11.85546875" customWidth="1"/>
    <col min="11" max="12" width="15.42578125" customWidth="1"/>
    <col min="13" max="13" width="15.42578125" bestFit="1" customWidth="1"/>
    <col min="14" max="14" width="15.42578125" customWidth="1"/>
    <col min="15" max="15" width="13.28515625" bestFit="1" customWidth="1"/>
    <col min="16" max="16" width="11.7109375" customWidth="1"/>
    <col min="17" max="18" width="15.42578125" customWidth="1"/>
    <col min="19" max="19" width="15.42578125" bestFit="1" customWidth="1"/>
    <col min="20" max="20" width="15.42578125" customWidth="1"/>
    <col min="21" max="22" width="13.28515625" bestFit="1" customWidth="1"/>
  </cols>
  <sheetData>
    <row r="1" spans="1:21" ht="18" x14ac:dyDescent="0.25">
      <c r="A1" s="1224" t="str">
        <f>UPPER("Underseal Summary Table")</f>
        <v>UNDERSEAL SUMMARY TABLE</v>
      </c>
      <c r="B1" s="1225"/>
      <c r="C1" s="1225"/>
      <c r="D1" s="1225"/>
      <c r="E1" s="1225"/>
      <c r="F1" s="1225"/>
      <c r="G1" s="1225"/>
      <c r="H1" s="1225"/>
      <c r="I1" s="30"/>
      <c r="J1" s="1392" t="s">
        <v>442</v>
      </c>
      <c r="K1" s="1392"/>
      <c r="L1" s="1392"/>
      <c r="M1" s="1392"/>
      <c r="N1" s="30"/>
      <c r="O1" s="30"/>
      <c r="P1" s="30"/>
      <c r="Q1" s="30"/>
      <c r="R1" s="30"/>
      <c r="S1" s="30"/>
      <c r="T1" s="30"/>
      <c r="U1" s="30"/>
    </row>
    <row r="2" spans="1:21" ht="10.5" customHeight="1" thickBot="1" x14ac:dyDescent="0.25">
      <c r="A2" s="30"/>
      <c r="B2" s="30"/>
      <c r="C2" s="30"/>
      <c r="D2" s="30"/>
      <c r="E2" s="30"/>
      <c r="F2" s="30"/>
      <c r="G2" s="30"/>
      <c r="H2" s="30"/>
      <c r="I2" s="30"/>
      <c r="J2" s="30"/>
      <c r="K2" s="30"/>
      <c r="L2" s="30"/>
      <c r="M2" s="30"/>
      <c r="N2" s="30"/>
      <c r="O2" s="30"/>
      <c r="P2" s="30"/>
      <c r="Q2" s="30"/>
      <c r="R2" s="30"/>
      <c r="S2" s="30"/>
      <c r="T2" s="30"/>
      <c r="U2" s="30"/>
    </row>
    <row r="3" spans="1:21" ht="33.75" x14ac:dyDescent="0.2">
      <c r="A3" s="30"/>
      <c r="B3" s="1336" t="s">
        <v>2</v>
      </c>
      <c r="C3" s="1394" t="s">
        <v>429</v>
      </c>
      <c r="D3" s="1221" t="s">
        <v>39</v>
      </c>
      <c r="E3" s="209" t="s">
        <v>129</v>
      </c>
      <c r="F3" s="277" t="s">
        <v>160</v>
      </c>
      <c r="G3" s="278" t="s">
        <v>826</v>
      </c>
      <c r="H3" s="30"/>
      <c r="J3" s="30"/>
      <c r="K3" s="30"/>
      <c r="L3" s="30"/>
      <c r="M3" s="30"/>
      <c r="N3" s="30"/>
      <c r="O3" s="30"/>
      <c r="P3" s="30"/>
      <c r="Q3" s="30"/>
      <c r="R3" s="30"/>
      <c r="S3" s="30"/>
      <c r="T3" s="30"/>
      <c r="U3" s="30"/>
    </row>
    <row r="4" spans="1:21" ht="13.5" thickBot="1" x14ac:dyDescent="0.25">
      <c r="A4" s="30"/>
      <c r="B4" s="1337"/>
      <c r="C4" s="1395"/>
      <c r="D4" s="1393"/>
      <c r="E4" s="353" t="s">
        <v>100</v>
      </c>
      <c r="F4" s="286" t="s">
        <v>20</v>
      </c>
      <c r="G4" s="287" t="s">
        <v>35</v>
      </c>
      <c r="H4" s="30"/>
      <c r="J4" s="30"/>
      <c r="K4" s="30"/>
      <c r="L4" s="30"/>
      <c r="M4" s="30"/>
      <c r="N4" s="30"/>
      <c r="O4" s="30"/>
      <c r="P4" s="30"/>
      <c r="Q4" s="30"/>
      <c r="R4" s="30"/>
      <c r="S4" s="30"/>
      <c r="T4" s="30"/>
      <c r="U4" s="30"/>
    </row>
    <row r="5" spans="1:21" ht="12.75" customHeight="1" x14ac:dyDescent="0.2">
      <c r="A5" s="30"/>
      <c r="B5" s="347" t="str">
        <f t="shared" ref="B5:B27" si="0">M76</f>
        <v>(Delete row)</v>
      </c>
      <c r="C5" s="348" t="str">
        <f t="shared" ref="C5:C27" si="1">N76</f>
        <v>(Delete row)</v>
      </c>
      <c r="D5" s="160" t="str">
        <f>IF($J$53=$F$76,"NB",IF($J$53=$F$77,"EB","(enter dir.)"))</f>
        <v>(enter dir.)</v>
      </c>
      <c r="E5" s="364">
        <f>IF(B5="(Delete row)",0,ABS(C5-B5))</f>
        <v>0</v>
      </c>
      <c r="F5" s="160">
        <f>IF(AND(E5=0,$M$53=0),0,IF(AND(E5&gt;0,$M$53=0),"enter # lanes",IF(AND(E5&gt;0,$M$53&gt;0),ROUND(E5/B$75+1,0)*$M$53,0)))</f>
        <v>0</v>
      </c>
      <c r="G5" s="122">
        <f t="shared" ref="G5:G50" si="2">ROUNDUP(C$75*F5/D$75,1)</f>
        <v>0</v>
      </c>
      <c r="H5" s="30"/>
      <c r="J5" s="30"/>
      <c r="K5" s="30"/>
      <c r="L5" s="30"/>
      <c r="M5" s="30"/>
      <c r="N5" s="30"/>
      <c r="O5" s="30"/>
      <c r="P5" s="30"/>
      <c r="Q5" s="30"/>
      <c r="R5" s="30"/>
      <c r="S5" s="30"/>
      <c r="T5" s="30"/>
      <c r="U5" s="30"/>
    </row>
    <row r="6" spans="1:21" ht="12.75" customHeight="1" x14ac:dyDescent="0.2">
      <c r="A6" s="30"/>
      <c r="B6" s="347" t="str">
        <f t="shared" si="0"/>
        <v>(Delete row)</v>
      </c>
      <c r="C6" s="348" t="str">
        <f t="shared" si="1"/>
        <v>(Delete row)</v>
      </c>
      <c r="D6" s="160" t="str">
        <f t="shared" ref="D6:D27" si="3">IF($J$53=$F$76,"NB",IF($J$53=$F$77,"EB","(enter dir.)"))</f>
        <v>(enter dir.)</v>
      </c>
      <c r="E6" s="364">
        <f t="shared" ref="E6:E50" si="4">IF(B6="(Delete row)",0,ABS(C6-B6))</f>
        <v>0</v>
      </c>
      <c r="F6" s="160">
        <f t="shared" ref="F6:F27" si="5">IF(AND(E6=0,$M$53=0),0,IF(AND(E6&gt;0,$M$53=0),"enter # lanes",IF(AND(E6&gt;0,$M$53&gt;0),ROUND(E6/B$75+1,0)*$M$53,0)))</f>
        <v>0</v>
      </c>
      <c r="G6" s="122">
        <f t="shared" si="2"/>
        <v>0</v>
      </c>
      <c r="H6" s="30"/>
      <c r="I6" s="30"/>
      <c r="J6" s="30"/>
      <c r="K6" s="30"/>
      <c r="L6" s="30"/>
      <c r="M6" s="30"/>
      <c r="N6" s="30"/>
      <c r="O6" s="30"/>
      <c r="P6" s="30"/>
      <c r="Q6" s="30"/>
      <c r="R6" s="30"/>
      <c r="S6" s="30"/>
      <c r="T6" s="30"/>
      <c r="U6" s="30"/>
    </row>
    <row r="7" spans="1:21" ht="12.75" customHeight="1" x14ac:dyDescent="0.2">
      <c r="A7" s="30"/>
      <c r="B7" s="347" t="str">
        <f t="shared" si="0"/>
        <v>(Delete row)</v>
      </c>
      <c r="C7" s="348" t="str">
        <f t="shared" si="1"/>
        <v>(Delete row)</v>
      </c>
      <c r="D7" s="160" t="str">
        <f t="shared" si="3"/>
        <v>(enter dir.)</v>
      </c>
      <c r="E7" s="364">
        <f t="shared" si="4"/>
        <v>0</v>
      </c>
      <c r="F7" s="160">
        <f t="shared" si="5"/>
        <v>0</v>
      </c>
      <c r="G7" s="122">
        <f t="shared" si="2"/>
        <v>0</v>
      </c>
      <c r="H7" s="30"/>
      <c r="I7" s="30"/>
      <c r="J7" s="30"/>
      <c r="K7" s="30"/>
      <c r="L7" s="30"/>
      <c r="M7" s="30"/>
      <c r="N7" s="30"/>
      <c r="O7" s="30"/>
      <c r="P7" s="30"/>
      <c r="Q7" s="30"/>
      <c r="R7" s="30"/>
      <c r="S7" s="30"/>
      <c r="T7" s="30"/>
      <c r="U7" s="30"/>
    </row>
    <row r="8" spans="1:21" ht="12.75" customHeight="1" x14ac:dyDescent="0.2">
      <c r="A8" s="30"/>
      <c r="B8" s="347" t="str">
        <f t="shared" si="0"/>
        <v>(Delete row)</v>
      </c>
      <c r="C8" s="348" t="str">
        <f t="shared" si="1"/>
        <v>(Delete row)</v>
      </c>
      <c r="D8" s="160" t="str">
        <f t="shared" si="3"/>
        <v>(enter dir.)</v>
      </c>
      <c r="E8" s="364">
        <f t="shared" si="4"/>
        <v>0</v>
      </c>
      <c r="F8" s="160">
        <f t="shared" si="5"/>
        <v>0</v>
      </c>
      <c r="G8" s="122">
        <f t="shared" si="2"/>
        <v>0</v>
      </c>
      <c r="H8" s="30"/>
      <c r="I8" s="30"/>
      <c r="J8" s="30"/>
      <c r="K8" s="30"/>
      <c r="L8" s="30"/>
      <c r="M8" s="30"/>
      <c r="N8" s="30"/>
      <c r="O8" s="30"/>
      <c r="P8" s="30"/>
      <c r="Q8" s="30"/>
      <c r="R8" s="30"/>
      <c r="S8" s="30"/>
      <c r="T8" s="30"/>
      <c r="U8" s="30"/>
    </row>
    <row r="9" spans="1:21" ht="12.75" customHeight="1" x14ac:dyDescent="0.2">
      <c r="A9" s="30"/>
      <c r="B9" s="347" t="str">
        <f t="shared" si="0"/>
        <v>(Delete row)</v>
      </c>
      <c r="C9" s="348" t="str">
        <f t="shared" si="1"/>
        <v>(Delete row)</v>
      </c>
      <c r="D9" s="160" t="str">
        <f t="shared" si="3"/>
        <v>(enter dir.)</v>
      </c>
      <c r="E9" s="364">
        <f t="shared" si="4"/>
        <v>0</v>
      </c>
      <c r="F9" s="160">
        <f t="shared" si="5"/>
        <v>0</v>
      </c>
      <c r="G9" s="122">
        <f t="shared" si="2"/>
        <v>0</v>
      </c>
      <c r="H9" s="30"/>
      <c r="I9" s="30"/>
      <c r="J9" s="30"/>
      <c r="K9" s="30"/>
      <c r="L9" s="30"/>
      <c r="M9" s="30"/>
      <c r="N9" s="30"/>
      <c r="O9" s="30"/>
      <c r="P9" s="30"/>
      <c r="Q9" s="30"/>
      <c r="R9" s="30"/>
      <c r="S9" s="30"/>
      <c r="T9" s="30"/>
      <c r="U9" s="30"/>
    </row>
    <row r="10" spans="1:21" ht="12.75" customHeight="1" x14ac:dyDescent="0.2">
      <c r="A10" s="30"/>
      <c r="B10" s="347" t="str">
        <f t="shared" si="0"/>
        <v>(Delete row)</v>
      </c>
      <c r="C10" s="348" t="str">
        <f t="shared" si="1"/>
        <v>(Delete row)</v>
      </c>
      <c r="D10" s="160" t="str">
        <f t="shared" si="3"/>
        <v>(enter dir.)</v>
      </c>
      <c r="E10" s="364">
        <f t="shared" si="4"/>
        <v>0</v>
      </c>
      <c r="F10" s="160">
        <f t="shared" si="5"/>
        <v>0</v>
      </c>
      <c r="G10" s="122">
        <f t="shared" si="2"/>
        <v>0</v>
      </c>
      <c r="H10" s="30"/>
      <c r="I10" s="30"/>
      <c r="J10" s="30"/>
      <c r="K10" s="30"/>
      <c r="L10" s="30"/>
      <c r="M10" s="30"/>
      <c r="N10" s="30"/>
      <c r="O10" s="30"/>
      <c r="P10" s="30"/>
      <c r="Q10" s="30"/>
      <c r="R10" s="30"/>
      <c r="S10" s="30"/>
      <c r="T10" s="30"/>
      <c r="U10" s="30"/>
    </row>
    <row r="11" spans="1:21" ht="12.75" customHeight="1" x14ac:dyDescent="0.2">
      <c r="A11" s="30"/>
      <c r="B11" s="347" t="str">
        <f t="shared" si="0"/>
        <v>(Delete row)</v>
      </c>
      <c r="C11" s="348" t="str">
        <f t="shared" si="1"/>
        <v>(Delete row)</v>
      </c>
      <c r="D11" s="160" t="str">
        <f t="shared" si="3"/>
        <v>(enter dir.)</v>
      </c>
      <c r="E11" s="364">
        <f t="shared" si="4"/>
        <v>0</v>
      </c>
      <c r="F11" s="160">
        <f t="shared" si="5"/>
        <v>0</v>
      </c>
      <c r="G11" s="122">
        <f t="shared" si="2"/>
        <v>0</v>
      </c>
      <c r="H11" s="30"/>
      <c r="I11" s="30"/>
      <c r="J11" s="30"/>
      <c r="K11" s="30"/>
      <c r="L11" s="30"/>
      <c r="M11" s="30"/>
      <c r="N11" s="30"/>
      <c r="O11" s="30"/>
      <c r="P11" s="30"/>
      <c r="Q11" s="30"/>
      <c r="R11" s="30"/>
      <c r="S11" s="30"/>
      <c r="T11" s="30"/>
      <c r="U11" s="30"/>
    </row>
    <row r="12" spans="1:21" ht="12.75" customHeight="1" x14ac:dyDescent="0.2">
      <c r="A12" s="30"/>
      <c r="B12" s="347" t="str">
        <f t="shared" si="0"/>
        <v>(Delete row)</v>
      </c>
      <c r="C12" s="348" t="str">
        <f t="shared" si="1"/>
        <v>(Delete row)</v>
      </c>
      <c r="D12" s="160" t="str">
        <f t="shared" si="3"/>
        <v>(enter dir.)</v>
      </c>
      <c r="E12" s="364">
        <f t="shared" si="4"/>
        <v>0</v>
      </c>
      <c r="F12" s="160">
        <f t="shared" si="5"/>
        <v>0</v>
      </c>
      <c r="G12" s="122">
        <f t="shared" si="2"/>
        <v>0</v>
      </c>
      <c r="H12" s="30"/>
      <c r="I12" s="30"/>
      <c r="J12" s="30"/>
      <c r="K12" s="30"/>
      <c r="L12" s="30"/>
      <c r="M12" s="30"/>
      <c r="N12" s="30"/>
      <c r="O12" s="30"/>
      <c r="P12" s="30"/>
      <c r="Q12" s="30"/>
      <c r="R12" s="30"/>
      <c r="S12" s="30"/>
      <c r="T12" s="30"/>
      <c r="U12" s="30"/>
    </row>
    <row r="13" spans="1:21" ht="12.75" customHeight="1" x14ac:dyDescent="0.2">
      <c r="A13" s="30"/>
      <c r="B13" s="347" t="str">
        <f t="shared" si="0"/>
        <v>(Delete row)</v>
      </c>
      <c r="C13" s="348" t="str">
        <f t="shared" si="1"/>
        <v>(Delete row)</v>
      </c>
      <c r="D13" s="160" t="str">
        <f t="shared" si="3"/>
        <v>(enter dir.)</v>
      </c>
      <c r="E13" s="364">
        <f t="shared" si="4"/>
        <v>0</v>
      </c>
      <c r="F13" s="160">
        <f t="shared" si="5"/>
        <v>0</v>
      </c>
      <c r="G13" s="122">
        <f t="shared" si="2"/>
        <v>0</v>
      </c>
      <c r="H13" s="30"/>
      <c r="I13" s="30"/>
      <c r="J13" s="30"/>
      <c r="K13" s="30"/>
      <c r="L13" s="30"/>
      <c r="M13" s="30"/>
      <c r="N13" s="30"/>
      <c r="O13" s="30"/>
      <c r="P13" s="30"/>
      <c r="Q13" s="30"/>
      <c r="R13" s="30"/>
      <c r="S13" s="30"/>
      <c r="T13" s="30"/>
      <c r="U13" s="30"/>
    </row>
    <row r="14" spans="1:21" ht="12.75" customHeight="1" x14ac:dyDescent="0.2">
      <c r="A14" s="30"/>
      <c r="B14" s="347" t="str">
        <f t="shared" si="0"/>
        <v>(Delete row)</v>
      </c>
      <c r="C14" s="348" t="str">
        <f t="shared" si="1"/>
        <v>(Delete row)</v>
      </c>
      <c r="D14" s="160" t="str">
        <f t="shared" si="3"/>
        <v>(enter dir.)</v>
      </c>
      <c r="E14" s="364">
        <f t="shared" si="4"/>
        <v>0</v>
      </c>
      <c r="F14" s="160">
        <f t="shared" si="5"/>
        <v>0</v>
      </c>
      <c r="G14" s="122">
        <f t="shared" si="2"/>
        <v>0</v>
      </c>
      <c r="H14" s="30"/>
      <c r="I14" s="30"/>
      <c r="J14" s="30"/>
      <c r="K14" s="30"/>
      <c r="L14" s="30"/>
      <c r="M14" s="30"/>
      <c r="N14" s="30"/>
      <c r="O14" s="30"/>
      <c r="P14" s="30"/>
      <c r="Q14" s="30"/>
      <c r="R14" s="30"/>
      <c r="S14" s="30"/>
      <c r="T14" s="30"/>
      <c r="U14" s="30"/>
    </row>
    <row r="15" spans="1:21" ht="12.75" customHeight="1" x14ac:dyDescent="0.2">
      <c r="A15" s="30"/>
      <c r="B15" s="347" t="str">
        <f t="shared" si="0"/>
        <v>(Delete row)</v>
      </c>
      <c r="C15" s="348" t="str">
        <f t="shared" si="1"/>
        <v>(Delete row)</v>
      </c>
      <c r="D15" s="160" t="str">
        <f t="shared" si="3"/>
        <v>(enter dir.)</v>
      </c>
      <c r="E15" s="364">
        <f t="shared" si="4"/>
        <v>0</v>
      </c>
      <c r="F15" s="160">
        <f t="shared" si="5"/>
        <v>0</v>
      </c>
      <c r="G15" s="122">
        <f t="shared" si="2"/>
        <v>0</v>
      </c>
      <c r="H15" s="30"/>
      <c r="I15" s="30"/>
      <c r="J15" s="30"/>
      <c r="K15" s="30"/>
      <c r="L15" s="30"/>
      <c r="M15" s="30"/>
      <c r="N15" s="30"/>
      <c r="O15" s="30"/>
      <c r="P15" s="30"/>
      <c r="Q15" s="30"/>
      <c r="R15" s="30"/>
      <c r="S15" s="30"/>
      <c r="T15" s="30"/>
      <c r="U15" s="30"/>
    </row>
    <row r="16" spans="1:21" ht="12.75" customHeight="1" x14ac:dyDescent="0.2">
      <c r="A16" s="30"/>
      <c r="B16" s="347" t="str">
        <f t="shared" si="0"/>
        <v>(Delete row)</v>
      </c>
      <c r="C16" s="348" t="str">
        <f t="shared" si="1"/>
        <v>(Delete row)</v>
      </c>
      <c r="D16" s="160" t="str">
        <f t="shared" si="3"/>
        <v>(enter dir.)</v>
      </c>
      <c r="E16" s="364">
        <f t="shared" si="4"/>
        <v>0</v>
      </c>
      <c r="F16" s="160">
        <f t="shared" si="5"/>
        <v>0</v>
      </c>
      <c r="G16" s="122">
        <f t="shared" si="2"/>
        <v>0</v>
      </c>
      <c r="H16" s="30"/>
      <c r="I16" s="30"/>
      <c r="J16" s="30"/>
      <c r="K16" s="30"/>
      <c r="L16" s="30"/>
      <c r="M16" s="30"/>
      <c r="N16" s="30"/>
      <c r="O16" s="30"/>
      <c r="P16" s="30"/>
      <c r="Q16" s="30"/>
      <c r="R16" s="30"/>
      <c r="S16" s="30"/>
      <c r="T16" s="30"/>
      <c r="U16" s="30"/>
    </row>
    <row r="17" spans="1:21" ht="12.75" customHeight="1" x14ac:dyDescent="0.2">
      <c r="A17" s="30"/>
      <c r="B17" s="347" t="str">
        <f t="shared" si="0"/>
        <v>(Delete row)</v>
      </c>
      <c r="C17" s="348" t="str">
        <f t="shared" si="1"/>
        <v>(Delete row)</v>
      </c>
      <c r="D17" s="160" t="str">
        <f t="shared" si="3"/>
        <v>(enter dir.)</v>
      </c>
      <c r="E17" s="364">
        <f t="shared" si="4"/>
        <v>0</v>
      </c>
      <c r="F17" s="160">
        <f t="shared" si="5"/>
        <v>0</v>
      </c>
      <c r="G17" s="122">
        <f t="shared" si="2"/>
        <v>0</v>
      </c>
      <c r="H17" s="30"/>
      <c r="I17" s="30"/>
      <c r="J17" s="30"/>
      <c r="K17" s="30"/>
      <c r="L17" s="30"/>
      <c r="M17" s="30"/>
      <c r="N17" s="30"/>
      <c r="O17" s="30"/>
      <c r="P17" s="30"/>
      <c r="Q17" s="30"/>
      <c r="R17" s="30"/>
      <c r="S17" s="30"/>
      <c r="T17" s="30"/>
      <c r="U17" s="30"/>
    </row>
    <row r="18" spans="1:21" ht="12.75" customHeight="1" x14ac:dyDescent="0.2">
      <c r="A18" s="30"/>
      <c r="B18" s="347" t="str">
        <f t="shared" si="0"/>
        <v>(Delete row)</v>
      </c>
      <c r="C18" s="348" t="str">
        <f t="shared" si="1"/>
        <v>(Delete row)</v>
      </c>
      <c r="D18" s="160" t="str">
        <f t="shared" si="3"/>
        <v>(enter dir.)</v>
      </c>
      <c r="E18" s="364">
        <f t="shared" si="4"/>
        <v>0</v>
      </c>
      <c r="F18" s="160">
        <f t="shared" si="5"/>
        <v>0</v>
      </c>
      <c r="G18" s="122">
        <f t="shared" si="2"/>
        <v>0</v>
      </c>
      <c r="H18" s="30"/>
      <c r="I18" s="30"/>
      <c r="J18" s="30"/>
      <c r="K18" s="30"/>
      <c r="L18" s="30"/>
      <c r="M18" s="30"/>
      <c r="N18" s="30"/>
      <c r="O18" s="30"/>
      <c r="P18" s="30"/>
      <c r="Q18" s="30"/>
      <c r="R18" s="30"/>
      <c r="S18" s="30"/>
      <c r="T18" s="30"/>
      <c r="U18" s="30"/>
    </row>
    <row r="19" spans="1:21" ht="12.75" customHeight="1" x14ac:dyDescent="0.2">
      <c r="A19" s="30"/>
      <c r="B19" s="347" t="str">
        <f t="shared" si="0"/>
        <v>(Delete row)</v>
      </c>
      <c r="C19" s="348" t="str">
        <f t="shared" si="1"/>
        <v>(Delete row)</v>
      </c>
      <c r="D19" s="160" t="str">
        <f t="shared" si="3"/>
        <v>(enter dir.)</v>
      </c>
      <c r="E19" s="364">
        <f t="shared" si="4"/>
        <v>0</v>
      </c>
      <c r="F19" s="160">
        <f t="shared" si="5"/>
        <v>0</v>
      </c>
      <c r="G19" s="122">
        <f t="shared" si="2"/>
        <v>0</v>
      </c>
      <c r="H19" s="30"/>
      <c r="I19" s="30"/>
      <c r="J19" s="30"/>
      <c r="K19" s="30"/>
      <c r="L19" s="30"/>
      <c r="M19" s="30"/>
      <c r="N19" s="30"/>
      <c r="O19" s="30"/>
      <c r="P19" s="30"/>
      <c r="Q19" s="30"/>
      <c r="R19" s="30"/>
      <c r="S19" s="30"/>
      <c r="T19" s="30"/>
      <c r="U19" s="30"/>
    </row>
    <row r="20" spans="1:21" ht="12.75" customHeight="1" x14ac:dyDescent="0.2">
      <c r="A20" s="30"/>
      <c r="B20" s="347" t="str">
        <f t="shared" si="0"/>
        <v>(Delete row)</v>
      </c>
      <c r="C20" s="348" t="str">
        <f t="shared" si="1"/>
        <v>(Delete row)</v>
      </c>
      <c r="D20" s="160" t="str">
        <f t="shared" si="3"/>
        <v>(enter dir.)</v>
      </c>
      <c r="E20" s="364">
        <f t="shared" si="4"/>
        <v>0</v>
      </c>
      <c r="F20" s="160">
        <f t="shared" si="5"/>
        <v>0</v>
      </c>
      <c r="G20" s="122">
        <f t="shared" si="2"/>
        <v>0</v>
      </c>
      <c r="H20" s="30"/>
      <c r="I20" s="30"/>
      <c r="J20" s="30"/>
      <c r="K20" s="30"/>
      <c r="L20" s="30"/>
      <c r="M20" s="30"/>
      <c r="N20" s="30"/>
      <c r="O20" s="30"/>
      <c r="P20" s="30"/>
      <c r="Q20" s="30"/>
      <c r="R20" s="30"/>
      <c r="S20" s="30"/>
      <c r="T20" s="30"/>
      <c r="U20" s="30"/>
    </row>
    <row r="21" spans="1:21" ht="12.75" customHeight="1" x14ac:dyDescent="0.2">
      <c r="A21" s="30"/>
      <c r="B21" s="347" t="str">
        <f t="shared" si="0"/>
        <v>(Delete row)</v>
      </c>
      <c r="C21" s="348" t="str">
        <f t="shared" si="1"/>
        <v>(Delete row)</v>
      </c>
      <c r="D21" s="160" t="str">
        <f t="shared" si="3"/>
        <v>(enter dir.)</v>
      </c>
      <c r="E21" s="364">
        <f t="shared" si="4"/>
        <v>0</v>
      </c>
      <c r="F21" s="160">
        <f t="shared" si="5"/>
        <v>0</v>
      </c>
      <c r="G21" s="122">
        <f t="shared" si="2"/>
        <v>0</v>
      </c>
      <c r="H21" s="30"/>
      <c r="I21" s="30"/>
      <c r="J21" s="30"/>
      <c r="K21" s="30"/>
      <c r="L21" s="30"/>
      <c r="M21" s="30"/>
      <c r="N21" s="30"/>
      <c r="O21" s="30"/>
      <c r="P21" s="30"/>
      <c r="Q21" s="30"/>
      <c r="R21" s="30"/>
      <c r="S21" s="30"/>
      <c r="T21" s="30"/>
      <c r="U21" s="30"/>
    </row>
    <row r="22" spans="1:21" ht="12.75" customHeight="1" x14ac:dyDescent="0.2">
      <c r="A22" s="30"/>
      <c r="B22" s="347" t="str">
        <f t="shared" si="0"/>
        <v>(Delete row)</v>
      </c>
      <c r="C22" s="348" t="str">
        <f t="shared" si="1"/>
        <v>(Delete row)</v>
      </c>
      <c r="D22" s="160" t="str">
        <f t="shared" si="3"/>
        <v>(enter dir.)</v>
      </c>
      <c r="E22" s="364">
        <f t="shared" si="4"/>
        <v>0</v>
      </c>
      <c r="F22" s="160">
        <f t="shared" si="5"/>
        <v>0</v>
      </c>
      <c r="G22" s="122">
        <f t="shared" si="2"/>
        <v>0</v>
      </c>
      <c r="H22" s="30"/>
      <c r="I22" s="30"/>
      <c r="J22" s="30"/>
      <c r="K22" s="30"/>
      <c r="L22" s="30"/>
      <c r="M22" s="30"/>
      <c r="N22" s="30"/>
      <c r="O22" s="30"/>
      <c r="P22" s="30"/>
      <c r="Q22" s="30"/>
      <c r="R22" s="30"/>
      <c r="S22" s="30"/>
      <c r="T22" s="30"/>
      <c r="U22" s="30"/>
    </row>
    <row r="23" spans="1:21" ht="12.75" customHeight="1" x14ac:dyDescent="0.2">
      <c r="A23" s="30"/>
      <c r="B23" s="347" t="str">
        <f t="shared" si="0"/>
        <v>(Delete row)</v>
      </c>
      <c r="C23" s="348" t="str">
        <f t="shared" si="1"/>
        <v>(Delete row)</v>
      </c>
      <c r="D23" s="160" t="str">
        <f t="shared" si="3"/>
        <v>(enter dir.)</v>
      </c>
      <c r="E23" s="364">
        <f t="shared" si="4"/>
        <v>0</v>
      </c>
      <c r="F23" s="160">
        <f t="shared" si="5"/>
        <v>0</v>
      </c>
      <c r="G23" s="122">
        <f t="shared" si="2"/>
        <v>0</v>
      </c>
      <c r="H23" s="30"/>
      <c r="I23" s="30"/>
      <c r="J23" s="30"/>
      <c r="K23" s="30"/>
      <c r="L23" s="30"/>
      <c r="M23" s="30"/>
      <c r="N23" s="30"/>
      <c r="O23" s="30"/>
      <c r="P23" s="30"/>
      <c r="Q23" s="30"/>
      <c r="R23" s="30"/>
      <c r="S23" s="30"/>
      <c r="T23" s="30"/>
      <c r="U23" s="30"/>
    </row>
    <row r="24" spans="1:21" ht="12.75" customHeight="1" x14ac:dyDescent="0.2">
      <c r="A24" s="30"/>
      <c r="B24" s="347" t="str">
        <f t="shared" si="0"/>
        <v>(Delete row)</v>
      </c>
      <c r="C24" s="348" t="str">
        <f t="shared" si="1"/>
        <v>(Delete row)</v>
      </c>
      <c r="D24" s="160" t="str">
        <f t="shared" si="3"/>
        <v>(enter dir.)</v>
      </c>
      <c r="E24" s="364">
        <f t="shared" si="4"/>
        <v>0</v>
      </c>
      <c r="F24" s="160">
        <f t="shared" si="5"/>
        <v>0</v>
      </c>
      <c r="G24" s="122">
        <f t="shared" si="2"/>
        <v>0</v>
      </c>
      <c r="H24" s="30"/>
      <c r="I24" s="30"/>
      <c r="J24" s="30"/>
      <c r="K24" s="30"/>
      <c r="L24" s="30"/>
      <c r="M24" s="30"/>
      <c r="N24" s="30"/>
      <c r="O24" s="30"/>
      <c r="P24" s="30"/>
      <c r="Q24" s="30"/>
      <c r="R24" s="30"/>
      <c r="S24" s="30"/>
      <c r="T24" s="30"/>
      <c r="U24" s="30"/>
    </row>
    <row r="25" spans="1:21" ht="12.75" customHeight="1" x14ac:dyDescent="0.2">
      <c r="A25" s="30"/>
      <c r="B25" s="347" t="str">
        <f t="shared" si="0"/>
        <v>(Delete row)</v>
      </c>
      <c r="C25" s="348" t="str">
        <f t="shared" si="1"/>
        <v>(Delete row)</v>
      </c>
      <c r="D25" s="160" t="str">
        <f t="shared" si="3"/>
        <v>(enter dir.)</v>
      </c>
      <c r="E25" s="364">
        <f t="shared" si="4"/>
        <v>0</v>
      </c>
      <c r="F25" s="160">
        <f t="shared" si="5"/>
        <v>0</v>
      </c>
      <c r="G25" s="122">
        <f t="shared" si="2"/>
        <v>0</v>
      </c>
      <c r="H25" s="30"/>
      <c r="I25" s="30"/>
      <c r="J25" s="30"/>
      <c r="K25" s="30"/>
      <c r="L25" s="30"/>
      <c r="M25" s="30"/>
      <c r="N25" s="30"/>
      <c r="O25" s="30"/>
      <c r="P25" s="30"/>
      <c r="Q25" s="30"/>
      <c r="R25" s="30"/>
      <c r="S25" s="30"/>
      <c r="T25" s="30"/>
      <c r="U25" s="30"/>
    </row>
    <row r="26" spans="1:21" ht="12.75" customHeight="1" x14ac:dyDescent="0.2">
      <c r="A26" s="30"/>
      <c r="B26" s="347" t="str">
        <f t="shared" si="0"/>
        <v>(Delete row)</v>
      </c>
      <c r="C26" s="348" t="str">
        <f t="shared" si="1"/>
        <v>(Delete row)</v>
      </c>
      <c r="D26" s="160" t="str">
        <f t="shared" si="3"/>
        <v>(enter dir.)</v>
      </c>
      <c r="E26" s="364">
        <f t="shared" si="4"/>
        <v>0</v>
      </c>
      <c r="F26" s="160">
        <f t="shared" si="5"/>
        <v>0</v>
      </c>
      <c r="G26" s="122">
        <f t="shared" si="2"/>
        <v>0</v>
      </c>
      <c r="H26" s="30"/>
      <c r="I26" s="30"/>
      <c r="J26" s="30"/>
      <c r="K26" s="30"/>
      <c r="L26" s="30"/>
      <c r="M26" s="30"/>
      <c r="N26" s="30"/>
      <c r="O26" s="30"/>
      <c r="P26" s="30"/>
      <c r="Q26" s="30"/>
      <c r="R26" s="30"/>
      <c r="S26" s="30"/>
      <c r="T26" s="30"/>
      <c r="U26" s="30"/>
    </row>
    <row r="27" spans="1:21" ht="12.75" customHeight="1" x14ac:dyDescent="0.2">
      <c r="A27" s="30"/>
      <c r="B27" s="347" t="str">
        <f t="shared" si="0"/>
        <v>(Delete row)</v>
      </c>
      <c r="C27" s="348" t="str">
        <f t="shared" si="1"/>
        <v>(Delete row)</v>
      </c>
      <c r="D27" s="160" t="str">
        <f t="shared" si="3"/>
        <v>(enter dir.)</v>
      </c>
      <c r="E27" s="364">
        <f t="shared" si="4"/>
        <v>0</v>
      </c>
      <c r="F27" s="160">
        <f t="shared" si="5"/>
        <v>0</v>
      </c>
      <c r="G27" s="122">
        <f t="shared" si="2"/>
        <v>0</v>
      </c>
      <c r="H27" s="30"/>
      <c r="I27" s="30"/>
      <c r="J27" s="30"/>
      <c r="K27" s="30"/>
      <c r="L27" s="30"/>
      <c r="M27" s="30"/>
      <c r="N27" s="30"/>
      <c r="O27" s="30"/>
      <c r="P27" s="30"/>
      <c r="Q27" s="30"/>
      <c r="R27" s="30"/>
      <c r="S27" s="30"/>
      <c r="T27" s="30"/>
      <c r="U27" s="30"/>
    </row>
    <row r="28" spans="1:21" ht="12.75" customHeight="1" x14ac:dyDescent="0.2">
      <c r="A28" s="30"/>
      <c r="B28" s="347" t="str">
        <f t="shared" ref="B28:B50" si="6">S76</f>
        <v>(Delete row)</v>
      </c>
      <c r="C28" s="348" t="str">
        <f t="shared" ref="C28:C50" si="7">T76</f>
        <v>(Delete row)</v>
      </c>
      <c r="D28" s="160" t="str">
        <f>IF($J$53=$F$76,"SB",IF($J$53=$F$77,"WB","(enter dir.)"))</f>
        <v>(enter dir.)</v>
      </c>
      <c r="E28" s="364">
        <f t="shared" si="4"/>
        <v>0</v>
      </c>
      <c r="F28" s="160">
        <f>IF(AND(E28=0,$M$54=0),0,IF(AND(E28&gt;0,$M$54=0),"enter # lanes",IF(AND(E28&gt;0,$M$54&gt;0),ROUND(E28/B$75+1,0)*$M$54,0)))</f>
        <v>0</v>
      </c>
      <c r="G28" s="122">
        <f t="shared" si="2"/>
        <v>0</v>
      </c>
      <c r="H28" s="30"/>
      <c r="I28" s="30"/>
      <c r="J28" s="30"/>
      <c r="K28" s="30"/>
      <c r="L28" s="30"/>
      <c r="M28" s="30"/>
      <c r="N28" s="30"/>
      <c r="O28" s="30"/>
      <c r="P28" s="30"/>
      <c r="Q28" s="30"/>
      <c r="R28" s="30"/>
      <c r="S28" s="30"/>
      <c r="T28" s="30"/>
      <c r="U28" s="30"/>
    </row>
    <row r="29" spans="1:21" ht="12.75" customHeight="1" x14ac:dyDescent="0.2">
      <c r="A29" s="30"/>
      <c r="B29" s="347" t="str">
        <f t="shared" si="6"/>
        <v>(Delete row)</v>
      </c>
      <c r="C29" s="348" t="str">
        <f t="shared" si="7"/>
        <v>(Delete row)</v>
      </c>
      <c r="D29" s="160" t="str">
        <f t="shared" ref="D29:D50" si="8">IF($J$53=$F$76,"SB",IF($J$53=$F$77,"WB","(enter dir.)"))</f>
        <v>(enter dir.)</v>
      </c>
      <c r="E29" s="364">
        <f t="shared" si="4"/>
        <v>0</v>
      </c>
      <c r="F29" s="160">
        <f t="shared" ref="F29:F50" si="9">IF(AND(E29=0,$M$54=0),0,IF(AND(E29&gt;0,$M$54=0),"enter # lanes",IF(AND(E29&gt;0,$M$54&gt;0),ROUND(E29/B$75+1,0)*$M$54,0)))</f>
        <v>0</v>
      </c>
      <c r="G29" s="122">
        <f t="shared" si="2"/>
        <v>0</v>
      </c>
      <c r="H29" s="30"/>
      <c r="I29" s="30"/>
      <c r="J29" s="30"/>
      <c r="K29" s="30"/>
      <c r="L29" s="30"/>
      <c r="M29" s="30"/>
      <c r="N29" s="30"/>
      <c r="O29" s="30"/>
      <c r="P29" s="30"/>
      <c r="Q29" s="30"/>
      <c r="R29" s="30"/>
      <c r="S29" s="30"/>
      <c r="T29" s="30"/>
      <c r="U29" s="30"/>
    </row>
    <row r="30" spans="1:21" ht="12.75" customHeight="1" x14ac:dyDescent="0.2">
      <c r="A30" s="30"/>
      <c r="B30" s="347" t="str">
        <f t="shared" si="6"/>
        <v>(Delete row)</v>
      </c>
      <c r="C30" s="348" t="str">
        <f t="shared" si="7"/>
        <v>(Delete row)</v>
      </c>
      <c r="D30" s="160" t="str">
        <f t="shared" si="8"/>
        <v>(enter dir.)</v>
      </c>
      <c r="E30" s="364">
        <f t="shared" si="4"/>
        <v>0</v>
      </c>
      <c r="F30" s="160">
        <f t="shared" si="9"/>
        <v>0</v>
      </c>
      <c r="G30" s="122">
        <f t="shared" si="2"/>
        <v>0</v>
      </c>
      <c r="H30" s="30"/>
      <c r="I30" s="30"/>
      <c r="J30" s="30"/>
      <c r="K30" s="30"/>
      <c r="L30" s="30"/>
      <c r="M30" s="30"/>
      <c r="N30" s="30"/>
      <c r="O30" s="30"/>
      <c r="P30" s="30"/>
      <c r="Q30" s="30"/>
      <c r="R30" s="30"/>
      <c r="S30" s="30"/>
      <c r="T30" s="30"/>
      <c r="U30" s="30"/>
    </row>
    <row r="31" spans="1:21" ht="12.75" customHeight="1" x14ac:dyDescent="0.2">
      <c r="A31" s="30"/>
      <c r="B31" s="347" t="str">
        <f t="shared" si="6"/>
        <v>(Delete row)</v>
      </c>
      <c r="C31" s="348" t="str">
        <f t="shared" si="7"/>
        <v>(Delete row)</v>
      </c>
      <c r="D31" s="160" t="str">
        <f t="shared" si="8"/>
        <v>(enter dir.)</v>
      </c>
      <c r="E31" s="364">
        <f t="shared" si="4"/>
        <v>0</v>
      </c>
      <c r="F31" s="160">
        <f t="shared" si="9"/>
        <v>0</v>
      </c>
      <c r="G31" s="122">
        <f t="shared" si="2"/>
        <v>0</v>
      </c>
      <c r="H31" s="30"/>
      <c r="I31" s="30"/>
      <c r="J31" s="30"/>
      <c r="K31" s="30"/>
      <c r="L31" s="30"/>
      <c r="M31" s="30"/>
      <c r="N31" s="30"/>
      <c r="O31" s="30"/>
      <c r="P31" s="30"/>
      <c r="Q31" s="30"/>
      <c r="R31" s="30"/>
      <c r="S31" s="30"/>
      <c r="T31" s="30"/>
      <c r="U31" s="30"/>
    </row>
    <row r="32" spans="1:21" ht="12.75" customHeight="1" x14ac:dyDescent="0.2">
      <c r="A32" s="30"/>
      <c r="B32" s="347" t="str">
        <f t="shared" si="6"/>
        <v>(Delete row)</v>
      </c>
      <c r="C32" s="348" t="str">
        <f t="shared" si="7"/>
        <v>(Delete row)</v>
      </c>
      <c r="D32" s="160" t="str">
        <f t="shared" si="8"/>
        <v>(enter dir.)</v>
      </c>
      <c r="E32" s="364">
        <f t="shared" si="4"/>
        <v>0</v>
      </c>
      <c r="F32" s="160">
        <f t="shared" si="9"/>
        <v>0</v>
      </c>
      <c r="G32" s="122">
        <f t="shared" si="2"/>
        <v>0</v>
      </c>
      <c r="H32" s="30"/>
      <c r="I32" s="30"/>
      <c r="J32" s="30"/>
      <c r="K32" s="30"/>
      <c r="L32" s="30"/>
      <c r="M32" s="30"/>
      <c r="N32" s="30"/>
      <c r="O32" s="30"/>
      <c r="P32" s="30"/>
      <c r="Q32" s="30"/>
      <c r="R32" s="30"/>
      <c r="S32" s="30"/>
      <c r="T32" s="30"/>
      <c r="U32" s="30"/>
    </row>
    <row r="33" spans="1:21" ht="12.75" customHeight="1" x14ac:dyDescent="0.2">
      <c r="A33" s="30"/>
      <c r="B33" s="347" t="str">
        <f t="shared" si="6"/>
        <v>(Delete row)</v>
      </c>
      <c r="C33" s="348" t="str">
        <f t="shared" si="7"/>
        <v>(Delete row)</v>
      </c>
      <c r="D33" s="160" t="str">
        <f t="shared" si="8"/>
        <v>(enter dir.)</v>
      </c>
      <c r="E33" s="364">
        <f t="shared" si="4"/>
        <v>0</v>
      </c>
      <c r="F33" s="160">
        <f t="shared" si="9"/>
        <v>0</v>
      </c>
      <c r="G33" s="122">
        <f t="shared" si="2"/>
        <v>0</v>
      </c>
      <c r="H33" s="30"/>
      <c r="I33" s="30"/>
      <c r="J33" s="30"/>
      <c r="K33" s="30"/>
      <c r="L33" s="30"/>
      <c r="M33" s="30"/>
      <c r="N33" s="30"/>
      <c r="O33" s="30"/>
      <c r="P33" s="30"/>
      <c r="Q33" s="30"/>
      <c r="R33" s="30"/>
      <c r="S33" s="30"/>
      <c r="T33" s="30"/>
      <c r="U33" s="30"/>
    </row>
    <row r="34" spans="1:21" ht="12.75" customHeight="1" x14ac:dyDescent="0.2">
      <c r="A34" s="30"/>
      <c r="B34" s="347" t="str">
        <f t="shared" si="6"/>
        <v>(Delete row)</v>
      </c>
      <c r="C34" s="348" t="str">
        <f t="shared" si="7"/>
        <v>(Delete row)</v>
      </c>
      <c r="D34" s="160" t="str">
        <f t="shared" si="8"/>
        <v>(enter dir.)</v>
      </c>
      <c r="E34" s="364">
        <f t="shared" si="4"/>
        <v>0</v>
      </c>
      <c r="F34" s="160">
        <f t="shared" si="9"/>
        <v>0</v>
      </c>
      <c r="G34" s="122">
        <f t="shared" si="2"/>
        <v>0</v>
      </c>
      <c r="H34" s="30"/>
      <c r="I34" s="30"/>
      <c r="J34" s="30"/>
      <c r="K34" s="30"/>
      <c r="L34" s="30"/>
      <c r="M34" s="30"/>
      <c r="N34" s="30"/>
      <c r="O34" s="30"/>
      <c r="P34" s="30"/>
      <c r="Q34" s="30"/>
      <c r="R34" s="30"/>
      <c r="S34" s="30"/>
      <c r="T34" s="30"/>
      <c r="U34" s="30"/>
    </row>
    <row r="35" spans="1:21" ht="12.75" customHeight="1" x14ac:dyDescent="0.2">
      <c r="A35" s="30"/>
      <c r="B35" s="347" t="str">
        <f t="shared" si="6"/>
        <v>(Delete row)</v>
      </c>
      <c r="C35" s="348" t="str">
        <f t="shared" si="7"/>
        <v>(Delete row)</v>
      </c>
      <c r="D35" s="160" t="str">
        <f t="shared" si="8"/>
        <v>(enter dir.)</v>
      </c>
      <c r="E35" s="364">
        <f t="shared" si="4"/>
        <v>0</v>
      </c>
      <c r="F35" s="160">
        <f t="shared" si="9"/>
        <v>0</v>
      </c>
      <c r="G35" s="122">
        <f t="shared" si="2"/>
        <v>0</v>
      </c>
      <c r="H35" s="30"/>
      <c r="I35" s="30"/>
      <c r="J35" s="30"/>
      <c r="K35" s="30"/>
      <c r="L35" s="30"/>
      <c r="M35" s="30"/>
      <c r="N35" s="30"/>
      <c r="O35" s="30"/>
      <c r="P35" s="30"/>
      <c r="Q35" s="30"/>
      <c r="R35" s="30"/>
      <c r="S35" s="30"/>
      <c r="T35" s="30"/>
      <c r="U35" s="30"/>
    </row>
    <row r="36" spans="1:21" ht="12.75" customHeight="1" x14ac:dyDescent="0.2">
      <c r="A36" s="30"/>
      <c r="B36" s="347" t="str">
        <f t="shared" si="6"/>
        <v>(Delete row)</v>
      </c>
      <c r="C36" s="348" t="str">
        <f t="shared" si="7"/>
        <v>(Delete row)</v>
      </c>
      <c r="D36" s="160" t="str">
        <f t="shared" si="8"/>
        <v>(enter dir.)</v>
      </c>
      <c r="E36" s="364">
        <f t="shared" si="4"/>
        <v>0</v>
      </c>
      <c r="F36" s="160">
        <f t="shared" si="9"/>
        <v>0</v>
      </c>
      <c r="G36" s="122">
        <f t="shared" si="2"/>
        <v>0</v>
      </c>
      <c r="H36" s="30"/>
      <c r="I36" s="30"/>
      <c r="J36" s="30"/>
      <c r="K36" s="30"/>
      <c r="L36" s="30"/>
      <c r="M36" s="30"/>
      <c r="N36" s="30"/>
      <c r="O36" s="30"/>
      <c r="P36" s="30"/>
      <c r="Q36" s="30"/>
      <c r="R36" s="30"/>
      <c r="S36" s="30"/>
      <c r="T36" s="30"/>
      <c r="U36" s="30"/>
    </row>
    <row r="37" spans="1:21" ht="12.75" customHeight="1" x14ac:dyDescent="0.2">
      <c r="A37" s="30"/>
      <c r="B37" s="347" t="str">
        <f t="shared" si="6"/>
        <v>(Delete row)</v>
      </c>
      <c r="C37" s="348" t="str">
        <f t="shared" si="7"/>
        <v>(Delete row)</v>
      </c>
      <c r="D37" s="160" t="str">
        <f t="shared" si="8"/>
        <v>(enter dir.)</v>
      </c>
      <c r="E37" s="364">
        <f t="shared" si="4"/>
        <v>0</v>
      </c>
      <c r="F37" s="160">
        <f t="shared" si="9"/>
        <v>0</v>
      </c>
      <c r="G37" s="122">
        <f t="shared" si="2"/>
        <v>0</v>
      </c>
      <c r="H37" s="30"/>
      <c r="I37" s="30"/>
      <c r="J37" s="30"/>
      <c r="K37" s="30"/>
      <c r="L37" s="30"/>
      <c r="M37" s="30"/>
      <c r="N37" s="30"/>
      <c r="O37" s="30"/>
      <c r="P37" s="30"/>
      <c r="Q37" s="30"/>
      <c r="R37" s="30"/>
      <c r="S37" s="30"/>
      <c r="T37" s="30"/>
      <c r="U37" s="30"/>
    </row>
    <row r="38" spans="1:21" ht="12.75" customHeight="1" x14ac:dyDescent="0.2">
      <c r="A38" s="30"/>
      <c r="B38" s="347" t="str">
        <f t="shared" si="6"/>
        <v>(Delete row)</v>
      </c>
      <c r="C38" s="348" t="str">
        <f t="shared" si="7"/>
        <v>(Delete row)</v>
      </c>
      <c r="D38" s="160" t="str">
        <f t="shared" si="8"/>
        <v>(enter dir.)</v>
      </c>
      <c r="E38" s="364">
        <f t="shared" si="4"/>
        <v>0</v>
      </c>
      <c r="F38" s="160">
        <f t="shared" si="9"/>
        <v>0</v>
      </c>
      <c r="G38" s="122">
        <f t="shared" si="2"/>
        <v>0</v>
      </c>
      <c r="H38" s="30"/>
      <c r="I38" s="30"/>
      <c r="J38" s="30"/>
      <c r="K38" s="30"/>
      <c r="L38" s="30"/>
      <c r="M38" s="30"/>
      <c r="N38" s="30"/>
      <c r="O38" s="30"/>
      <c r="P38" s="30"/>
      <c r="Q38" s="30"/>
      <c r="R38" s="30"/>
      <c r="S38" s="30"/>
      <c r="T38" s="30"/>
      <c r="U38" s="30"/>
    </row>
    <row r="39" spans="1:21" ht="12.75" customHeight="1" x14ac:dyDescent="0.2">
      <c r="A39" s="30"/>
      <c r="B39" s="347" t="str">
        <f t="shared" si="6"/>
        <v>(Delete row)</v>
      </c>
      <c r="C39" s="348" t="str">
        <f t="shared" si="7"/>
        <v>(Delete row)</v>
      </c>
      <c r="D39" s="160" t="str">
        <f t="shared" si="8"/>
        <v>(enter dir.)</v>
      </c>
      <c r="E39" s="364">
        <f t="shared" si="4"/>
        <v>0</v>
      </c>
      <c r="F39" s="160">
        <f t="shared" si="9"/>
        <v>0</v>
      </c>
      <c r="G39" s="122">
        <f t="shared" si="2"/>
        <v>0</v>
      </c>
      <c r="H39" s="30"/>
      <c r="I39" s="30"/>
      <c r="J39" s="30"/>
      <c r="K39" s="30"/>
      <c r="L39" s="30"/>
      <c r="M39" s="30"/>
      <c r="N39" s="30"/>
      <c r="O39" s="30"/>
      <c r="P39" s="30"/>
      <c r="Q39" s="30"/>
      <c r="R39" s="30"/>
      <c r="S39" s="30"/>
      <c r="T39" s="30"/>
      <c r="U39" s="30"/>
    </row>
    <row r="40" spans="1:21" ht="12.75" customHeight="1" x14ac:dyDescent="0.2">
      <c r="A40" s="30"/>
      <c r="B40" s="347" t="str">
        <f t="shared" si="6"/>
        <v>(Delete row)</v>
      </c>
      <c r="C40" s="348" t="str">
        <f t="shared" si="7"/>
        <v>(Delete row)</v>
      </c>
      <c r="D40" s="160" t="str">
        <f t="shared" si="8"/>
        <v>(enter dir.)</v>
      </c>
      <c r="E40" s="364">
        <f t="shared" si="4"/>
        <v>0</v>
      </c>
      <c r="F40" s="160">
        <f t="shared" si="9"/>
        <v>0</v>
      </c>
      <c r="G40" s="122">
        <f t="shared" si="2"/>
        <v>0</v>
      </c>
      <c r="H40" s="30"/>
      <c r="I40" s="30"/>
      <c r="J40" s="30"/>
      <c r="K40" s="30"/>
      <c r="L40" s="30"/>
      <c r="M40" s="30"/>
      <c r="N40" s="30"/>
      <c r="O40" s="30"/>
      <c r="P40" s="30"/>
      <c r="Q40" s="30"/>
      <c r="R40" s="30"/>
      <c r="S40" s="30"/>
      <c r="T40" s="30"/>
      <c r="U40" s="30"/>
    </row>
    <row r="41" spans="1:21" ht="12.75" customHeight="1" x14ac:dyDescent="0.2">
      <c r="A41" s="30"/>
      <c r="B41" s="347" t="str">
        <f t="shared" si="6"/>
        <v>(Delete row)</v>
      </c>
      <c r="C41" s="348" t="str">
        <f t="shared" si="7"/>
        <v>(Delete row)</v>
      </c>
      <c r="D41" s="160" t="str">
        <f t="shared" si="8"/>
        <v>(enter dir.)</v>
      </c>
      <c r="E41" s="364">
        <f t="shared" si="4"/>
        <v>0</v>
      </c>
      <c r="F41" s="160">
        <f t="shared" si="9"/>
        <v>0</v>
      </c>
      <c r="G41" s="122">
        <f t="shared" si="2"/>
        <v>0</v>
      </c>
      <c r="H41" s="30"/>
      <c r="I41" s="30"/>
      <c r="J41" s="30"/>
      <c r="K41" s="30"/>
      <c r="L41" s="30"/>
      <c r="M41" s="30"/>
      <c r="N41" s="30"/>
      <c r="O41" s="30"/>
      <c r="P41" s="30"/>
      <c r="Q41" s="30"/>
      <c r="R41" s="30"/>
      <c r="S41" s="30"/>
      <c r="T41" s="30"/>
      <c r="U41" s="30"/>
    </row>
    <row r="42" spans="1:21" ht="12.75" customHeight="1" x14ac:dyDescent="0.2">
      <c r="A42" s="30"/>
      <c r="B42" s="347" t="str">
        <f t="shared" si="6"/>
        <v>(Delete row)</v>
      </c>
      <c r="C42" s="348" t="str">
        <f t="shared" si="7"/>
        <v>(Delete row)</v>
      </c>
      <c r="D42" s="160" t="str">
        <f t="shared" si="8"/>
        <v>(enter dir.)</v>
      </c>
      <c r="E42" s="364">
        <f t="shared" si="4"/>
        <v>0</v>
      </c>
      <c r="F42" s="160">
        <f t="shared" si="9"/>
        <v>0</v>
      </c>
      <c r="G42" s="122">
        <f t="shared" si="2"/>
        <v>0</v>
      </c>
      <c r="H42" s="30"/>
      <c r="I42" s="30"/>
      <c r="J42" s="30"/>
      <c r="K42" s="30"/>
      <c r="L42" s="30"/>
      <c r="M42" s="30"/>
      <c r="N42" s="30"/>
      <c r="O42" s="30"/>
      <c r="P42" s="30"/>
      <c r="Q42" s="30"/>
      <c r="R42" s="30"/>
      <c r="S42" s="30"/>
      <c r="T42" s="30"/>
      <c r="U42" s="30"/>
    </row>
    <row r="43" spans="1:21" ht="12.75" customHeight="1" x14ac:dyDescent="0.2">
      <c r="A43" s="30"/>
      <c r="B43" s="347" t="str">
        <f t="shared" si="6"/>
        <v>(Delete row)</v>
      </c>
      <c r="C43" s="348" t="str">
        <f t="shared" si="7"/>
        <v>(Delete row)</v>
      </c>
      <c r="D43" s="160" t="str">
        <f t="shared" si="8"/>
        <v>(enter dir.)</v>
      </c>
      <c r="E43" s="364">
        <f t="shared" si="4"/>
        <v>0</v>
      </c>
      <c r="F43" s="160">
        <f t="shared" si="9"/>
        <v>0</v>
      </c>
      <c r="G43" s="122">
        <f t="shared" si="2"/>
        <v>0</v>
      </c>
      <c r="H43" s="30"/>
      <c r="I43" s="30"/>
      <c r="J43" s="30"/>
      <c r="K43" s="30"/>
      <c r="L43" s="30"/>
      <c r="M43" s="30"/>
      <c r="N43" s="30"/>
      <c r="O43" s="30"/>
      <c r="P43" s="30"/>
      <c r="Q43" s="30"/>
      <c r="R43" s="30"/>
      <c r="S43" s="30"/>
      <c r="T43" s="30"/>
      <c r="U43" s="30"/>
    </row>
    <row r="44" spans="1:21" ht="12.75" customHeight="1" x14ac:dyDescent="0.2">
      <c r="A44" s="30"/>
      <c r="B44" s="347" t="str">
        <f t="shared" si="6"/>
        <v>(Delete row)</v>
      </c>
      <c r="C44" s="348" t="str">
        <f t="shared" si="7"/>
        <v>(Delete row)</v>
      </c>
      <c r="D44" s="160" t="str">
        <f t="shared" si="8"/>
        <v>(enter dir.)</v>
      </c>
      <c r="E44" s="364">
        <f t="shared" si="4"/>
        <v>0</v>
      </c>
      <c r="F44" s="160">
        <f t="shared" si="9"/>
        <v>0</v>
      </c>
      <c r="G44" s="122">
        <f t="shared" si="2"/>
        <v>0</v>
      </c>
      <c r="H44" s="30"/>
      <c r="I44" s="30"/>
      <c r="J44" s="30"/>
      <c r="K44" s="30"/>
      <c r="L44" s="30"/>
      <c r="M44" s="30"/>
      <c r="N44" s="30"/>
      <c r="O44" s="30"/>
      <c r="P44" s="30"/>
      <c r="Q44" s="30"/>
      <c r="R44" s="30"/>
      <c r="S44" s="30"/>
      <c r="T44" s="30"/>
      <c r="U44" s="30"/>
    </row>
    <row r="45" spans="1:21" ht="12.75" customHeight="1" x14ac:dyDescent="0.2">
      <c r="A45" s="30"/>
      <c r="B45" s="347" t="str">
        <f t="shared" si="6"/>
        <v>(Delete row)</v>
      </c>
      <c r="C45" s="348" t="str">
        <f t="shared" si="7"/>
        <v>(Delete row)</v>
      </c>
      <c r="D45" s="160" t="str">
        <f t="shared" si="8"/>
        <v>(enter dir.)</v>
      </c>
      <c r="E45" s="364">
        <f t="shared" si="4"/>
        <v>0</v>
      </c>
      <c r="F45" s="160">
        <f t="shared" si="9"/>
        <v>0</v>
      </c>
      <c r="G45" s="122">
        <f t="shared" si="2"/>
        <v>0</v>
      </c>
      <c r="H45" s="30"/>
      <c r="I45" s="30"/>
      <c r="J45" s="30"/>
      <c r="K45" s="30"/>
      <c r="L45" s="30"/>
      <c r="M45" s="30"/>
      <c r="N45" s="30"/>
      <c r="O45" s="30"/>
      <c r="P45" s="30"/>
      <c r="Q45" s="30"/>
      <c r="R45" s="30"/>
      <c r="S45" s="30"/>
      <c r="T45" s="30"/>
      <c r="U45" s="30"/>
    </row>
    <row r="46" spans="1:21" ht="12.75" customHeight="1" x14ac:dyDescent="0.2">
      <c r="A46" s="30"/>
      <c r="B46" s="347" t="str">
        <f t="shared" si="6"/>
        <v>(Delete row)</v>
      </c>
      <c r="C46" s="348" t="str">
        <f t="shared" si="7"/>
        <v>(Delete row)</v>
      </c>
      <c r="D46" s="160" t="str">
        <f t="shared" si="8"/>
        <v>(enter dir.)</v>
      </c>
      <c r="E46" s="364">
        <f t="shared" si="4"/>
        <v>0</v>
      </c>
      <c r="F46" s="160">
        <f t="shared" si="9"/>
        <v>0</v>
      </c>
      <c r="G46" s="122">
        <f t="shared" si="2"/>
        <v>0</v>
      </c>
      <c r="H46" s="30"/>
      <c r="I46" s="30"/>
      <c r="J46" s="30"/>
      <c r="K46" s="30"/>
      <c r="L46" s="30"/>
      <c r="M46" s="30"/>
      <c r="N46" s="30"/>
      <c r="O46" s="30"/>
      <c r="P46" s="30"/>
      <c r="Q46" s="30"/>
      <c r="R46" s="30"/>
      <c r="S46" s="30"/>
      <c r="T46" s="30"/>
      <c r="U46" s="30"/>
    </row>
    <row r="47" spans="1:21" ht="12.75" customHeight="1" x14ac:dyDescent="0.2">
      <c r="A47" s="30"/>
      <c r="B47" s="347" t="str">
        <f t="shared" si="6"/>
        <v>(Delete row)</v>
      </c>
      <c r="C47" s="348" t="str">
        <f t="shared" si="7"/>
        <v>(Delete row)</v>
      </c>
      <c r="D47" s="160" t="str">
        <f t="shared" si="8"/>
        <v>(enter dir.)</v>
      </c>
      <c r="E47" s="364">
        <f t="shared" si="4"/>
        <v>0</v>
      </c>
      <c r="F47" s="160">
        <f t="shared" si="9"/>
        <v>0</v>
      </c>
      <c r="G47" s="122">
        <f t="shared" si="2"/>
        <v>0</v>
      </c>
      <c r="H47" s="30"/>
      <c r="I47" s="30"/>
      <c r="J47" s="30"/>
      <c r="K47" s="30"/>
      <c r="L47" s="30"/>
      <c r="M47" s="30"/>
      <c r="N47" s="30"/>
      <c r="O47" s="30"/>
      <c r="P47" s="30"/>
      <c r="Q47" s="30"/>
      <c r="R47" s="30"/>
      <c r="S47" s="30"/>
      <c r="T47" s="30"/>
      <c r="U47" s="30"/>
    </row>
    <row r="48" spans="1:21" ht="12.75" customHeight="1" x14ac:dyDescent="0.2">
      <c r="A48" s="30"/>
      <c r="B48" s="347" t="str">
        <f t="shared" si="6"/>
        <v>(Delete row)</v>
      </c>
      <c r="C48" s="348" t="str">
        <f t="shared" si="7"/>
        <v>(Delete row)</v>
      </c>
      <c r="D48" s="160" t="str">
        <f t="shared" si="8"/>
        <v>(enter dir.)</v>
      </c>
      <c r="E48" s="364">
        <f t="shared" si="4"/>
        <v>0</v>
      </c>
      <c r="F48" s="160">
        <f t="shared" si="9"/>
        <v>0</v>
      </c>
      <c r="G48" s="122">
        <f t="shared" si="2"/>
        <v>0</v>
      </c>
      <c r="H48" s="30"/>
      <c r="I48" s="30"/>
      <c r="J48" s="30"/>
      <c r="K48" s="30"/>
      <c r="L48" s="30"/>
      <c r="M48" s="30"/>
      <c r="N48" s="30"/>
      <c r="O48" s="30"/>
      <c r="P48" s="30"/>
      <c r="Q48" s="30"/>
      <c r="R48" s="30"/>
      <c r="S48" s="30"/>
      <c r="T48" s="30"/>
      <c r="U48" s="30"/>
    </row>
    <row r="49" spans="1:22" ht="12.75" customHeight="1" x14ac:dyDescent="0.2">
      <c r="A49" s="30"/>
      <c r="B49" s="347" t="str">
        <f t="shared" si="6"/>
        <v>(Delete row)</v>
      </c>
      <c r="C49" s="348" t="str">
        <f t="shared" si="7"/>
        <v>(Delete row)</v>
      </c>
      <c r="D49" s="160" t="str">
        <f t="shared" si="8"/>
        <v>(enter dir.)</v>
      </c>
      <c r="E49" s="364">
        <f t="shared" si="4"/>
        <v>0</v>
      </c>
      <c r="F49" s="160">
        <f t="shared" si="9"/>
        <v>0</v>
      </c>
      <c r="G49" s="122">
        <f t="shared" si="2"/>
        <v>0</v>
      </c>
      <c r="H49" s="30"/>
      <c r="I49" s="30"/>
      <c r="J49" s="30"/>
      <c r="K49" s="30"/>
      <c r="L49" s="30"/>
      <c r="M49" s="30"/>
      <c r="N49" s="30"/>
      <c r="O49" s="30"/>
      <c r="P49" s="30"/>
      <c r="Q49" s="30"/>
      <c r="R49" s="30"/>
      <c r="S49" s="30"/>
      <c r="T49" s="30"/>
      <c r="U49" s="30"/>
    </row>
    <row r="50" spans="1:22" ht="12.75" customHeight="1" thickBot="1" x14ac:dyDescent="0.25">
      <c r="A50" s="30"/>
      <c r="B50" s="365" t="str">
        <f t="shared" si="6"/>
        <v>(Delete row)</v>
      </c>
      <c r="C50" s="366" t="str">
        <f t="shared" si="7"/>
        <v>(Delete row)</v>
      </c>
      <c r="D50" s="214" t="str">
        <f t="shared" si="8"/>
        <v>(enter dir.)</v>
      </c>
      <c r="E50" s="367">
        <f t="shared" si="4"/>
        <v>0</v>
      </c>
      <c r="F50" s="160">
        <f t="shared" si="9"/>
        <v>0</v>
      </c>
      <c r="G50" s="368">
        <f t="shared" si="2"/>
        <v>0</v>
      </c>
      <c r="H50" s="30"/>
      <c r="I50" s="30"/>
      <c r="J50" s="30"/>
      <c r="K50" s="30"/>
      <c r="L50" s="30"/>
      <c r="M50" s="30"/>
      <c r="N50" s="30"/>
      <c r="O50" s="30"/>
      <c r="P50" s="30"/>
      <c r="Q50" s="30"/>
      <c r="R50" s="30"/>
      <c r="S50" s="30"/>
      <c r="T50" s="30"/>
      <c r="U50" s="30"/>
    </row>
    <row r="51" spans="1:22" ht="12.75" customHeight="1" x14ac:dyDescent="0.2">
      <c r="A51" s="30"/>
      <c r="B51" s="118"/>
      <c r="C51" s="118"/>
      <c r="D51" s="118"/>
      <c r="E51" s="119" t="s">
        <v>34</v>
      </c>
      <c r="F51" s="119">
        <f>SUM(F5:F50)</f>
        <v>0</v>
      </c>
      <c r="G51" s="369">
        <f>SUM(G5:G50)</f>
        <v>0</v>
      </c>
      <c r="H51" s="30"/>
      <c r="I51" s="30"/>
      <c r="J51" s="30"/>
      <c r="K51" s="30"/>
      <c r="L51" s="30"/>
      <c r="M51" s="30"/>
      <c r="N51" s="30"/>
      <c r="O51" s="30"/>
      <c r="P51" s="30"/>
      <c r="Q51" s="30"/>
      <c r="R51" s="30"/>
      <c r="S51" s="30"/>
      <c r="T51" s="30"/>
      <c r="U51" s="30"/>
    </row>
    <row r="52" spans="1:22" ht="12.75" customHeight="1" x14ac:dyDescent="0.2">
      <c r="A52" s="30"/>
      <c r="B52" s="86" t="s">
        <v>393</v>
      </c>
      <c r="C52" s="86"/>
      <c r="D52" s="86"/>
      <c r="E52" s="86"/>
      <c r="F52" s="86"/>
      <c r="G52" s="86"/>
      <c r="H52" s="30"/>
      <c r="I52" s="30"/>
      <c r="N52" s="101"/>
      <c r="O52" s="30"/>
      <c r="P52" s="30"/>
      <c r="R52" s="101"/>
      <c r="S52" s="101"/>
      <c r="T52" s="101"/>
      <c r="U52" s="30"/>
      <c r="V52" s="30"/>
    </row>
    <row r="53" spans="1:22" ht="12.75" customHeight="1" x14ac:dyDescent="0.2">
      <c r="A53" s="30"/>
      <c r="B53" s="86" t="s">
        <v>164</v>
      </c>
      <c r="C53" s="86"/>
      <c r="D53" s="86"/>
      <c r="E53" s="86"/>
      <c r="F53" s="86"/>
      <c r="G53" s="86"/>
      <c r="H53" s="30"/>
      <c r="I53" s="30"/>
      <c r="J53" s="194"/>
      <c r="K53" s="101" t="s">
        <v>431</v>
      </c>
      <c r="M53" s="194"/>
      <c r="N53" s="207" t="str">
        <f>"Number of lanes in "&amp;IF($J$53=F76,"northbound direction",IF($J$53=F77,"eastbound direction",0))</f>
        <v>Number of lanes in 0</v>
      </c>
      <c r="O53" s="207"/>
      <c r="P53" s="30"/>
      <c r="Q53" s="40"/>
      <c r="R53" s="207"/>
      <c r="S53" s="400"/>
      <c r="T53" s="207"/>
      <c r="U53" s="89"/>
      <c r="V53" s="207"/>
    </row>
    <row r="54" spans="1:22" ht="12.75" customHeight="1" x14ac:dyDescent="0.2">
      <c r="A54" s="30"/>
      <c r="B54" s="352" t="str">
        <f>"- Drilled holes are spaced "&amp;B75&amp;"' apart for each lane."</f>
        <v>- Drilled holes are spaced 20' apart for each lane.</v>
      </c>
      <c r="C54" s="10"/>
      <c r="D54" s="86"/>
      <c r="E54" s="86"/>
      <c r="F54" s="86"/>
      <c r="G54" s="86"/>
      <c r="H54" s="30"/>
      <c r="I54" s="30"/>
      <c r="M54" s="194"/>
      <c r="N54" s="207" t="str">
        <f>"Number of lanes in "&amp;IF($J$53=F76,"southbound direction",IF($J$53=F77,"westbound direction",0))</f>
        <v>Number of lanes in 0</v>
      </c>
      <c r="O54" s="30"/>
      <c r="P54" s="30"/>
      <c r="Q54" s="40"/>
      <c r="R54" s="401"/>
      <c r="S54" s="40"/>
      <c r="T54" s="401"/>
      <c r="U54" s="401"/>
      <c r="V54" s="401"/>
    </row>
    <row r="55" spans="1:22" ht="12.75" customHeight="1" x14ac:dyDescent="0.2">
      <c r="A55" s="30"/>
      <c r="B55" s="352" t="str">
        <f>"- "&amp;C75&amp;" gallons of asphalt material per drilled hole."</f>
        <v>- 12 gallons of asphalt material per drilled hole.</v>
      </c>
      <c r="C55" s="10"/>
      <c r="D55" s="86"/>
      <c r="E55" s="86"/>
      <c r="F55" s="86"/>
      <c r="G55" s="86"/>
      <c r="H55" s="30"/>
      <c r="I55" s="30"/>
      <c r="J55" s="1392" t="s">
        <v>440</v>
      </c>
      <c r="K55" s="1392"/>
      <c r="L55" s="1392"/>
      <c r="M55" s="1392"/>
      <c r="N55" s="1392"/>
      <c r="O55" s="1392"/>
      <c r="P55" s="1392"/>
      <c r="Q55" s="1392"/>
      <c r="R55" s="1392"/>
      <c r="S55" s="1392"/>
      <c r="T55" s="401"/>
      <c r="U55" s="401"/>
      <c r="V55" s="401"/>
    </row>
    <row r="56" spans="1:22" ht="6.75" customHeight="1" x14ac:dyDescent="0.2">
      <c r="A56" s="30"/>
      <c r="B56" s="30"/>
      <c r="C56" s="30"/>
      <c r="D56" s="30"/>
      <c r="E56" s="30"/>
      <c r="F56" s="30"/>
      <c r="G56" s="30"/>
      <c r="H56" s="30"/>
      <c r="I56" s="30"/>
      <c r="J56" s="82"/>
      <c r="K56" s="82"/>
      <c r="L56" s="82"/>
      <c r="M56" s="91"/>
      <c r="N56" s="30"/>
      <c r="O56" s="30"/>
      <c r="P56" s="30"/>
      <c r="Q56" s="40"/>
      <c r="R56" s="401"/>
      <c r="S56" s="40"/>
      <c r="T56" s="401"/>
      <c r="U56" s="401"/>
      <c r="V56" s="401"/>
    </row>
    <row r="57" spans="1:22" ht="13.5" thickBot="1" x14ac:dyDescent="0.25">
      <c r="A57" s="30"/>
      <c r="B57" s="30"/>
      <c r="C57" s="30"/>
      <c r="D57" s="30"/>
      <c r="E57" s="30"/>
      <c r="F57" s="30"/>
      <c r="G57" s="30"/>
      <c r="H57" s="30"/>
      <c r="I57" s="30"/>
      <c r="J57" s="1356" t="str">
        <f>IF($J$53=$F$76,"Northbound Conversion Information",IF($J$53=$F$77,"Eastbound Conversion Information","(Enter Direction) Conversion Information"))</f>
        <v>(Enter Direction) Conversion Information</v>
      </c>
      <c r="K57" s="1356"/>
      <c r="L57" s="1356"/>
      <c r="M57" s="1356"/>
      <c r="N57" s="30"/>
      <c r="O57" s="30"/>
      <c r="P57" s="1356" t="str">
        <f>IF($J$53=$F$76,"Southbound Conversion Information",IF($J$53=$F$77,"Westbound Conversion Information","(Enter Direction) Conversion Information"))</f>
        <v>(Enter Direction) Conversion Information</v>
      </c>
      <c r="Q57" s="1356"/>
      <c r="R57" s="1356"/>
      <c r="S57" s="1356"/>
      <c r="T57" s="30"/>
      <c r="U57" s="30"/>
      <c r="V57" s="30"/>
    </row>
    <row r="58" spans="1:22" x14ac:dyDescent="0.2">
      <c r="A58" s="30"/>
      <c r="B58" s="30"/>
      <c r="C58" s="30"/>
      <c r="D58" s="30"/>
      <c r="E58" s="30"/>
      <c r="F58" s="30"/>
      <c r="G58" s="30"/>
      <c r="H58" s="30"/>
      <c r="I58" s="30"/>
      <c r="J58" s="1396" t="s">
        <v>439</v>
      </c>
      <c r="K58" s="377" t="s">
        <v>436</v>
      </c>
      <c r="L58" s="211" t="s">
        <v>433</v>
      </c>
      <c r="M58" s="1287" t="s">
        <v>432</v>
      </c>
      <c r="N58" s="30"/>
      <c r="O58" s="30"/>
      <c r="P58" s="1396" t="s">
        <v>439</v>
      </c>
      <c r="Q58" s="377" t="s">
        <v>436</v>
      </c>
      <c r="R58" s="211" t="s">
        <v>433</v>
      </c>
      <c r="S58" s="1287" t="s">
        <v>432</v>
      </c>
      <c r="T58" s="30"/>
      <c r="U58" s="30"/>
      <c r="V58" s="30"/>
    </row>
    <row r="59" spans="1:22" ht="13.5" thickBot="1" x14ac:dyDescent="0.25">
      <c r="A59" s="30"/>
      <c r="B59" s="30"/>
      <c r="C59" s="30"/>
      <c r="D59" s="30"/>
      <c r="E59" s="30"/>
      <c r="F59" s="30"/>
      <c r="G59" s="30"/>
      <c r="H59" s="30"/>
      <c r="I59" s="30"/>
      <c r="J59" s="1398"/>
      <c r="K59" s="384" t="s">
        <v>437</v>
      </c>
      <c r="L59" s="385" t="s">
        <v>434</v>
      </c>
      <c r="M59" s="1401"/>
      <c r="N59" s="30"/>
      <c r="O59" s="30"/>
      <c r="P59" s="1398"/>
      <c r="Q59" s="384" t="s">
        <v>437</v>
      </c>
      <c r="R59" s="385" t="s">
        <v>434</v>
      </c>
      <c r="S59" s="1401"/>
      <c r="T59" s="30"/>
      <c r="U59" s="30"/>
      <c r="V59" s="30"/>
    </row>
    <row r="60" spans="1:22" x14ac:dyDescent="0.2">
      <c r="A60" s="30"/>
      <c r="B60" s="30"/>
      <c r="C60" s="30"/>
      <c r="D60" s="30"/>
      <c r="E60" s="30"/>
      <c r="F60" s="30"/>
      <c r="G60" s="30"/>
      <c r="H60" s="30"/>
      <c r="I60" s="30"/>
      <c r="J60" s="381">
        <v>1</v>
      </c>
      <c r="K60" s="378"/>
      <c r="L60" s="371"/>
      <c r="M60" s="372"/>
      <c r="N60" s="30"/>
      <c r="O60" s="30"/>
      <c r="P60" s="381">
        <v>1</v>
      </c>
      <c r="Q60" s="378"/>
      <c r="R60" s="371"/>
      <c r="S60" s="372"/>
      <c r="T60" s="30"/>
      <c r="U60" s="30"/>
      <c r="V60" s="30"/>
    </row>
    <row r="61" spans="1:22" x14ac:dyDescent="0.2">
      <c r="A61" s="30"/>
      <c r="B61" s="30"/>
      <c r="C61" s="30"/>
      <c r="D61" s="30"/>
      <c r="E61" s="30"/>
      <c r="F61" s="30"/>
      <c r="G61" s="30"/>
      <c r="H61" s="30"/>
      <c r="I61" s="30"/>
      <c r="J61" s="382">
        <v>2</v>
      </c>
      <c r="K61" s="379"/>
      <c r="L61" s="373"/>
      <c r="M61" s="374"/>
      <c r="N61" s="30"/>
      <c r="O61" s="30"/>
      <c r="P61" s="382">
        <v>2</v>
      </c>
      <c r="Q61" s="379"/>
      <c r="R61" s="373"/>
      <c r="S61" s="374"/>
      <c r="T61" s="30"/>
      <c r="U61" s="30"/>
      <c r="V61" s="30"/>
    </row>
    <row r="62" spans="1:22" x14ac:dyDescent="0.2">
      <c r="A62" s="30"/>
      <c r="B62" s="30"/>
      <c r="C62" s="30"/>
      <c r="D62" s="30"/>
      <c r="E62" s="30"/>
      <c r="F62" s="30"/>
      <c r="G62" s="30"/>
      <c r="H62" s="30"/>
      <c r="I62" s="30"/>
      <c r="J62" s="382">
        <v>3</v>
      </c>
      <c r="K62" s="379"/>
      <c r="L62" s="373"/>
      <c r="M62" s="374"/>
      <c r="N62" s="30"/>
      <c r="O62" s="30"/>
      <c r="P62" s="382">
        <v>3</v>
      </c>
      <c r="Q62" s="379"/>
      <c r="R62" s="373"/>
      <c r="S62" s="374"/>
      <c r="T62" s="30"/>
      <c r="U62" s="30"/>
      <c r="V62" s="30"/>
    </row>
    <row r="63" spans="1:22" x14ac:dyDescent="0.2">
      <c r="A63" s="30"/>
      <c r="B63" s="30"/>
      <c r="C63" s="30"/>
      <c r="D63" s="30"/>
      <c r="E63" s="30"/>
      <c r="F63" s="30"/>
      <c r="G63" s="30"/>
      <c r="H63" s="30"/>
      <c r="I63" s="30"/>
      <c r="J63" s="382">
        <v>4</v>
      </c>
      <c r="K63" s="379"/>
      <c r="L63" s="373"/>
      <c r="M63" s="374"/>
      <c r="N63" s="30"/>
      <c r="O63" s="30"/>
      <c r="P63" s="382">
        <v>4</v>
      </c>
      <c r="Q63" s="379"/>
      <c r="R63" s="373"/>
      <c r="S63" s="374"/>
      <c r="T63" s="30"/>
      <c r="U63" s="30"/>
      <c r="V63" s="30"/>
    </row>
    <row r="64" spans="1:22" x14ac:dyDescent="0.2">
      <c r="A64" s="30"/>
      <c r="B64" s="30"/>
      <c r="C64" s="30"/>
      <c r="D64" s="30"/>
      <c r="E64" s="30"/>
      <c r="F64" s="30"/>
      <c r="G64" s="30"/>
      <c r="H64" s="30"/>
      <c r="I64" s="30"/>
      <c r="J64" s="382">
        <v>5</v>
      </c>
      <c r="K64" s="379"/>
      <c r="L64" s="373"/>
      <c r="M64" s="374"/>
      <c r="N64" s="30"/>
      <c r="O64" s="30"/>
      <c r="P64" s="382">
        <v>5</v>
      </c>
      <c r="Q64" s="379"/>
      <c r="R64" s="373"/>
      <c r="S64" s="374"/>
      <c r="T64" s="30"/>
      <c r="U64" s="30"/>
      <c r="V64" s="30"/>
    </row>
    <row r="65" spans="1:22" x14ac:dyDescent="0.2">
      <c r="A65" s="30"/>
      <c r="B65" s="30"/>
      <c r="C65" s="30"/>
      <c r="D65" s="30"/>
      <c r="E65" s="30"/>
      <c r="F65" s="30"/>
      <c r="G65" s="30"/>
      <c r="H65" s="30"/>
      <c r="I65" s="30"/>
      <c r="J65" s="382">
        <v>6</v>
      </c>
      <c r="K65" s="379"/>
      <c r="L65" s="373"/>
      <c r="M65" s="374"/>
      <c r="N65" s="30"/>
      <c r="O65" s="30"/>
      <c r="P65" s="382">
        <v>6</v>
      </c>
      <c r="Q65" s="379"/>
      <c r="R65" s="373"/>
      <c r="S65" s="374"/>
      <c r="T65" s="30"/>
      <c r="U65" s="30"/>
      <c r="V65" s="30"/>
    </row>
    <row r="66" spans="1:22" x14ac:dyDescent="0.2">
      <c r="A66" s="30"/>
      <c r="B66" s="30"/>
      <c r="C66" s="30"/>
      <c r="D66" s="30"/>
      <c r="E66" s="30"/>
      <c r="F66" s="30"/>
      <c r="G66" s="30"/>
      <c r="H66" s="30"/>
      <c r="I66" s="30"/>
      <c r="J66" s="382">
        <v>7</v>
      </c>
      <c r="K66" s="379"/>
      <c r="L66" s="373"/>
      <c r="M66" s="374"/>
      <c r="N66" s="30"/>
      <c r="O66" s="30"/>
      <c r="P66" s="382">
        <v>7</v>
      </c>
      <c r="Q66" s="379"/>
      <c r="R66" s="373"/>
      <c r="S66" s="374"/>
      <c r="T66" s="30"/>
      <c r="U66" s="30"/>
      <c r="V66" s="30"/>
    </row>
    <row r="67" spans="1:22" ht="13.5" thickBot="1" x14ac:dyDescent="0.25">
      <c r="A67" s="30"/>
      <c r="B67" s="30"/>
      <c r="C67" s="30"/>
      <c r="D67" s="30"/>
      <c r="E67" s="30"/>
      <c r="F67" s="30"/>
      <c r="G67" s="30"/>
      <c r="H67" s="30"/>
      <c r="I67" s="30"/>
      <c r="J67" s="383">
        <v>8</v>
      </c>
      <c r="K67" s="380"/>
      <c r="L67" s="375"/>
      <c r="M67" s="376"/>
      <c r="N67" s="30"/>
      <c r="O67" s="30"/>
      <c r="P67" s="383">
        <v>8</v>
      </c>
      <c r="Q67" s="380"/>
      <c r="R67" s="375"/>
      <c r="S67" s="376"/>
      <c r="T67" s="30"/>
      <c r="U67" s="30"/>
      <c r="V67" s="30"/>
    </row>
    <row r="68" spans="1:22" x14ac:dyDescent="0.2">
      <c r="A68" s="30"/>
      <c r="B68" s="30"/>
      <c r="C68" s="30"/>
      <c r="D68" s="30"/>
      <c r="E68" s="30"/>
      <c r="F68" s="30"/>
      <c r="G68" s="30"/>
      <c r="H68" s="30"/>
      <c r="I68" s="30"/>
      <c r="J68" s="82"/>
      <c r="K68" s="82"/>
      <c r="L68" s="82"/>
      <c r="M68" s="91"/>
      <c r="N68" s="30"/>
      <c r="O68" s="30"/>
      <c r="P68" s="30"/>
      <c r="Q68" s="82"/>
      <c r="R68" s="30"/>
      <c r="S68" s="91"/>
      <c r="T68" s="30"/>
      <c r="U68" s="30"/>
      <c r="V68" s="30"/>
    </row>
    <row r="69" spans="1:22" x14ac:dyDescent="0.2">
      <c r="A69" s="30"/>
      <c r="B69" s="30"/>
      <c r="C69" s="30"/>
      <c r="D69" s="30"/>
      <c r="E69" s="30"/>
      <c r="F69" s="30"/>
      <c r="G69" s="30"/>
      <c r="H69" s="30"/>
      <c r="I69" s="30"/>
      <c r="J69" s="1392" t="s">
        <v>438</v>
      </c>
      <c r="K69" s="1392"/>
      <c r="L69" s="1392"/>
      <c r="M69" s="1392"/>
      <c r="N69" s="1392"/>
      <c r="O69" s="1392"/>
      <c r="P69" s="1392"/>
      <c r="Q69" s="1392"/>
      <c r="R69" s="1392"/>
      <c r="S69" s="1392"/>
      <c r="T69" s="1392"/>
      <c r="U69" s="30"/>
      <c r="V69" s="30"/>
    </row>
    <row r="70" spans="1:22" x14ac:dyDescent="0.2">
      <c r="A70" s="30"/>
      <c r="B70" s="30"/>
      <c r="C70" s="30"/>
      <c r="D70" s="30"/>
      <c r="E70" s="30"/>
      <c r="F70" s="30"/>
      <c r="G70" s="30"/>
      <c r="H70" s="30"/>
      <c r="J70" s="127"/>
      <c r="M70" s="30"/>
      <c r="N70" s="30"/>
      <c r="O70" s="30"/>
      <c r="P70" s="30"/>
      <c r="Q70" s="30"/>
      <c r="R70" s="30"/>
      <c r="S70" s="30"/>
      <c r="T70" s="30"/>
      <c r="U70" s="30"/>
    </row>
    <row r="71" spans="1:22" x14ac:dyDescent="0.2">
      <c r="A71" s="30"/>
      <c r="B71" s="30"/>
      <c r="C71" s="30"/>
      <c r="D71" s="30"/>
      <c r="E71" s="30"/>
      <c r="F71" s="30"/>
      <c r="G71" s="30"/>
      <c r="H71" s="30"/>
      <c r="J71" s="1392" t="s">
        <v>441</v>
      </c>
      <c r="K71" s="1392"/>
      <c r="L71" s="1392"/>
      <c r="M71" s="1392"/>
      <c r="N71" s="1392"/>
      <c r="O71" s="1392"/>
      <c r="P71" s="1392"/>
      <c r="Q71" s="1392"/>
      <c r="R71" s="1392"/>
      <c r="S71" s="1392"/>
      <c r="T71" s="1392"/>
      <c r="U71" s="30"/>
    </row>
    <row r="72" spans="1:22" x14ac:dyDescent="0.2">
      <c r="A72" s="30"/>
      <c r="B72" s="30"/>
      <c r="C72" s="30"/>
      <c r="D72" s="30"/>
      <c r="E72" s="30"/>
      <c r="F72" s="30"/>
      <c r="G72" s="30"/>
      <c r="H72" s="30"/>
      <c r="I72" s="30"/>
      <c r="J72" s="399"/>
      <c r="K72" s="399"/>
      <c r="L72" s="399"/>
      <c r="M72" s="399"/>
      <c r="N72" s="399"/>
      <c r="O72" s="399"/>
      <c r="P72" s="8"/>
      <c r="Q72" s="8"/>
      <c r="R72" s="8"/>
      <c r="S72" s="8"/>
      <c r="T72" s="8"/>
      <c r="U72" s="30"/>
    </row>
    <row r="73" spans="1:22" ht="13.5" thickBot="1" x14ac:dyDescent="0.25">
      <c r="A73" s="30"/>
      <c r="B73" s="30"/>
      <c r="C73" s="30"/>
      <c r="D73" s="30"/>
      <c r="E73" s="30"/>
      <c r="F73" s="30"/>
      <c r="G73" s="30"/>
      <c r="H73" s="30"/>
      <c r="I73" s="30"/>
      <c r="J73" s="1356" t="str">
        <f>IF($J$53=$F$76,"Northbound Underseal Stationing",IF($J$53=$F$77,"Eastbound Underseal Stationing","(Enter Direction) Underseal Stationing"))</f>
        <v>(Enter Direction) Underseal Stationing</v>
      </c>
      <c r="K73" s="1402"/>
      <c r="L73" s="1402"/>
      <c r="M73" s="1402"/>
      <c r="N73" s="1402"/>
      <c r="O73" s="30"/>
      <c r="P73" s="1356" t="str">
        <f>IF($J$53=$F$76,"Southbound Underseal Stationing",IF($J$53=$F$77,"Westbound Underseal Stationing","(Enter Direction) Underseal Stationing"))</f>
        <v>(Enter Direction) Underseal Stationing</v>
      </c>
      <c r="Q73" s="1356"/>
      <c r="R73" s="1356"/>
      <c r="S73" s="1356"/>
      <c r="T73" s="1356"/>
      <c r="U73" s="30"/>
    </row>
    <row r="74" spans="1:22" ht="22.5" x14ac:dyDescent="0.2">
      <c r="A74" s="30"/>
      <c r="B74" s="402" t="s">
        <v>161</v>
      </c>
      <c r="C74" s="403" t="s">
        <v>162</v>
      </c>
      <c r="D74" s="403" t="s">
        <v>163</v>
      </c>
      <c r="E74" s="183" t="s">
        <v>39</v>
      </c>
      <c r="F74" s="335" t="s">
        <v>430</v>
      </c>
      <c r="G74" s="404" t="s">
        <v>439</v>
      </c>
      <c r="H74" s="30"/>
      <c r="I74" s="30"/>
      <c r="J74" s="1396" t="s">
        <v>439</v>
      </c>
      <c r="K74" s="1399" t="s">
        <v>436</v>
      </c>
      <c r="L74" s="1400"/>
      <c r="M74" s="1399" t="s">
        <v>435</v>
      </c>
      <c r="N74" s="1287"/>
      <c r="O74" s="30"/>
      <c r="P74" s="1396" t="s">
        <v>439</v>
      </c>
      <c r="Q74" s="1399" t="s">
        <v>436</v>
      </c>
      <c r="R74" s="1400"/>
      <c r="S74" s="1399" t="s">
        <v>435</v>
      </c>
      <c r="T74" s="1287"/>
      <c r="U74" s="30"/>
    </row>
    <row r="75" spans="1:22" ht="13.5" thickBot="1" x14ac:dyDescent="0.25">
      <c r="A75" s="30"/>
      <c r="B75" s="351">
        <v>20</v>
      </c>
      <c r="C75" s="81">
        <v>12</v>
      </c>
      <c r="D75" s="81">
        <v>200</v>
      </c>
      <c r="E75" s="180"/>
      <c r="F75" s="190"/>
      <c r="G75" s="116"/>
      <c r="H75" s="30"/>
      <c r="I75" s="30"/>
      <c r="J75" s="1397"/>
      <c r="K75" s="356" t="s">
        <v>2</v>
      </c>
      <c r="L75" s="388" t="s">
        <v>3</v>
      </c>
      <c r="M75" s="356" t="s">
        <v>2</v>
      </c>
      <c r="N75" s="357" t="s">
        <v>3</v>
      </c>
      <c r="O75" s="30"/>
      <c r="P75" s="1397"/>
      <c r="Q75" s="356" t="s">
        <v>2</v>
      </c>
      <c r="R75" s="388" t="s">
        <v>3</v>
      </c>
      <c r="S75" s="356" t="s">
        <v>2</v>
      </c>
      <c r="T75" s="357" t="s">
        <v>3</v>
      </c>
      <c r="U75" s="30"/>
    </row>
    <row r="76" spans="1:22" x14ac:dyDescent="0.2">
      <c r="A76" s="30"/>
      <c r="B76" s="30"/>
      <c r="C76" s="30"/>
      <c r="D76" s="30"/>
      <c r="E76" s="180" t="s">
        <v>40</v>
      </c>
      <c r="F76" s="190" t="s">
        <v>98</v>
      </c>
      <c r="G76" s="116">
        <v>1</v>
      </c>
      <c r="H76" s="30"/>
      <c r="I76" s="30"/>
      <c r="J76" s="395"/>
      <c r="K76" s="359"/>
      <c r="L76" s="389"/>
      <c r="M76" s="392" t="str">
        <f>IF(K76=0,"(Delete row)",LOOKUP(J76,$J$60:$J$67,$M$60:$M$67)+(K76-LOOKUP(J76,$J$60:$J$67,$K$60:$K$67))/0.3048)</f>
        <v>(Delete row)</v>
      </c>
      <c r="N76" s="361" t="str">
        <f>IF(L76=0,"(Delete row)",LOOKUP(J76,$J$60:$J$67,$M$60:$M$67)+(L76-LOOKUP(J76,$J$60:$J$67,$K$60:$K$67))/0.3048)</f>
        <v>(Delete row)</v>
      </c>
      <c r="O76" s="386"/>
      <c r="P76" s="395"/>
      <c r="Q76" s="359"/>
      <c r="R76" s="389"/>
      <c r="S76" s="392" t="str">
        <f>IF(Q76=0,"(Delete row)",LOOKUP(P76,$P$60:$P$67,$S$60:$S$67)-(LOOKUP(P76,$P$60:$P$67,$Q$60:$Q$67)-Q76)/0.3048)</f>
        <v>(Delete row)</v>
      </c>
      <c r="T76" s="361" t="str">
        <f>IF(R76=0,"(Delete row)",LOOKUP(P76,$P$60:$P$67,$S$60:$S$67)-(LOOKUP(P76,$P$60:$P$67,$Q$60:$Q$67)-R76)/0.3048)</f>
        <v>(Delete row)</v>
      </c>
      <c r="U76" s="30"/>
    </row>
    <row r="77" spans="1:22" x14ac:dyDescent="0.2">
      <c r="A77" s="30"/>
      <c r="B77" s="30"/>
      <c r="C77" s="30"/>
      <c r="D77" s="30"/>
      <c r="E77" s="180" t="s">
        <v>41</v>
      </c>
      <c r="F77" s="190" t="s">
        <v>99</v>
      </c>
      <c r="G77" s="116">
        <v>2</v>
      </c>
      <c r="H77" s="30"/>
      <c r="I77" s="30"/>
      <c r="J77" s="396"/>
      <c r="K77" s="69"/>
      <c r="L77" s="390"/>
      <c r="M77" s="393" t="str">
        <f t="shared" ref="M77:M98" si="10">IF(K77=0,"(Delete row)",LOOKUP(J77,$J$60:$J$67,$M$60:$M$67)+(K77-LOOKUP(J77,$J$60:$J$67,$K$60:$K$67))/0.3048)</f>
        <v>(Delete row)</v>
      </c>
      <c r="N77" s="362" t="str">
        <f t="shared" ref="N77:N98" si="11">IF(L77=0,"(Delete row)",LOOKUP(J77,$J$60:$J$67,$M$60:$M$67)+(L77-LOOKUP(J77,$J$60:$J$67,$K$60:$K$67))/0.3048)</f>
        <v>(Delete row)</v>
      </c>
      <c r="O77" s="8"/>
      <c r="P77" s="396"/>
      <c r="Q77" s="69"/>
      <c r="R77" s="390"/>
      <c r="S77" s="393" t="str">
        <f t="shared" ref="S77:S98" si="12">IF(Q77=0,"(Delete row)",LOOKUP(P77,$P$60:$P$67,$S$60:$S$67)-(LOOKUP(P77,$P$60:$P$67,$Q$60:$Q$67)-Q77)/0.3048)</f>
        <v>(Delete row)</v>
      </c>
      <c r="T77" s="362" t="str">
        <f t="shared" ref="T77:T98" si="13">IF(R77=0,"(Delete row)",LOOKUP(P77,$P$60:$P$67,$S$60:$S$67)-(LOOKUP(P77,$P$60:$P$67,$Q$60:$Q$67)-R77)/0.3048)</f>
        <v>(Delete row)</v>
      </c>
      <c r="U77" s="30"/>
    </row>
    <row r="78" spans="1:22" x14ac:dyDescent="0.2">
      <c r="A78" s="30"/>
      <c r="D78" s="30"/>
      <c r="E78" s="220" t="s">
        <v>42</v>
      </c>
      <c r="F78" s="30"/>
      <c r="G78" s="116">
        <v>3</v>
      </c>
      <c r="H78" s="30"/>
      <c r="I78" s="30"/>
      <c r="J78" s="397"/>
      <c r="K78" s="69"/>
      <c r="L78" s="390"/>
      <c r="M78" s="393" t="str">
        <f t="shared" si="10"/>
        <v>(Delete row)</v>
      </c>
      <c r="N78" s="362" t="str">
        <f t="shared" si="11"/>
        <v>(Delete row)</v>
      </c>
      <c r="O78" s="30"/>
      <c r="P78" s="397"/>
      <c r="Q78" s="69"/>
      <c r="R78" s="390"/>
      <c r="S78" s="393" t="str">
        <f t="shared" si="12"/>
        <v>(Delete row)</v>
      </c>
      <c r="T78" s="362" t="str">
        <f t="shared" si="13"/>
        <v>(Delete row)</v>
      </c>
      <c r="U78" s="30"/>
    </row>
    <row r="79" spans="1:22" x14ac:dyDescent="0.2">
      <c r="A79" s="30"/>
      <c r="D79" s="30"/>
      <c r="E79" s="220" t="s">
        <v>43</v>
      </c>
      <c r="F79" s="30"/>
      <c r="G79" s="116">
        <v>4</v>
      </c>
      <c r="H79" s="30"/>
      <c r="I79" s="30"/>
      <c r="J79" s="397"/>
      <c r="K79" s="69"/>
      <c r="L79" s="390"/>
      <c r="M79" s="393" t="str">
        <f t="shared" si="10"/>
        <v>(Delete row)</v>
      </c>
      <c r="N79" s="362" t="str">
        <f t="shared" si="11"/>
        <v>(Delete row)</v>
      </c>
      <c r="O79" s="30"/>
      <c r="P79" s="397"/>
      <c r="Q79" s="69"/>
      <c r="R79" s="390"/>
      <c r="S79" s="393" t="str">
        <f t="shared" si="12"/>
        <v>(Delete row)</v>
      </c>
      <c r="T79" s="362" t="str">
        <f t="shared" si="13"/>
        <v>(Delete row)</v>
      </c>
      <c r="U79" s="30"/>
    </row>
    <row r="80" spans="1:22" x14ac:dyDescent="0.2">
      <c r="A80" s="30"/>
      <c r="B80" s="30"/>
      <c r="C80" s="30"/>
      <c r="D80" s="30"/>
      <c r="E80" s="30"/>
      <c r="F80" s="30"/>
      <c r="G80" s="116">
        <v>5</v>
      </c>
      <c r="H80" s="30"/>
      <c r="I80" s="30"/>
      <c r="J80" s="397"/>
      <c r="K80" s="69"/>
      <c r="L80" s="390"/>
      <c r="M80" s="393" t="str">
        <f t="shared" si="10"/>
        <v>(Delete row)</v>
      </c>
      <c r="N80" s="362" t="str">
        <f t="shared" si="11"/>
        <v>(Delete row)</v>
      </c>
      <c r="O80" s="30"/>
      <c r="P80" s="397"/>
      <c r="Q80" s="69"/>
      <c r="R80" s="390"/>
      <c r="S80" s="393" t="str">
        <f t="shared" si="12"/>
        <v>(Delete row)</v>
      </c>
      <c r="T80" s="362" t="str">
        <f t="shared" si="13"/>
        <v>(Delete row)</v>
      </c>
      <c r="U80" s="30"/>
    </row>
    <row r="81" spans="1:21" x14ac:dyDescent="0.2">
      <c r="A81" s="30"/>
      <c r="F81" s="30"/>
      <c r="G81" s="116">
        <v>6</v>
      </c>
      <c r="H81" s="30"/>
      <c r="I81" s="30"/>
      <c r="J81" s="397"/>
      <c r="K81" s="69"/>
      <c r="L81" s="390"/>
      <c r="M81" s="393" t="str">
        <f t="shared" si="10"/>
        <v>(Delete row)</v>
      </c>
      <c r="N81" s="362" t="str">
        <f t="shared" si="11"/>
        <v>(Delete row)</v>
      </c>
      <c r="O81" s="30"/>
      <c r="P81" s="397"/>
      <c r="Q81" s="69"/>
      <c r="R81" s="390"/>
      <c r="S81" s="393" t="str">
        <f t="shared" si="12"/>
        <v>(Delete row)</v>
      </c>
      <c r="T81" s="362" t="str">
        <f t="shared" si="13"/>
        <v>(Delete row)</v>
      </c>
      <c r="U81" s="30"/>
    </row>
    <row r="82" spans="1:21" x14ac:dyDescent="0.2">
      <c r="A82" s="30"/>
      <c r="F82" s="30"/>
      <c r="G82" s="116">
        <v>7</v>
      </c>
      <c r="H82" s="30"/>
      <c r="I82" s="30"/>
      <c r="J82" s="397"/>
      <c r="K82" s="69"/>
      <c r="L82" s="390"/>
      <c r="M82" s="393" t="str">
        <f t="shared" si="10"/>
        <v>(Delete row)</v>
      </c>
      <c r="N82" s="362" t="str">
        <f t="shared" si="11"/>
        <v>(Delete row)</v>
      </c>
      <c r="O82" s="30"/>
      <c r="P82" s="397"/>
      <c r="Q82" s="69"/>
      <c r="R82" s="390"/>
      <c r="S82" s="393" t="str">
        <f t="shared" si="12"/>
        <v>(Delete row)</v>
      </c>
      <c r="T82" s="362" t="str">
        <f t="shared" si="13"/>
        <v>(Delete row)</v>
      </c>
      <c r="U82" s="30"/>
    </row>
    <row r="83" spans="1:21" x14ac:dyDescent="0.2">
      <c r="A83" s="30"/>
      <c r="F83" s="30"/>
      <c r="G83" s="116">
        <v>8</v>
      </c>
      <c r="H83" s="30"/>
      <c r="I83" s="30"/>
      <c r="J83" s="397"/>
      <c r="K83" s="69"/>
      <c r="L83" s="390"/>
      <c r="M83" s="393" t="str">
        <f t="shared" si="10"/>
        <v>(Delete row)</v>
      </c>
      <c r="N83" s="362" t="str">
        <f t="shared" si="11"/>
        <v>(Delete row)</v>
      </c>
      <c r="O83" s="30"/>
      <c r="P83" s="397"/>
      <c r="Q83" s="69"/>
      <c r="R83" s="390"/>
      <c r="S83" s="393" t="str">
        <f t="shared" si="12"/>
        <v>(Delete row)</v>
      </c>
      <c r="T83" s="362" t="str">
        <f t="shared" si="13"/>
        <v>(Delete row)</v>
      </c>
      <c r="U83" s="30"/>
    </row>
    <row r="84" spans="1:21" x14ac:dyDescent="0.2">
      <c r="A84" s="30"/>
      <c r="B84" s="30"/>
      <c r="C84" s="30"/>
      <c r="D84" s="30"/>
      <c r="E84" s="30"/>
      <c r="F84" s="30"/>
      <c r="G84" s="30"/>
      <c r="H84" s="30"/>
      <c r="I84" s="30"/>
      <c r="J84" s="397"/>
      <c r="K84" s="69"/>
      <c r="L84" s="390"/>
      <c r="M84" s="393" t="str">
        <f t="shared" si="10"/>
        <v>(Delete row)</v>
      </c>
      <c r="N84" s="362" t="str">
        <f t="shared" si="11"/>
        <v>(Delete row)</v>
      </c>
      <c r="O84" s="30"/>
      <c r="P84" s="397"/>
      <c r="Q84" s="69"/>
      <c r="R84" s="390"/>
      <c r="S84" s="393" t="str">
        <f t="shared" si="12"/>
        <v>(Delete row)</v>
      </c>
      <c r="T84" s="362" t="str">
        <f t="shared" si="13"/>
        <v>(Delete row)</v>
      </c>
      <c r="U84" s="30"/>
    </row>
    <row r="85" spans="1:21" x14ac:dyDescent="0.2">
      <c r="A85" s="30"/>
      <c r="B85" s="30"/>
      <c r="C85" s="30"/>
      <c r="D85" s="30"/>
      <c r="E85" s="30"/>
      <c r="F85" s="30"/>
      <c r="G85" s="30"/>
      <c r="H85" s="30"/>
      <c r="I85" s="30"/>
      <c r="J85" s="397"/>
      <c r="K85" s="69"/>
      <c r="L85" s="390"/>
      <c r="M85" s="393" t="str">
        <f t="shared" si="10"/>
        <v>(Delete row)</v>
      </c>
      <c r="N85" s="362" t="str">
        <f t="shared" si="11"/>
        <v>(Delete row)</v>
      </c>
      <c r="O85" s="30"/>
      <c r="P85" s="397"/>
      <c r="Q85" s="69"/>
      <c r="R85" s="390"/>
      <c r="S85" s="393" t="str">
        <f t="shared" si="12"/>
        <v>(Delete row)</v>
      </c>
      <c r="T85" s="362" t="str">
        <f t="shared" si="13"/>
        <v>(Delete row)</v>
      </c>
      <c r="U85" s="30"/>
    </row>
    <row r="86" spans="1:21" x14ac:dyDescent="0.2">
      <c r="A86" s="30"/>
      <c r="B86" s="30"/>
      <c r="C86" s="30"/>
      <c r="D86" s="30"/>
      <c r="E86" s="30"/>
      <c r="F86" s="30"/>
      <c r="G86" s="30"/>
      <c r="H86" s="30"/>
      <c r="I86" s="30"/>
      <c r="J86" s="397"/>
      <c r="K86" s="69"/>
      <c r="L86" s="390"/>
      <c r="M86" s="393" t="str">
        <f t="shared" si="10"/>
        <v>(Delete row)</v>
      </c>
      <c r="N86" s="362" t="str">
        <f t="shared" si="11"/>
        <v>(Delete row)</v>
      </c>
      <c r="O86" s="30"/>
      <c r="P86" s="397"/>
      <c r="Q86" s="69"/>
      <c r="R86" s="390"/>
      <c r="S86" s="393" t="str">
        <f t="shared" si="12"/>
        <v>(Delete row)</v>
      </c>
      <c r="T86" s="362" t="str">
        <f t="shared" si="13"/>
        <v>(Delete row)</v>
      </c>
      <c r="U86" s="30"/>
    </row>
    <row r="87" spans="1:21" x14ac:dyDescent="0.2">
      <c r="A87" s="30"/>
      <c r="B87" s="30"/>
      <c r="C87" s="30"/>
      <c r="D87" s="30"/>
      <c r="E87" s="30"/>
      <c r="F87" s="30"/>
      <c r="G87" s="30"/>
      <c r="H87" s="30"/>
      <c r="I87" s="30"/>
      <c r="J87" s="397"/>
      <c r="K87" s="69"/>
      <c r="L87" s="390"/>
      <c r="M87" s="393" t="str">
        <f t="shared" si="10"/>
        <v>(Delete row)</v>
      </c>
      <c r="N87" s="362" t="str">
        <f t="shared" si="11"/>
        <v>(Delete row)</v>
      </c>
      <c r="O87" s="30"/>
      <c r="P87" s="397"/>
      <c r="Q87" s="69"/>
      <c r="R87" s="390"/>
      <c r="S87" s="393" t="str">
        <f t="shared" si="12"/>
        <v>(Delete row)</v>
      </c>
      <c r="T87" s="362" t="str">
        <f t="shared" si="13"/>
        <v>(Delete row)</v>
      </c>
      <c r="U87" s="30"/>
    </row>
    <row r="88" spans="1:21" x14ac:dyDescent="0.2">
      <c r="A88" s="30"/>
      <c r="B88" s="30"/>
      <c r="C88" s="30"/>
      <c r="D88" s="30"/>
      <c r="E88" s="30"/>
      <c r="F88" s="30"/>
      <c r="G88" s="30"/>
      <c r="H88" s="30"/>
      <c r="I88" s="30"/>
      <c r="J88" s="397"/>
      <c r="K88" s="69"/>
      <c r="L88" s="390"/>
      <c r="M88" s="393" t="str">
        <f t="shared" si="10"/>
        <v>(Delete row)</v>
      </c>
      <c r="N88" s="362" t="str">
        <f t="shared" si="11"/>
        <v>(Delete row)</v>
      </c>
      <c r="O88" s="30"/>
      <c r="P88" s="397"/>
      <c r="Q88" s="69"/>
      <c r="R88" s="390"/>
      <c r="S88" s="393" t="str">
        <f t="shared" si="12"/>
        <v>(Delete row)</v>
      </c>
      <c r="T88" s="362" t="str">
        <f t="shared" si="13"/>
        <v>(Delete row)</v>
      </c>
      <c r="U88" s="30"/>
    </row>
    <row r="89" spans="1:21" x14ac:dyDescent="0.2">
      <c r="A89" s="30"/>
      <c r="B89" s="30"/>
      <c r="C89" s="30"/>
      <c r="D89" s="30"/>
      <c r="E89" s="30"/>
      <c r="F89" s="30"/>
      <c r="G89" s="30"/>
      <c r="H89" s="30"/>
      <c r="I89" s="30"/>
      <c r="J89" s="397"/>
      <c r="K89" s="69"/>
      <c r="L89" s="390"/>
      <c r="M89" s="393" t="str">
        <f t="shared" si="10"/>
        <v>(Delete row)</v>
      </c>
      <c r="N89" s="362" t="str">
        <f t="shared" si="11"/>
        <v>(Delete row)</v>
      </c>
      <c r="O89" s="30"/>
      <c r="P89" s="397"/>
      <c r="Q89" s="69"/>
      <c r="R89" s="390"/>
      <c r="S89" s="393" t="str">
        <f t="shared" si="12"/>
        <v>(Delete row)</v>
      </c>
      <c r="T89" s="362" t="str">
        <f t="shared" si="13"/>
        <v>(Delete row)</v>
      </c>
      <c r="U89" s="30"/>
    </row>
    <row r="90" spans="1:21" x14ac:dyDescent="0.2">
      <c r="A90" s="30"/>
      <c r="B90" s="30"/>
      <c r="C90" s="30"/>
      <c r="D90" s="30"/>
      <c r="E90" s="30"/>
      <c r="F90" s="30"/>
      <c r="G90" s="30"/>
      <c r="H90" s="30"/>
      <c r="I90" s="30"/>
      <c r="J90" s="397"/>
      <c r="K90" s="69"/>
      <c r="L90" s="390"/>
      <c r="M90" s="393" t="str">
        <f t="shared" si="10"/>
        <v>(Delete row)</v>
      </c>
      <c r="N90" s="362" t="str">
        <f t="shared" si="11"/>
        <v>(Delete row)</v>
      </c>
      <c r="O90" s="30"/>
      <c r="P90" s="397"/>
      <c r="Q90" s="69"/>
      <c r="R90" s="390"/>
      <c r="S90" s="393" t="str">
        <f t="shared" si="12"/>
        <v>(Delete row)</v>
      </c>
      <c r="T90" s="362" t="str">
        <f t="shared" si="13"/>
        <v>(Delete row)</v>
      </c>
      <c r="U90" s="30"/>
    </row>
    <row r="91" spans="1:21" x14ac:dyDescent="0.2">
      <c r="A91" s="30"/>
      <c r="B91" s="30"/>
      <c r="C91" s="30"/>
      <c r="D91" s="30"/>
      <c r="E91" s="30"/>
      <c r="F91" s="30"/>
      <c r="G91" s="30"/>
      <c r="H91" s="30"/>
      <c r="I91" s="30"/>
      <c r="J91" s="397"/>
      <c r="K91" s="69"/>
      <c r="L91" s="390"/>
      <c r="M91" s="393" t="str">
        <f t="shared" si="10"/>
        <v>(Delete row)</v>
      </c>
      <c r="N91" s="362" t="str">
        <f t="shared" si="11"/>
        <v>(Delete row)</v>
      </c>
      <c r="O91" s="30"/>
      <c r="P91" s="397"/>
      <c r="Q91" s="69"/>
      <c r="R91" s="390"/>
      <c r="S91" s="393" t="str">
        <f t="shared" si="12"/>
        <v>(Delete row)</v>
      </c>
      <c r="T91" s="362" t="str">
        <f t="shared" si="13"/>
        <v>(Delete row)</v>
      </c>
      <c r="U91" s="30"/>
    </row>
    <row r="92" spans="1:21" x14ac:dyDescent="0.2">
      <c r="A92" s="30"/>
      <c r="B92" s="30"/>
      <c r="C92" s="30"/>
      <c r="D92" s="30"/>
      <c r="E92" s="30"/>
      <c r="F92" s="30"/>
      <c r="G92" s="30"/>
      <c r="H92" s="30"/>
      <c r="I92" s="30"/>
      <c r="J92" s="397"/>
      <c r="K92" s="69"/>
      <c r="L92" s="390"/>
      <c r="M92" s="393" t="str">
        <f t="shared" si="10"/>
        <v>(Delete row)</v>
      </c>
      <c r="N92" s="362" t="str">
        <f t="shared" si="11"/>
        <v>(Delete row)</v>
      </c>
      <c r="O92" s="30"/>
      <c r="P92" s="397"/>
      <c r="Q92" s="69"/>
      <c r="R92" s="390"/>
      <c r="S92" s="393" t="str">
        <f t="shared" si="12"/>
        <v>(Delete row)</v>
      </c>
      <c r="T92" s="362" t="str">
        <f t="shared" si="13"/>
        <v>(Delete row)</v>
      </c>
      <c r="U92" s="30"/>
    </row>
    <row r="93" spans="1:21" x14ac:dyDescent="0.2">
      <c r="A93" s="30"/>
      <c r="B93" s="30"/>
      <c r="C93" s="30"/>
      <c r="D93" s="30"/>
      <c r="E93" s="30"/>
      <c r="F93" s="30"/>
      <c r="G93" s="30"/>
      <c r="H93" s="30"/>
      <c r="I93" s="30"/>
      <c r="J93" s="397"/>
      <c r="K93" s="69"/>
      <c r="L93" s="390"/>
      <c r="M93" s="393" t="str">
        <f t="shared" si="10"/>
        <v>(Delete row)</v>
      </c>
      <c r="N93" s="362" t="str">
        <f t="shared" si="11"/>
        <v>(Delete row)</v>
      </c>
      <c r="O93" s="30"/>
      <c r="P93" s="397"/>
      <c r="Q93" s="69"/>
      <c r="R93" s="390"/>
      <c r="S93" s="393" t="str">
        <f t="shared" si="12"/>
        <v>(Delete row)</v>
      </c>
      <c r="T93" s="362" t="str">
        <f t="shared" si="13"/>
        <v>(Delete row)</v>
      </c>
      <c r="U93" s="30"/>
    </row>
    <row r="94" spans="1:21" x14ac:dyDescent="0.2">
      <c r="A94" s="30"/>
      <c r="B94" s="30"/>
      <c r="C94" s="30"/>
      <c r="D94" s="30"/>
      <c r="E94" s="30"/>
      <c r="F94" s="30"/>
      <c r="G94" s="30"/>
      <c r="H94" s="30"/>
      <c r="I94" s="30"/>
      <c r="J94" s="397"/>
      <c r="K94" s="69"/>
      <c r="L94" s="390"/>
      <c r="M94" s="393" t="str">
        <f t="shared" si="10"/>
        <v>(Delete row)</v>
      </c>
      <c r="N94" s="362" t="str">
        <f t="shared" si="11"/>
        <v>(Delete row)</v>
      </c>
      <c r="O94" s="30"/>
      <c r="P94" s="397"/>
      <c r="Q94" s="69"/>
      <c r="R94" s="390"/>
      <c r="S94" s="393" t="str">
        <f t="shared" si="12"/>
        <v>(Delete row)</v>
      </c>
      <c r="T94" s="362" t="str">
        <f t="shared" si="13"/>
        <v>(Delete row)</v>
      </c>
      <c r="U94" s="30"/>
    </row>
    <row r="95" spans="1:21" x14ac:dyDescent="0.2">
      <c r="A95" s="30"/>
      <c r="B95" s="30"/>
      <c r="C95" s="30"/>
      <c r="D95" s="30"/>
      <c r="E95" s="30"/>
      <c r="F95" s="30"/>
      <c r="G95" s="30"/>
      <c r="H95" s="30"/>
      <c r="I95" s="30"/>
      <c r="J95" s="397"/>
      <c r="K95" s="69"/>
      <c r="L95" s="390"/>
      <c r="M95" s="393" t="str">
        <f t="shared" si="10"/>
        <v>(Delete row)</v>
      </c>
      <c r="N95" s="362" t="str">
        <f t="shared" si="11"/>
        <v>(Delete row)</v>
      </c>
      <c r="O95" s="30"/>
      <c r="P95" s="397"/>
      <c r="Q95" s="69"/>
      <c r="R95" s="390"/>
      <c r="S95" s="393" t="str">
        <f t="shared" si="12"/>
        <v>(Delete row)</v>
      </c>
      <c r="T95" s="362" t="str">
        <f t="shared" si="13"/>
        <v>(Delete row)</v>
      </c>
      <c r="U95" s="30"/>
    </row>
    <row r="96" spans="1:21" x14ac:dyDescent="0.2">
      <c r="A96" s="30"/>
      <c r="B96" s="30"/>
      <c r="C96" s="30"/>
      <c r="D96" s="30"/>
      <c r="E96" s="30"/>
      <c r="F96" s="30"/>
      <c r="G96" s="30"/>
      <c r="H96" s="30"/>
      <c r="I96" s="30"/>
      <c r="J96" s="397"/>
      <c r="K96" s="69"/>
      <c r="L96" s="390"/>
      <c r="M96" s="393" t="str">
        <f t="shared" si="10"/>
        <v>(Delete row)</v>
      </c>
      <c r="N96" s="362" t="str">
        <f t="shared" si="11"/>
        <v>(Delete row)</v>
      </c>
      <c r="O96" s="30"/>
      <c r="P96" s="397"/>
      <c r="Q96" s="69"/>
      <c r="R96" s="390"/>
      <c r="S96" s="393" t="str">
        <f t="shared" si="12"/>
        <v>(Delete row)</v>
      </c>
      <c r="T96" s="362" t="str">
        <f t="shared" si="13"/>
        <v>(Delete row)</v>
      </c>
      <c r="U96" s="30"/>
    </row>
    <row r="97" spans="1:21" x14ac:dyDescent="0.2">
      <c r="A97" s="30"/>
      <c r="B97" s="30"/>
      <c r="C97" s="30"/>
      <c r="D97" s="30"/>
      <c r="E97" s="30"/>
      <c r="F97" s="30"/>
      <c r="G97" s="30"/>
      <c r="H97" s="30"/>
      <c r="I97" s="30"/>
      <c r="J97" s="397"/>
      <c r="K97" s="69"/>
      <c r="L97" s="390"/>
      <c r="M97" s="393" t="str">
        <f t="shared" si="10"/>
        <v>(Delete row)</v>
      </c>
      <c r="N97" s="362" t="str">
        <f t="shared" si="11"/>
        <v>(Delete row)</v>
      </c>
      <c r="O97" s="30"/>
      <c r="P97" s="397"/>
      <c r="Q97" s="69"/>
      <c r="R97" s="390"/>
      <c r="S97" s="393" t="str">
        <f t="shared" si="12"/>
        <v>(Delete row)</v>
      </c>
      <c r="T97" s="362" t="str">
        <f t="shared" si="13"/>
        <v>(Delete row)</v>
      </c>
      <c r="U97" s="30"/>
    </row>
    <row r="98" spans="1:21" ht="13.5" thickBot="1" x14ac:dyDescent="0.25">
      <c r="A98" s="30"/>
      <c r="B98" s="30"/>
      <c r="C98" s="30"/>
      <c r="D98" s="30"/>
      <c r="E98" s="30"/>
      <c r="F98" s="30"/>
      <c r="G98" s="30"/>
      <c r="H98" s="30"/>
      <c r="I98" s="30"/>
      <c r="J98" s="398"/>
      <c r="K98" s="360"/>
      <c r="L98" s="391"/>
      <c r="M98" s="394" t="str">
        <f t="shared" si="10"/>
        <v>(Delete row)</v>
      </c>
      <c r="N98" s="363" t="str">
        <f t="shared" si="11"/>
        <v>(Delete row)</v>
      </c>
      <c r="O98" s="30"/>
      <c r="P98" s="398"/>
      <c r="Q98" s="360"/>
      <c r="R98" s="391"/>
      <c r="S98" s="394" t="str">
        <f t="shared" si="12"/>
        <v>(Delete row)</v>
      </c>
      <c r="T98" s="363" t="str">
        <f t="shared" si="13"/>
        <v>(Delete row)</v>
      </c>
      <c r="U98" s="30"/>
    </row>
    <row r="99" spans="1:21" x14ac:dyDescent="0.2">
      <c r="A99" s="30"/>
      <c r="B99" s="30"/>
      <c r="C99" s="30"/>
      <c r="D99" s="30"/>
      <c r="E99" s="30"/>
      <c r="F99" s="30"/>
      <c r="G99" s="30"/>
      <c r="H99" s="30"/>
      <c r="I99" s="30"/>
      <c r="J99" s="30"/>
      <c r="K99" s="30"/>
      <c r="L99" s="30"/>
      <c r="M99" s="30"/>
      <c r="N99" s="30"/>
      <c r="O99" s="30"/>
      <c r="P99" s="30"/>
      <c r="Q99" s="30"/>
      <c r="R99" s="30"/>
      <c r="S99" s="30"/>
      <c r="T99" s="30"/>
      <c r="U99" s="30"/>
    </row>
    <row r="100" spans="1:21" x14ac:dyDescent="0.2">
      <c r="A100" s="30"/>
      <c r="B100" s="30"/>
      <c r="C100" s="30"/>
      <c r="D100" s="30"/>
      <c r="E100" s="30"/>
      <c r="F100" s="30"/>
      <c r="G100" s="30"/>
      <c r="H100" s="30"/>
      <c r="I100" s="30"/>
      <c r="J100" s="30"/>
      <c r="K100" s="30"/>
      <c r="L100" s="30"/>
      <c r="M100" s="30"/>
      <c r="N100" s="30"/>
      <c r="O100" s="30"/>
      <c r="P100" s="30"/>
      <c r="Q100" s="30"/>
      <c r="R100" s="30"/>
      <c r="S100" s="30"/>
      <c r="T100" s="30"/>
      <c r="U100" s="30"/>
    </row>
    <row r="101" spans="1:21" x14ac:dyDescent="0.2">
      <c r="A101" s="30"/>
      <c r="B101" s="30"/>
      <c r="C101" s="30"/>
      <c r="D101" s="30"/>
      <c r="E101" s="30"/>
      <c r="F101" s="30"/>
      <c r="G101" s="30"/>
      <c r="H101" s="30"/>
      <c r="I101" s="30"/>
      <c r="J101" s="30"/>
      <c r="K101" s="30"/>
      <c r="L101" s="30"/>
      <c r="M101" s="30"/>
      <c r="N101" s="30"/>
      <c r="O101" s="30"/>
      <c r="P101" s="30"/>
      <c r="Q101" s="30"/>
      <c r="R101" s="30"/>
      <c r="S101" s="30"/>
      <c r="T101" s="30"/>
      <c r="U101" s="30"/>
    </row>
    <row r="102" spans="1:21" x14ac:dyDescent="0.2">
      <c r="A102" s="30"/>
      <c r="B102" s="30"/>
      <c r="C102" s="30"/>
      <c r="D102" s="30"/>
      <c r="E102" s="30"/>
      <c r="F102" s="30"/>
      <c r="G102" s="30"/>
      <c r="H102" s="30"/>
      <c r="I102" s="30"/>
      <c r="J102" s="30"/>
      <c r="K102" s="30"/>
      <c r="L102" s="30"/>
      <c r="M102" s="30"/>
      <c r="N102" s="30"/>
      <c r="O102" s="30"/>
      <c r="P102" s="30"/>
      <c r="Q102" s="30"/>
      <c r="R102" s="30"/>
      <c r="S102" s="30"/>
      <c r="T102" s="30"/>
      <c r="U102" s="30"/>
    </row>
    <row r="103" spans="1:21" x14ac:dyDescent="0.2">
      <c r="A103" s="30"/>
      <c r="B103" s="30"/>
      <c r="C103" s="30"/>
      <c r="D103" s="30"/>
      <c r="E103" s="30"/>
      <c r="F103" s="30"/>
      <c r="G103" s="30"/>
      <c r="H103" s="30"/>
      <c r="I103" s="30"/>
      <c r="J103" s="30"/>
      <c r="K103" s="30"/>
      <c r="L103" s="30"/>
      <c r="M103" s="30"/>
      <c r="N103" s="30"/>
      <c r="O103" s="30"/>
      <c r="P103" s="30"/>
      <c r="Q103" s="30"/>
      <c r="R103" s="30"/>
      <c r="S103" s="30"/>
      <c r="T103" s="30"/>
      <c r="U103" s="30"/>
    </row>
    <row r="104" spans="1:21" x14ac:dyDescent="0.2">
      <c r="A104" s="30"/>
      <c r="B104" s="30"/>
      <c r="C104" s="30"/>
      <c r="D104" s="30"/>
      <c r="E104" s="30"/>
      <c r="F104" s="30"/>
      <c r="G104" s="30"/>
      <c r="H104" s="30"/>
      <c r="I104" s="30"/>
      <c r="J104" s="30"/>
      <c r="K104" s="30"/>
      <c r="L104" s="30"/>
      <c r="M104" s="30"/>
      <c r="N104" s="30"/>
      <c r="O104" s="30"/>
      <c r="P104" s="30"/>
      <c r="Q104" s="30"/>
      <c r="R104" s="30"/>
      <c r="S104" s="30"/>
      <c r="T104" s="30"/>
      <c r="U104" s="30"/>
    </row>
    <row r="105" spans="1:21" x14ac:dyDescent="0.2">
      <c r="A105" s="30"/>
      <c r="B105" s="30"/>
      <c r="C105" s="30"/>
      <c r="D105" s="30"/>
      <c r="E105" s="30"/>
      <c r="F105" s="30"/>
      <c r="G105" s="30"/>
      <c r="H105" s="30"/>
      <c r="I105" s="30"/>
      <c r="J105" s="30"/>
      <c r="K105" s="30"/>
      <c r="L105" s="30"/>
      <c r="M105" s="30"/>
      <c r="N105" s="30"/>
      <c r="O105" s="30"/>
      <c r="P105" s="30"/>
      <c r="Q105" s="30"/>
      <c r="R105" s="30"/>
      <c r="S105" s="30"/>
      <c r="T105" s="30"/>
      <c r="U105" s="30"/>
    </row>
    <row r="106" spans="1:21" x14ac:dyDescent="0.2">
      <c r="A106" s="30"/>
      <c r="B106" s="30"/>
      <c r="C106" s="30"/>
      <c r="D106" s="30"/>
      <c r="E106" s="30"/>
      <c r="F106" s="30"/>
      <c r="G106" s="30"/>
      <c r="H106" s="30"/>
      <c r="I106" s="30"/>
      <c r="J106" s="30"/>
      <c r="K106" s="30"/>
      <c r="L106" s="30"/>
      <c r="M106" s="30"/>
      <c r="N106" s="30"/>
      <c r="O106" s="30"/>
      <c r="P106" s="30"/>
      <c r="Q106" s="30"/>
      <c r="R106" s="30"/>
      <c r="S106" s="30"/>
      <c r="T106" s="30"/>
      <c r="U106" s="30"/>
    </row>
    <row r="107" spans="1:21" x14ac:dyDescent="0.2">
      <c r="A107" s="30"/>
      <c r="B107" s="30"/>
      <c r="C107" s="30"/>
      <c r="D107" s="30"/>
      <c r="E107" s="30"/>
      <c r="F107" s="30"/>
      <c r="G107" s="30"/>
      <c r="H107" s="30"/>
      <c r="I107" s="30"/>
      <c r="J107" s="30"/>
      <c r="K107" s="30"/>
      <c r="L107" s="30"/>
      <c r="M107" s="30"/>
      <c r="N107" s="30"/>
      <c r="O107" s="30"/>
      <c r="P107" s="30"/>
      <c r="Q107" s="30"/>
      <c r="R107" s="30"/>
      <c r="S107" s="30"/>
      <c r="T107" s="30"/>
      <c r="U107" s="30"/>
    </row>
    <row r="108" spans="1:21" x14ac:dyDescent="0.2">
      <c r="A108" s="30"/>
      <c r="B108" s="30"/>
      <c r="C108" s="30"/>
      <c r="D108" s="30"/>
      <c r="E108" s="30"/>
      <c r="F108" s="30"/>
      <c r="G108" s="30"/>
      <c r="H108" s="30"/>
      <c r="I108" s="30"/>
      <c r="J108" s="30"/>
      <c r="K108" s="30"/>
      <c r="L108" s="30"/>
      <c r="M108" s="30"/>
      <c r="N108" s="30"/>
      <c r="O108" s="30"/>
      <c r="P108" s="30"/>
      <c r="Q108" s="30"/>
      <c r="R108" s="30"/>
      <c r="S108" s="30"/>
      <c r="T108" s="30"/>
      <c r="U108" s="30"/>
    </row>
    <row r="109" spans="1:21" x14ac:dyDescent="0.2">
      <c r="A109" s="30"/>
      <c r="B109" s="30"/>
      <c r="C109" s="30"/>
      <c r="D109" s="30"/>
      <c r="E109" s="30"/>
      <c r="F109" s="30"/>
      <c r="G109" s="30"/>
      <c r="H109" s="30"/>
      <c r="I109" s="30"/>
      <c r="J109" s="30"/>
      <c r="K109" s="30"/>
      <c r="L109" s="30"/>
      <c r="M109" s="30"/>
      <c r="N109" s="30"/>
      <c r="O109" s="30"/>
      <c r="P109" s="30"/>
      <c r="Q109" s="30"/>
      <c r="R109" s="30"/>
      <c r="S109" s="30"/>
      <c r="T109" s="30"/>
      <c r="U109" s="30"/>
    </row>
    <row r="110" spans="1:21" x14ac:dyDescent="0.2">
      <c r="A110" s="30"/>
      <c r="B110" s="30"/>
      <c r="C110" s="30"/>
      <c r="D110" s="30"/>
      <c r="E110" s="30"/>
      <c r="F110" s="30"/>
      <c r="G110" s="30"/>
      <c r="H110" s="30"/>
      <c r="I110" s="30"/>
      <c r="J110" s="30"/>
      <c r="K110" s="30"/>
      <c r="L110" s="30"/>
      <c r="M110" s="30"/>
      <c r="N110" s="30"/>
      <c r="O110" s="30"/>
      <c r="P110" s="30"/>
      <c r="Q110" s="30"/>
      <c r="R110" s="30"/>
      <c r="S110" s="30"/>
      <c r="T110" s="30"/>
      <c r="U110" s="30"/>
    </row>
    <row r="111" spans="1:21" x14ac:dyDescent="0.2">
      <c r="A111" s="30"/>
      <c r="B111" s="30"/>
      <c r="C111" s="30"/>
      <c r="D111" s="30"/>
      <c r="E111" s="30"/>
      <c r="F111" s="30"/>
      <c r="G111" s="30"/>
      <c r="H111" s="30"/>
      <c r="I111" s="30"/>
      <c r="J111" s="30"/>
      <c r="K111" s="30"/>
      <c r="L111" s="30"/>
      <c r="M111" s="30"/>
      <c r="N111" s="30"/>
      <c r="O111" s="30"/>
      <c r="P111" s="30"/>
      <c r="Q111" s="30"/>
      <c r="R111" s="30"/>
      <c r="S111" s="30"/>
      <c r="T111" s="30"/>
      <c r="U111" s="30"/>
    </row>
    <row r="112" spans="1:21" x14ac:dyDescent="0.2">
      <c r="A112" s="30"/>
      <c r="B112" s="30"/>
      <c r="C112" s="30"/>
      <c r="D112" s="30"/>
      <c r="E112" s="30"/>
      <c r="F112" s="30"/>
      <c r="G112" s="30"/>
      <c r="H112" s="30"/>
      <c r="I112" s="30"/>
      <c r="J112" s="30"/>
      <c r="K112" s="30"/>
      <c r="L112" s="30"/>
      <c r="M112" s="30"/>
      <c r="N112" s="30"/>
      <c r="O112" s="30"/>
      <c r="P112" s="30"/>
      <c r="Q112" s="30"/>
      <c r="R112" s="30"/>
      <c r="S112" s="30"/>
      <c r="T112" s="30"/>
      <c r="U112" s="30"/>
    </row>
    <row r="113" spans="1:21" x14ac:dyDescent="0.2">
      <c r="A113" s="30"/>
      <c r="B113" s="30"/>
      <c r="C113" s="30"/>
      <c r="D113" s="30"/>
      <c r="E113" s="30"/>
      <c r="F113" s="30"/>
      <c r="G113" s="30"/>
      <c r="H113" s="30"/>
      <c r="I113" s="30"/>
      <c r="J113" s="30"/>
      <c r="K113" s="30"/>
      <c r="L113" s="30"/>
      <c r="M113" s="30"/>
      <c r="N113" s="30"/>
      <c r="O113" s="30"/>
      <c r="P113" s="30"/>
      <c r="Q113" s="30"/>
      <c r="R113" s="30"/>
      <c r="S113" s="30"/>
      <c r="T113" s="30"/>
      <c r="U113" s="30"/>
    </row>
    <row r="114" spans="1:21" x14ac:dyDescent="0.2">
      <c r="A114" s="30"/>
      <c r="B114" s="30"/>
      <c r="C114" s="30"/>
      <c r="D114" s="30"/>
      <c r="E114" s="30"/>
      <c r="F114" s="30"/>
      <c r="G114" s="30"/>
      <c r="H114" s="30"/>
      <c r="I114" s="30"/>
      <c r="J114" s="30"/>
      <c r="K114" s="30"/>
      <c r="L114" s="30"/>
      <c r="M114" s="30"/>
      <c r="N114" s="30"/>
      <c r="O114" s="30"/>
      <c r="P114" s="30"/>
      <c r="Q114" s="30"/>
      <c r="R114" s="30"/>
      <c r="S114" s="30"/>
      <c r="T114" s="30"/>
      <c r="U114" s="30"/>
    </row>
    <row r="115" spans="1:21" x14ac:dyDescent="0.2">
      <c r="A115" s="30"/>
      <c r="B115" s="30"/>
      <c r="C115" s="30"/>
      <c r="D115" s="30"/>
      <c r="E115" s="30"/>
      <c r="F115" s="30"/>
      <c r="G115" s="30"/>
      <c r="H115" s="30"/>
      <c r="I115" s="30"/>
      <c r="J115" s="30"/>
      <c r="K115" s="30"/>
      <c r="L115" s="30"/>
      <c r="M115" s="30"/>
      <c r="N115" s="30"/>
      <c r="O115" s="30"/>
      <c r="P115" s="30"/>
      <c r="Q115" s="30"/>
      <c r="R115" s="30"/>
      <c r="S115" s="30"/>
      <c r="T115" s="30"/>
      <c r="U115" s="30"/>
    </row>
    <row r="116" spans="1:21" x14ac:dyDescent="0.2">
      <c r="A116" s="30"/>
      <c r="B116" s="30"/>
      <c r="C116" s="30"/>
      <c r="D116" s="30"/>
      <c r="E116" s="30"/>
      <c r="F116" s="30"/>
      <c r="G116" s="30"/>
      <c r="H116" s="30"/>
      <c r="I116" s="30"/>
      <c r="J116" s="30"/>
      <c r="K116" s="30"/>
      <c r="L116" s="30"/>
      <c r="M116" s="30"/>
      <c r="N116" s="30"/>
      <c r="O116" s="30"/>
      <c r="P116" s="30"/>
      <c r="Q116" s="30"/>
      <c r="R116" s="30"/>
      <c r="S116" s="30"/>
      <c r="T116" s="30"/>
      <c r="U116" s="30"/>
    </row>
    <row r="117" spans="1:21" x14ac:dyDescent="0.2">
      <c r="A117" s="30"/>
      <c r="B117" s="30"/>
      <c r="C117" s="30"/>
      <c r="D117" s="30"/>
      <c r="E117" s="30"/>
      <c r="F117" s="30"/>
      <c r="G117" s="30"/>
      <c r="H117" s="30"/>
      <c r="I117" s="30"/>
      <c r="J117" s="30"/>
      <c r="K117" s="30"/>
      <c r="L117" s="30"/>
      <c r="M117" s="30"/>
      <c r="N117" s="30"/>
      <c r="O117" s="30"/>
      <c r="P117" s="30"/>
      <c r="Q117" s="30"/>
      <c r="R117" s="30"/>
      <c r="S117" s="30"/>
      <c r="T117" s="30"/>
      <c r="U117" s="30"/>
    </row>
    <row r="118" spans="1:21" x14ac:dyDescent="0.2">
      <c r="A118" s="30"/>
      <c r="B118" s="30"/>
      <c r="C118" s="30"/>
      <c r="D118" s="30"/>
      <c r="E118" s="30"/>
      <c r="F118" s="30"/>
      <c r="G118" s="30"/>
      <c r="H118" s="30"/>
      <c r="I118" s="30"/>
      <c r="J118" s="30"/>
      <c r="K118" s="30"/>
      <c r="L118" s="30"/>
      <c r="M118" s="30"/>
      <c r="N118" s="30"/>
      <c r="O118" s="30"/>
      <c r="P118" s="30"/>
      <c r="Q118" s="30"/>
      <c r="R118" s="30"/>
      <c r="S118" s="30"/>
      <c r="T118" s="30"/>
      <c r="U118" s="30"/>
    </row>
    <row r="119" spans="1:21" x14ac:dyDescent="0.2">
      <c r="A119" s="30"/>
      <c r="B119" s="30"/>
      <c r="C119" s="30"/>
      <c r="D119" s="30"/>
      <c r="E119" s="30"/>
      <c r="F119" s="30"/>
      <c r="G119" s="30"/>
      <c r="H119" s="30"/>
      <c r="I119" s="30"/>
      <c r="J119" s="30"/>
      <c r="K119" s="30"/>
      <c r="L119" s="30"/>
      <c r="M119" s="30"/>
      <c r="N119" s="30"/>
      <c r="O119" s="30"/>
      <c r="P119" s="30"/>
      <c r="Q119" s="30"/>
      <c r="R119" s="30"/>
      <c r="S119" s="30"/>
      <c r="T119" s="30"/>
      <c r="U119" s="30"/>
    </row>
    <row r="120" spans="1:21" x14ac:dyDescent="0.2">
      <c r="A120" s="30"/>
      <c r="B120" s="30"/>
      <c r="C120" s="30"/>
      <c r="D120" s="30"/>
      <c r="E120" s="30"/>
      <c r="F120" s="30"/>
      <c r="G120" s="30"/>
      <c r="H120" s="30"/>
      <c r="I120" s="30"/>
      <c r="J120" s="30"/>
      <c r="K120" s="30"/>
      <c r="L120" s="30"/>
      <c r="M120" s="30"/>
      <c r="N120" s="30"/>
      <c r="O120" s="30"/>
      <c r="P120" s="30"/>
      <c r="Q120" s="30"/>
      <c r="R120" s="30"/>
      <c r="S120" s="30"/>
      <c r="T120" s="30"/>
      <c r="U120" s="30"/>
    </row>
    <row r="121" spans="1:21" x14ac:dyDescent="0.2">
      <c r="A121" s="30"/>
      <c r="B121" s="30"/>
      <c r="C121" s="30"/>
      <c r="D121" s="30"/>
      <c r="E121" s="30"/>
      <c r="F121" s="30"/>
      <c r="G121" s="30"/>
      <c r="H121" s="30"/>
      <c r="I121" s="30"/>
      <c r="J121" s="30"/>
      <c r="K121" s="30"/>
      <c r="L121" s="30"/>
      <c r="M121" s="30"/>
      <c r="N121" s="30"/>
      <c r="O121" s="30"/>
      <c r="P121" s="30"/>
      <c r="Q121" s="30"/>
      <c r="R121" s="30"/>
      <c r="S121" s="30"/>
      <c r="T121" s="30"/>
      <c r="U121" s="30"/>
    </row>
    <row r="122" spans="1:21" x14ac:dyDescent="0.2">
      <c r="A122" s="30"/>
      <c r="B122" s="30"/>
      <c r="C122" s="30"/>
      <c r="D122" s="30"/>
      <c r="E122" s="30"/>
      <c r="F122" s="30"/>
      <c r="G122" s="30"/>
      <c r="H122" s="30"/>
      <c r="I122" s="30"/>
      <c r="J122" s="30"/>
      <c r="K122" s="30"/>
      <c r="L122" s="30"/>
      <c r="M122" s="30"/>
      <c r="N122" s="30"/>
      <c r="O122" s="30"/>
      <c r="P122" s="30"/>
      <c r="Q122" s="30"/>
      <c r="R122" s="30"/>
      <c r="S122" s="30"/>
      <c r="T122" s="30"/>
      <c r="U122" s="30"/>
    </row>
    <row r="123" spans="1:21" x14ac:dyDescent="0.2">
      <c r="A123" s="30"/>
      <c r="B123" s="30"/>
      <c r="C123" s="30"/>
      <c r="D123" s="30"/>
      <c r="E123" s="30"/>
      <c r="F123" s="30"/>
      <c r="G123" s="30"/>
      <c r="H123" s="30"/>
      <c r="I123" s="30"/>
      <c r="J123" s="30"/>
      <c r="K123" s="30"/>
      <c r="L123" s="30"/>
      <c r="M123" s="30"/>
      <c r="N123" s="30"/>
      <c r="O123" s="30"/>
      <c r="P123" s="30"/>
      <c r="Q123" s="30"/>
      <c r="R123" s="30"/>
      <c r="S123" s="30"/>
      <c r="T123" s="30"/>
      <c r="U123" s="30"/>
    </row>
    <row r="124" spans="1:21" x14ac:dyDescent="0.2">
      <c r="A124" s="30"/>
      <c r="B124" s="30"/>
      <c r="C124" s="30"/>
      <c r="D124" s="30"/>
      <c r="E124" s="30"/>
      <c r="F124" s="30"/>
      <c r="G124" s="30"/>
      <c r="H124" s="30"/>
      <c r="I124" s="30"/>
      <c r="J124" s="30"/>
      <c r="K124" s="30"/>
      <c r="L124" s="30"/>
      <c r="M124" s="30"/>
      <c r="N124" s="30"/>
      <c r="O124" s="30"/>
      <c r="P124" s="30"/>
      <c r="Q124" s="30"/>
      <c r="R124" s="30"/>
      <c r="S124" s="30"/>
      <c r="T124" s="30"/>
      <c r="U124" s="30"/>
    </row>
    <row r="125" spans="1:21" x14ac:dyDescent="0.2">
      <c r="A125" s="30"/>
      <c r="B125" s="30"/>
      <c r="C125" s="30"/>
      <c r="D125" s="30"/>
      <c r="E125" s="30"/>
      <c r="F125" s="30"/>
      <c r="G125" s="30"/>
      <c r="H125" s="30"/>
      <c r="I125" s="30"/>
      <c r="J125" s="30"/>
      <c r="K125" s="30"/>
      <c r="L125" s="30"/>
      <c r="M125" s="30"/>
      <c r="N125" s="30"/>
      <c r="O125" s="30"/>
      <c r="P125" s="30"/>
      <c r="Q125" s="30"/>
      <c r="R125" s="30"/>
      <c r="S125" s="30"/>
      <c r="T125" s="30"/>
      <c r="U125" s="30"/>
    </row>
    <row r="126" spans="1:21" x14ac:dyDescent="0.2">
      <c r="A126" s="30"/>
      <c r="B126" s="30"/>
      <c r="C126" s="30"/>
      <c r="D126" s="30"/>
      <c r="E126" s="30"/>
      <c r="F126" s="30"/>
      <c r="G126" s="30"/>
      <c r="H126" s="30"/>
      <c r="I126" s="30"/>
      <c r="J126" s="30"/>
      <c r="K126" s="30"/>
      <c r="L126" s="30"/>
      <c r="M126" s="30"/>
      <c r="N126" s="30"/>
      <c r="O126" s="30"/>
      <c r="P126" s="30"/>
      <c r="Q126" s="30"/>
      <c r="R126" s="30"/>
      <c r="S126" s="30"/>
      <c r="T126" s="30"/>
      <c r="U126" s="30"/>
    </row>
    <row r="127" spans="1:21" x14ac:dyDescent="0.2">
      <c r="A127" s="30"/>
      <c r="B127" s="30"/>
      <c r="C127" s="30"/>
      <c r="D127" s="30"/>
      <c r="E127" s="30"/>
      <c r="F127" s="30"/>
      <c r="G127" s="30"/>
      <c r="H127" s="30"/>
      <c r="I127" s="30"/>
      <c r="J127" s="30"/>
      <c r="K127" s="30"/>
      <c r="L127" s="30"/>
      <c r="M127" s="30"/>
      <c r="N127" s="30"/>
      <c r="O127" s="30"/>
      <c r="P127" s="30"/>
      <c r="Q127" s="30"/>
      <c r="R127" s="30"/>
      <c r="S127" s="30"/>
      <c r="T127" s="30"/>
      <c r="U127" s="30"/>
    </row>
    <row r="128" spans="1:21" x14ac:dyDescent="0.2">
      <c r="A128" s="30"/>
      <c r="B128" s="30"/>
      <c r="C128" s="30"/>
      <c r="D128" s="30"/>
      <c r="E128" s="30"/>
      <c r="F128" s="30"/>
      <c r="G128" s="30"/>
      <c r="H128" s="30"/>
      <c r="I128" s="30"/>
      <c r="J128" s="30"/>
      <c r="K128" s="30"/>
      <c r="L128" s="30"/>
      <c r="M128" s="30"/>
      <c r="N128" s="30"/>
      <c r="O128" s="30"/>
      <c r="P128" s="30"/>
      <c r="Q128" s="30"/>
      <c r="R128" s="30"/>
      <c r="S128" s="30"/>
      <c r="T128" s="30"/>
      <c r="U128" s="30"/>
    </row>
    <row r="129" spans="1:21" x14ac:dyDescent="0.2">
      <c r="A129" s="30"/>
      <c r="B129" s="30"/>
      <c r="C129" s="30"/>
      <c r="D129" s="30"/>
      <c r="E129" s="30"/>
      <c r="F129" s="30"/>
      <c r="G129" s="30"/>
      <c r="H129" s="30"/>
      <c r="I129" s="30"/>
      <c r="J129" s="30"/>
      <c r="K129" s="30"/>
      <c r="L129" s="30"/>
      <c r="M129" s="30"/>
      <c r="N129" s="30"/>
      <c r="O129" s="30"/>
      <c r="P129" s="30"/>
      <c r="Q129" s="30"/>
      <c r="R129" s="30"/>
      <c r="S129" s="30"/>
      <c r="T129" s="30"/>
      <c r="U129" s="30"/>
    </row>
    <row r="130" spans="1:21" x14ac:dyDescent="0.2">
      <c r="A130" s="30"/>
      <c r="B130" s="30"/>
      <c r="C130" s="30"/>
      <c r="D130" s="30"/>
      <c r="E130" s="30"/>
      <c r="F130" s="30"/>
      <c r="G130" s="30"/>
      <c r="H130" s="30"/>
      <c r="I130" s="30"/>
      <c r="J130" s="30"/>
      <c r="K130" s="30"/>
      <c r="L130" s="30"/>
      <c r="M130" s="30"/>
      <c r="N130" s="30"/>
      <c r="O130" s="30"/>
      <c r="P130" s="30"/>
      <c r="Q130" s="30"/>
      <c r="R130" s="30"/>
      <c r="S130" s="30"/>
      <c r="T130" s="30"/>
      <c r="U130" s="30"/>
    </row>
    <row r="131" spans="1:21" x14ac:dyDescent="0.2">
      <c r="A131" s="30"/>
      <c r="B131" s="30"/>
      <c r="C131" s="30"/>
      <c r="D131" s="30"/>
      <c r="E131" s="30"/>
      <c r="F131" s="30"/>
      <c r="G131" s="30"/>
      <c r="H131" s="30"/>
      <c r="I131" s="30"/>
      <c r="J131" s="30"/>
      <c r="K131" s="30"/>
      <c r="L131" s="30"/>
      <c r="M131" s="30"/>
      <c r="N131" s="30"/>
      <c r="O131" s="30"/>
      <c r="P131" s="30"/>
      <c r="Q131" s="30"/>
      <c r="R131" s="30"/>
      <c r="S131" s="30"/>
      <c r="T131" s="30"/>
      <c r="U131" s="30"/>
    </row>
    <row r="132" spans="1:21" x14ac:dyDescent="0.2">
      <c r="A132" s="30"/>
      <c r="B132" s="30"/>
      <c r="C132" s="30"/>
      <c r="D132" s="30"/>
      <c r="E132" s="30"/>
      <c r="F132" s="30"/>
      <c r="G132" s="30"/>
      <c r="H132" s="30"/>
      <c r="I132" s="30"/>
      <c r="J132" s="30"/>
      <c r="K132" s="30"/>
      <c r="L132" s="30"/>
      <c r="M132" s="30"/>
      <c r="N132" s="30"/>
      <c r="O132" s="30"/>
      <c r="P132" s="30"/>
      <c r="Q132" s="30"/>
      <c r="R132" s="30"/>
      <c r="S132" s="30"/>
      <c r="T132" s="30"/>
      <c r="U132" s="30"/>
    </row>
    <row r="133" spans="1:21" x14ac:dyDescent="0.2">
      <c r="A133" s="30"/>
      <c r="B133" s="30"/>
      <c r="C133" s="30"/>
      <c r="D133" s="30"/>
      <c r="E133" s="30"/>
      <c r="F133" s="30"/>
      <c r="G133" s="30"/>
      <c r="H133" s="30"/>
      <c r="I133" s="30"/>
      <c r="J133" s="30"/>
      <c r="K133" s="30"/>
      <c r="L133" s="30"/>
      <c r="M133" s="30"/>
      <c r="N133" s="30"/>
      <c r="O133" s="30"/>
      <c r="P133" s="30"/>
      <c r="Q133" s="30"/>
      <c r="R133" s="30"/>
      <c r="S133" s="30"/>
      <c r="T133" s="30"/>
      <c r="U133" s="30"/>
    </row>
    <row r="134" spans="1:21" x14ac:dyDescent="0.2">
      <c r="A134" s="30"/>
      <c r="B134" s="30"/>
      <c r="C134" s="30"/>
      <c r="D134" s="30"/>
      <c r="E134" s="30"/>
      <c r="F134" s="30"/>
      <c r="G134" s="30"/>
      <c r="H134" s="30"/>
      <c r="I134" s="30"/>
      <c r="J134" s="30"/>
      <c r="K134" s="30"/>
      <c r="L134" s="30"/>
      <c r="M134" s="30"/>
      <c r="N134" s="30"/>
      <c r="O134" s="30"/>
      <c r="P134" s="30"/>
      <c r="Q134" s="30"/>
      <c r="R134" s="30"/>
      <c r="S134" s="30"/>
      <c r="T134" s="30"/>
      <c r="U134" s="30"/>
    </row>
    <row r="135" spans="1:21" x14ac:dyDescent="0.2">
      <c r="A135" s="30"/>
      <c r="B135" s="30"/>
      <c r="C135" s="30"/>
      <c r="D135" s="30"/>
      <c r="E135" s="30"/>
      <c r="F135" s="30"/>
      <c r="G135" s="30"/>
      <c r="H135" s="30"/>
      <c r="I135" s="30"/>
      <c r="J135" s="30"/>
      <c r="K135" s="30"/>
      <c r="L135" s="30"/>
      <c r="M135" s="30"/>
      <c r="N135" s="30"/>
      <c r="O135" s="30"/>
      <c r="P135" s="30"/>
      <c r="Q135" s="30"/>
      <c r="R135" s="30"/>
      <c r="S135" s="30"/>
      <c r="T135" s="30"/>
      <c r="U135" s="30"/>
    </row>
    <row r="136" spans="1:21" x14ac:dyDescent="0.2">
      <c r="A136" s="30"/>
      <c r="B136" s="30"/>
      <c r="C136" s="30"/>
      <c r="D136" s="30"/>
      <c r="E136" s="30"/>
      <c r="F136" s="30"/>
      <c r="G136" s="30"/>
      <c r="H136" s="30"/>
      <c r="I136" s="30"/>
      <c r="J136" s="30"/>
      <c r="K136" s="30"/>
      <c r="L136" s="30"/>
      <c r="M136" s="30"/>
      <c r="N136" s="30"/>
      <c r="O136" s="30"/>
      <c r="P136" s="30"/>
      <c r="Q136" s="30"/>
      <c r="R136" s="30"/>
      <c r="S136" s="30"/>
      <c r="T136" s="30"/>
      <c r="U136" s="30"/>
    </row>
    <row r="137" spans="1:21" x14ac:dyDescent="0.2">
      <c r="A137" s="30"/>
      <c r="B137" s="30"/>
      <c r="C137" s="30"/>
      <c r="D137" s="30"/>
      <c r="E137" s="30"/>
      <c r="F137" s="30"/>
      <c r="G137" s="30"/>
      <c r="H137" s="30"/>
      <c r="I137" s="30"/>
      <c r="J137" s="30"/>
      <c r="K137" s="30"/>
      <c r="L137" s="30"/>
      <c r="M137" s="30"/>
      <c r="N137" s="30"/>
      <c r="O137" s="30"/>
      <c r="P137" s="30"/>
      <c r="Q137" s="30"/>
      <c r="R137" s="30"/>
      <c r="S137" s="30"/>
      <c r="T137" s="30"/>
      <c r="U137" s="30"/>
    </row>
    <row r="138" spans="1:21" x14ac:dyDescent="0.2">
      <c r="A138" s="30"/>
      <c r="B138" s="30"/>
      <c r="C138" s="30"/>
      <c r="D138" s="30"/>
      <c r="E138" s="30"/>
      <c r="F138" s="30"/>
      <c r="G138" s="30"/>
      <c r="H138" s="30"/>
      <c r="I138" s="30"/>
      <c r="J138" s="30"/>
      <c r="K138" s="30"/>
      <c r="L138" s="30"/>
      <c r="M138" s="30"/>
      <c r="N138" s="30"/>
      <c r="O138" s="30"/>
      <c r="P138" s="30"/>
      <c r="Q138" s="30"/>
      <c r="R138" s="30"/>
      <c r="S138" s="30"/>
      <c r="T138" s="30"/>
      <c r="U138" s="30"/>
    </row>
    <row r="139" spans="1:21" x14ac:dyDescent="0.2">
      <c r="A139" s="30"/>
      <c r="B139" s="30"/>
      <c r="C139" s="30"/>
      <c r="D139" s="30"/>
      <c r="E139" s="30"/>
      <c r="F139" s="30"/>
      <c r="G139" s="30"/>
      <c r="H139" s="30"/>
      <c r="I139" s="30"/>
      <c r="J139" s="30"/>
      <c r="K139" s="30"/>
      <c r="L139" s="30"/>
      <c r="M139" s="30"/>
      <c r="N139" s="30"/>
      <c r="O139" s="30"/>
      <c r="P139" s="30"/>
      <c r="Q139" s="30"/>
      <c r="R139" s="30"/>
      <c r="S139" s="30"/>
      <c r="T139" s="30"/>
      <c r="U139" s="30"/>
    </row>
    <row r="140" spans="1:21" x14ac:dyDescent="0.2">
      <c r="A140" s="30"/>
      <c r="B140" s="30"/>
      <c r="C140" s="30"/>
      <c r="D140" s="30"/>
      <c r="E140" s="30"/>
      <c r="F140" s="30"/>
      <c r="G140" s="30"/>
      <c r="H140" s="30"/>
      <c r="I140" s="30"/>
      <c r="J140" s="30"/>
      <c r="K140" s="30"/>
      <c r="L140" s="30"/>
      <c r="M140" s="30"/>
      <c r="N140" s="30"/>
      <c r="O140" s="30"/>
      <c r="P140" s="30"/>
      <c r="Q140" s="30"/>
      <c r="R140" s="30"/>
      <c r="S140" s="30"/>
      <c r="T140" s="30"/>
      <c r="U140" s="30"/>
    </row>
    <row r="141" spans="1:21" x14ac:dyDescent="0.2">
      <c r="A141" s="30"/>
      <c r="B141" s="30"/>
      <c r="C141" s="30"/>
      <c r="D141" s="30"/>
      <c r="E141" s="30"/>
      <c r="F141" s="30"/>
      <c r="G141" s="30"/>
      <c r="H141" s="30"/>
      <c r="I141" s="30"/>
      <c r="J141" s="30"/>
      <c r="K141" s="30"/>
      <c r="L141" s="30"/>
      <c r="M141" s="30"/>
      <c r="N141" s="30"/>
      <c r="O141" s="30"/>
      <c r="P141" s="30"/>
      <c r="Q141" s="30"/>
      <c r="R141" s="30"/>
      <c r="S141" s="30"/>
      <c r="T141" s="30"/>
      <c r="U141" s="30"/>
    </row>
    <row r="142" spans="1:21" x14ac:dyDescent="0.2">
      <c r="A142" s="30"/>
      <c r="B142" s="30"/>
      <c r="C142" s="30"/>
      <c r="D142" s="30"/>
      <c r="E142" s="30"/>
      <c r="F142" s="30"/>
      <c r="G142" s="30"/>
      <c r="H142" s="30"/>
      <c r="I142" s="30"/>
      <c r="J142" s="30"/>
      <c r="K142" s="30"/>
      <c r="L142" s="30"/>
      <c r="M142" s="30"/>
      <c r="N142" s="30"/>
      <c r="O142" s="30"/>
      <c r="P142" s="30"/>
      <c r="Q142" s="30"/>
      <c r="R142" s="30"/>
      <c r="S142" s="30"/>
      <c r="T142" s="30"/>
      <c r="U142" s="30"/>
    </row>
    <row r="143" spans="1:21" x14ac:dyDescent="0.2">
      <c r="A143" s="30"/>
      <c r="B143" s="30"/>
      <c r="C143" s="30"/>
      <c r="D143" s="30"/>
      <c r="E143" s="30"/>
      <c r="F143" s="30"/>
      <c r="G143" s="30"/>
      <c r="H143" s="30"/>
      <c r="I143" s="30"/>
      <c r="J143" s="30"/>
      <c r="K143" s="30"/>
      <c r="L143" s="30"/>
      <c r="M143" s="30"/>
      <c r="N143" s="30"/>
      <c r="O143" s="30"/>
      <c r="P143" s="30"/>
      <c r="Q143" s="30"/>
      <c r="R143" s="30"/>
      <c r="S143" s="30"/>
      <c r="T143" s="30"/>
      <c r="U143" s="30"/>
    </row>
    <row r="144" spans="1:21" x14ac:dyDescent="0.2">
      <c r="A144" s="30"/>
      <c r="B144" s="30"/>
      <c r="C144" s="30"/>
      <c r="D144" s="30"/>
      <c r="E144" s="30"/>
      <c r="F144" s="30"/>
      <c r="G144" s="30"/>
      <c r="H144" s="30"/>
      <c r="I144" s="30"/>
      <c r="J144" s="30"/>
      <c r="K144" s="30"/>
      <c r="L144" s="30"/>
      <c r="M144" s="30"/>
      <c r="N144" s="30"/>
      <c r="O144" s="30"/>
      <c r="P144" s="30"/>
      <c r="Q144" s="30"/>
      <c r="R144" s="30"/>
      <c r="S144" s="30"/>
      <c r="T144" s="30"/>
      <c r="U144" s="30"/>
    </row>
    <row r="145" spans="1:21" x14ac:dyDescent="0.2">
      <c r="A145" s="30"/>
      <c r="B145" s="30"/>
      <c r="C145" s="30"/>
      <c r="D145" s="30"/>
      <c r="E145" s="30"/>
      <c r="F145" s="30"/>
      <c r="G145" s="30"/>
      <c r="H145" s="30"/>
      <c r="I145" s="30"/>
      <c r="J145" s="30"/>
      <c r="K145" s="30"/>
      <c r="L145" s="30"/>
      <c r="M145" s="30"/>
      <c r="N145" s="30"/>
      <c r="O145" s="30"/>
      <c r="P145" s="30"/>
      <c r="Q145" s="30"/>
      <c r="R145" s="30"/>
      <c r="S145" s="30"/>
      <c r="T145" s="30"/>
      <c r="U145" s="30"/>
    </row>
    <row r="146" spans="1:21" x14ac:dyDescent="0.2">
      <c r="A146" s="30"/>
      <c r="B146" s="30"/>
      <c r="C146" s="30"/>
      <c r="D146" s="30"/>
      <c r="E146" s="30"/>
      <c r="F146" s="30"/>
      <c r="G146" s="30"/>
      <c r="H146" s="30"/>
      <c r="I146" s="30"/>
      <c r="J146" s="30"/>
      <c r="K146" s="30"/>
      <c r="L146" s="30"/>
      <c r="M146" s="30"/>
      <c r="N146" s="30"/>
      <c r="O146" s="30"/>
      <c r="P146" s="30"/>
      <c r="Q146" s="30"/>
      <c r="R146" s="30"/>
      <c r="S146" s="30"/>
      <c r="T146" s="30"/>
      <c r="U146" s="30"/>
    </row>
    <row r="147" spans="1:21" x14ac:dyDescent="0.2">
      <c r="A147" s="30"/>
      <c r="B147" s="30"/>
      <c r="C147" s="30"/>
      <c r="D147" s="30"/>
      <c r="E147" s="30"/>
      <c r="F147" s="30"/>
      <c r="G147" s="30"/>
      <c r="H147" s="30"/>
      <c r="I147" s="30"/>
      <c r="J147" s="30"/>
      <c r="K147" s="30"/>
      <c r="L147" s="30"/>
      <c r="M147" s="30"/>
      <c r="N147" s="30"/>
      <c r="O147" s="30"/>
      <c r="P147" s="30"/>
      <c r="Q147" s="30"/>
      <c r="R147" s="30"/>
      <c r="S147" s="30"/>
      <c r="T147" s="30"/>
      <c r="U147" s="30"/>
    </row>
    <row r="148" spans="1:21" x14ac:dyDescent="0.2">
      <c r="A148" s="30"/>
      <c r="B148" s="30"/>
      <c r="C148" s="30"/>
      <c r="D148" s="30"/>
      <c r="E148" s="30"/>
      <c r="F148" s="30"/>
      <c r="G148" s="30"/>
      <c r="H148" s="30"/>
      <c r="I148" s="30"/>
      <c r="J148" s="30"/>
      <c r="K148" s="30"/>
      <c r="L148" s="30"/>
      <c r="M148" s="30"/>
      <c r="N148" s="30"/>
      <c r="O148" s="30"/>
      <c r="P148" s="30"/>
      <c r="Q148" s="30"/>
      <c r="R148" s="30"/>
      <c r="S148" s="30"/>
      <c r="T148" s="30"/>
      <c r="U148" s="30"/>
    </row>
    <row r="149" spans="1:21" x14ac:dyDescent="0.2">
      <c r="A149" s="30"/>
      <c r="B149" s="30"/>
      <c r="C149" s="30"/>
      <c r="D149" s="30"/>
      <c r="E149" s="30"/>
      <c r="F149" s="30"/>
      <c r="G149" s="30"/>
      <c r="H149" s="30"/>
      <c r="I149" s="30"/>
      <c r="J149" s="30"/>
      <c r="K149" s="30"/>
      <c r="L149" s="30"/>
      <c r="M149" s="30"/>
      <c r="N149" s="30"/>
      <c r="O149" s="30"/>
      <c r="P149" s="30"/>
      <c r="Q149" s="30"/>
      <c r="R149" s="30"/>
      <c r="S149" s="30"/>
      <c r="T149" s="30"/>
      <c r="U149" s="30"/>
    </row>
    <row r="150" spans="1:21" x14ac:dyDescent="0.2">
      <c r="A150" s="30"/>
      <c r="B150" s="30"/>
      <c r="C150" s="30"/>
      <c r="D150" s="30"/>
      <c r="E150" s="30"/>
      <c r="F150" s="30"/>
      <c r="G150" s="30"/>
      <c r="H150" s="30"/>
      <c r="I150" s="30"/>
      <c r="J150" s="30"/>
      <c r="K150" s="30"/>
      <c r="L150" s="30"/>
      <c r="M150" s="30"/>
      <c r="N150" s="30"/>
      <c r="O150" s="30"/>
      <c r="P150" s="30"/>
      <c r="Q150" s="30"/>
      <c r="R150" s="30"/>
      <c r="S150" s="30"/>
      <c r="T150" s="30"/>
      <c r="U150" s="30"/>
    </row>
    <row r="151" spans="1:21" x14ac:dyDescent="0.2">
      <c r="A151" s="30"/>
      <c r="B151" s="30"/>
      <c r="C151" s="30"/>
      <c r="D151" s="30"/>
      <c r="E151" s="30"/>
      <c r="F151" s="30"/>
      <c r="G151" s="30"/>
      <c r="H151" s="30"/>
      <c r="I151" s="30"/>
      <c r="J151" s="30"/>
      <c r="K151" s="30"/>
      <c r="L151" s="30"/>
      <c r="M151" s="30"/>
      <c r="N151" s="30"/>
      <c r="O151" s="30"/>
      <c r="P151" s="30"/>
      <c r="Q151" s="30"/>
      <c r="R151" s="30"/>
      <c r="S151" s="30"/>
      <c r="T151" s="30"/>
      <c r="U151" s="30"/>
    </row>
    <row r="152" spans="1:21" x14ac:dyDescent="0.2">
      <c r="A152" s="30"/>
      <c r="B152" s="30"/>
      <c r="C152" s="30"/>
      <c r="D152" s="30"/>
      <c r="E152" s="30"/>
      <c r="F152" s="30"/>
      <c r="G152" s="30"/>
      <c r="H152" s="30"/>
      <c r="I152" s="30"/>
      <c r="J152" s="30"/>
      <c r="K152" s="30"/>
      <c r="L152" s="30"/>
      <c r="M152" s="30"/>
      <c r="N152" s="30"/>
      <c r="O152" s="30"/>
      <c r="P152" s="30"/>
      <c r="Q152" s="30"/>
      <c r="R152" s="30"/>
      <c r="S152" s="30"/>
      <c r="T152" s="30"/>
      <c r="U152" s="30"/>
    </row>
    <row r="153" spans="1:21" x14ac:dyDescent="0.2">
      <c r="A153" s="30"/>
      <c r="B153" s="30"/>
      <c r="C153" s="30"/>
      <c r="D153" s="30"/>
      <c r="E153" s="30"/>
      <c r="F153" s="30"/>
      <c r="G153" s="30"/>
      <c r="H153" s="30"/>
      <c r="I153" s="30"/>
      <c r="J153" s="30"/>
      <c r="K153" s="30"/>
      <c r="L153" s="30"/>
      <c r="M153" s="30"/>
      <c r="N153" s="30"/>
      <c r="O153" s="30"/>
      <c r="P153" s="30"/>
      <c r="Q153" s="30"/>
      <c r="R153" s="30"/>
      <c r="S153" s="30"/>
      <c r="T153" s="30"/>
      <c r="U153" s="30"/>
    </row>
    <row r="154" spans="1:21" x14ac:dyDescent="0.2">
      <c r="A154" s="30"/>
      <c r="B154" s="30"/>
      <c r="C154" s="30"/>
      <c r="D154" s="30"/>
      <c r="E154" s="30"/>
      <c r="F154" s="30"/>
      <c r="G154" s="30"/>
      <c r="H154" s="30"/>
      <c r="I154" s="30"/>
      <c r="J154" s="30"/>
      <c r="K154" s="30"/>
      <c r="L154" s="30"/>
      <c r="M154" s="30"/>
      <c r="N154" s="30"/>
      <c r="O154" s="30"/>
      <c r="P154" s="30"/>
      <c r="Q154" s="30"/>
      <c r="R154" s="30"/>
      <c r="S154" s="30"/>
      <c r="T154" s="30"/>
      <c r="U154" s="30"/>
    </row>
    <row r="155" spans="1:21" x14ac:dyDescent="0.2">
      <c r="A155" s="30"/>
      <c r="B155" s="30"/>
      <c r="C155" s="30"/>
      <c r="D155" s="30"/>
      <c r="E155" s="30"/>
      <c r="F155" s="30"/>
      <c r="G155" s="30"/>
      <c r="H155" s="30"/>
      <c r="I155" s="30"/>
      <c r="J155" s="30"/>
      <c r="K155" s="30"/>
      <c r="L155" s="30"/>
      <c r="M155" s="30"/>
      <c r="N155" s="30"/>
      <c r="O155" s="30"/>
      <c r="P155" s="30"/>
      <c r="Q155" s="30"/>
      <c r="R155" s="30"/>
      <c r="S155" s="30"/>
      <c r="T155" s="30"/>
      <c r="U155" s="30"/>
    </row>
    <row r="156" spans="1:21" x14ac:dyDescent="0.2">
      <c r="A156" s="30"/>
      <c r="B156" s="30"/>
      <c r="C156" s="30"/>
      <c r="D156" s="30"/>
      <c r="E156" s="30"/>
      <c r="F156" s="30"/>
      <c r="G156" s="30"/>
      <c r="H156" s="30"/>
      <c r="I156" s="30"/>
      <c r="J156" s="30"/>
      <c r="K156" s="30"/>
      <c r="L156" s="30"/>
      <c r="M156" s="30"/>
      <c r="N156" s="30"/>
      <c r="O156" s="30"/>
      <c r="P156" s="30"/>
      <c r="Q156" s="30"/>
      <c r="R156" s="30"/>
      <c r="S156" s="30"/>
      <c r="T156" s="30"/>
      <c r="U156" s="30"/>
    </row>
    <row r="157" spans="1:21" x14ac:dyDescent="0.2">
      <c r="A157" s="30"/>
      <c r="B157" s="30"/>
      <c r="C157" s="30"/>
      <c r="D157" s="30"/>
      <c r="E157" s="30"/>
      <c r="F157" s="30"/>
      <c r="G157" s="30"/>
      <c r="H157" s="30"/>
      <c r="I157" s="30"/>
      <c r="J157" s="30"/>
      <c r="K157" s="30"/>
      <c r="L157" s="30"/>
      <c r="M157" s="30"/>
      <c r="N157" s="30"/>
      <c r="O157" s="30"/>
      <c r="P157" s="30"/>
      <c r="Q157" s="30"/>
      <c r="R157" s="30"/>
      <c r="S157" s="30"/>
      <c r="T157" s="30"/>
      <c r="U157" s="30"/>
    </row>
    <row r="158" spans="1:21" x14ac:dyDescent="0.2">
      <c r="A158" s="30"/>
      <c r="B158" s="30"/>
      <c r="C158" s="30"/>
      <c r="D158" s="30"/>
      <c r="E158" s="30"/>
      <c r="F158" s="30"/>
      <c r="G158" s="30"/>
      <c r="H158" s="30"/>
      <c r="I158" s="30"/>
      <c r="J158" s="30"/>
      <c r="K158" s="30"/>
      <c r="L158" s="30"/>
      <c r="M158" s="30"/>
      <c r="N158" s="30"/>
      <c r="O158" s="30"/>
      <c r="P158" s="30"/>
      <c r="Q158" s="30"/>
      <c r="R158" s="30"/>
      <c r="S158" s="30"/>
      <c r="T158" s="30"/>
      <c r="U158" s="30"/>
    </row>
    <row r="159" spans="1:21" x14ac:dyDescent="0.2">
      <c r="A159" s="30"/>
      <c r="B159" s="30"/>
      <c r="C159" s="30"/>
      <c r="D159" s="30"/>
      <c r="E159" s="30"/>
      <c r="F159" s="30"/>
      <c r="G159" s="30"/>
      <c r="H159" s="30"/>
      <c r="I159" s="30"/>
      <c r="J159" s="30"/>
      <c r="K159" s="30"/>
      <c r="L159" s="30"/>
      <c r="M159" s="30"/>
      <c r="N159" s="30"/>
      <c r="O159" s="30"/>
      <c r="P159" s="30"/>
      <c r="Q159" s="30"/>
      <c r="R159" s="30"/>
      <c r="S159" s="30"/>
      <c r="T159" s="30"/>
      <c r="U159" s="30"/>
    </row>
    <row r="160" spans="1:21" x14ac:dyDescent="0.2">
      <c r="A160" s="30"/>
      <c r="B160" s="30"/>
      <c r="C160" s="30"/>
      <c r="D160" s="30"/>
      <c r="E160" s="30"/>
      <c r="F160" s="30"/>
      <c r="G160" s="30"/>
      <c r="H160" s="30"/>
      <c r="I160" s="30"/>
      <c r="J160" s="30"/>
      <c r="K160" s="30"/>
      <c r="L160" s="30"/>
      <c r="M160" s="30"/>
      <c r="N160" s="30"/>
      <c r="O160" s="30"/>
      <c r="P160" s="30"/>
      <c r="Q160" s="30"/>
      <c r="R160" s="30"/>
      <c r="S160" s="30"/>
      <c r="T160" s="30"/>
      <c r="U160" s="30"/>
    </row>
    <row r="161" spans="1:21" x14ac:dyDescent="0.2">
      <c r="A161" s="30"/>
      <c r="B161" s="30"/>
      <c r="C161" s="30"/>
      <c r="D161" s="30"/>
      <c r="E161" s="30"/>
      <c r="F161" s="30"/>
      <c r="G161" s="30"/>
      <c r="H161" s="30"/>
      <c r="I161" s="30"/>
      <c r="J161" s="30"/>
      <c r="K161" s="30"/>
      <c r="L161" s="30"/>
      <c r="M161" s="30"/>
      <c r="N161" s="30"/>
      <c r="O161" s="30"/>
      <c r="P161" s="30"/>
      <c r="Q161" s="30"/>
      <c r="R161" s="30"/>
      <c r="S161" s="30"/>
      <c r="T161" s="30"/>
      <c r="U161" s="30"/>
    </row>
    <row r="162" spans="1:21" x14ac:dyDescent="0.2">
      <c r="A162" s="30"/>
      <c r="B162" s="30"/>
      <c r="C162" s="30"/>
      <c r="D162" s="30"/>
      <c r="E162" s="30"/>
      <c r="F162" s="30"/>
      <c r="G162" s="30"/>
      <c r="H162" s="30"/>
      <c r="I162" s="30"/>
      <c r="J162" s="30"/>
      <c r="K162" s="30"/>
      <c r="L162" s="30"/>
      <c r="M162" s="30"/>
      <c r="N162" s="30"/>
      <c r="O162" s="30"/>
      <c r="P162" s="30"/>
      <c r="Q162" s="30"/>
      <c r="R162" s="30"/>
      <c r="S162" s="30"/>
      <c r="T162" s="30"/>
      <c r="U162" s="30"/>
    </row>
    <row r="163" spans="1:21" x14ac:dyDescent="0.2">
      <c r="A163" s="30"/>
      <c r="B163" s="30"/>
      <c r="C163" s="30"/>
      <c r="D163" s="30"/>
      <c r="E163" s="30"/>
      <c r="F163" s="30"/>
      <c r="G163" s="30"/>
      <c r="H163" s="30"/>
      <c r="I163" s="30"/>
      <c r="J163" s="30"/>
      <c r="K163" s="30"/>
      <c r="L163" s="30"/>
      <c r="M163" s="30"/>
      <c r="N163" s="30"/>
      <c r="O163" s="30"/>
      <c r="P163" s="30"/>
      <c r="Q163" s="30"/>
      <c r="R163" s="30"/>
      <c r="S163" s="30"/>
      <c r="T163" s="30"/>
      <c r="U163" s="30"/>
    </row>
    <row r="164" spans="1:21" x14ac:dyDescent="0.2">
      <c r="A164" s="30"/>
      <c r="B164" s="30"/>
      <c r="C164" s="30"/>
      <c r="D164" s="30"/>
      <c r="E164" s="30"/>
      <c r="F164" s="30"/>
      <c r="G164" s="30"/>
      <c r="H164" s="30"/>
      <c r="I164" s="30"/>
      <c r="J164" s="30"/>
      <c r="K164" s="30"/>
      <c r="L164" s="30"/>
      <c r="M164" s="30"/>
      <c r="N164" s="30"/>
      <c r="O164" s="30"/>
      <c r="P164" s="30"/>
      <c r="Q164" s="30"/>
      <c r="R164" s="30"/>
      <c r="S164" s="30"/>
      <c r="T164" s="30"/>
      <c r="U164" s="30"/>
    </row>
    <row r="165" spans="1:21" x14ac:dyDescent="0.2">
      <c r="A165" s="30"/>
      <c r="B165" s="30"/>
      <c r="C165" s="30"/>
      <c r="D165" s="30"/>
      <c r="E165" s="30"/>
      <c r="F165" s="30"/>
      <c r="G165" s="30"/>
      <c r="H165" s="30"/>
      <c r="I165" s="30"/>
      <c r="J165" s="30"/>
      <c r="K165" s="30"/>
      <c r="L165" s="30"/>
      <c r="M165" s="30"/>
      <c r="N165" s="30"/>
      <c r="O165" s="30"/>
      <c r="P165" s="30"/>
      <c r="Q165" s="30"/>
      <c r="R165" s="30"/>
      <c r="S165" s="30"/>
      <c r="T165" s="30"/>
      <c r="U165" s="30"/>
    </row>
    <row r="166" spans="1:21" x14ac:dyDescent="0.2">
      <c r="A166" s="30"/>
      <c r="B166" s="30"/>
      <c r="C166" s="30"/>
      <c r="D166" s="30"/>
      <c r="E166" s="30"/>
      <c r="F166" s="30"/>
      <c r="G166" s="30"/>
      <c r="H166" s="30"/>
      <c r="I166" s="30"/>
      <c r="J166" s="30"/>
      <c r="K166" s="30"/>
      <c r="L166" s="30"/>
      <c r="M166" s="30"/>
      <c r="N166" s="30"/>
      <c r="O166" s="30"/>
      <c r="P166" s="30"/>
      <c r="Q166" s="30"/>
      <c r="R166" s="30"/>
      <c r="S166" s="30"/>
      <c r="T166" s="30"/>
      <c r="U166" s="30"/>
    </row>
    <row r="167" spans="1:21" x14ac:dyDescent="0.2">
      <c r="A167" s="30"/>
      <c r="B167" s="30"/>
      <c r="C167" s="30"/>
      <c r="D167" s="30"/>
      <c r="E167" s="30"/>
      <c r="F167" s="30"/>
      <c r="G167" s="30"/>
      <c r="H167" s="30"/>
      <c r="I167" s="30"/>
      <c r="J167" s="30"/>
      <c r="K167" s="30"/>
      <c r="L167" s="30"/>
      <c r="M167" s="30"/>
      <c r="N167" s="30"/>
      <c r="O167" s="30"/>
      <c r="P167" s="30"/>
      <c r="Q167" s="30"/>
      <c r="R167" s="30"/>
      <c r="S167" s="30"/>
      <c r="T167" s="30"/>
      <c r="U167" s="30"/>
    </row>
    <row r="168" spans="1:21" x14ac:dyDescent="0.2">
      <c r="A168" s="30"/>
      <c r="B168" s="30"/>
      <c r="C168" s="30"/>
      <c r="D168" s="30"/>
      <c r="E168" s="30"/>
      <c r="F168" s="30"/>
      <c r="G168" s="30"/>
      <c r="H168" s="30"/>
      <c r="I168" s="30"/>
      <c r="J168" s="30"/>
      <c r="K168" s="30"/>
      <c r="L168" s="30"/>
      <c r="M168" s="30"/>
      <c r="N168" s="30"/>
      <c r="O168" s="30"/>
      <c r="P168" s="30"/>
      <c r="Q168" s="30"/>
      <c r="R168" s="30"/>
      <c r="S168" s="30"/>
      <c r="T168" s="30"/>
      <c r="U168" s="30"/>
    </row>
    <row r="169" spans="1:21" x14ac:dyDescent="0.2">
      <c r="A169" s="30"/>
      <c r="B169" s="30"/>
      <c r="C169" s="30"/>
      <c r="D169" s="30"/>
      <c r="E169" s="30"/>
      <c r="F169" s="30"/>
      <c r="G169" s="30"/>
      <c r="H169" s="30"/>
      <c r="I169" s="30"/>
      <c r="J169" s="30"/>
      <c r="K169" s="30"/>
      <c r="L169" s="30"/>
      <c r="M169" s="30"/>
      <c r="N169" s="30"/>
      <c r="O169" s="30"/>
      <c r="P169" s="30"/>
      <c r="Q169" s="30"/>
      <c r="R169" s="30"/>
      <c r="S169" s="30"/>
      <c r="T169" s="30"/>
      <c r="U169" s="30"/>
    </row>
    <row r="170" spans="1:21" x14ac:dyDescent="0.2">
      <c r="A170" s="30"/>
      <c r="B170" s="30"/>
      <c r="C170" s="30"/>
      <c r="D170" s="30"/>
      <c r="E170" s="30"/>
      <c r="F170" s="30"/>
      <c r="G170" s="30"/>
      <c r="H170" s="30"/>
      <c r="I170" s="30"/>
      <c r="J170" s="30"/>
      <c r="K170" s="30"/>
      <c r="L170" s="30"/>
      <c r="M170" s="30"/>
      <c r="N170" s="30"/>
      <c r="O170" s="30"/>
      <c r="P170" s="30"/>
      <c r="Q170" s="30"/>
      <c r="R170" s="30"/>
      <c r="S170" s="30"/>
      <c r="T170" s="30"/>
      <c r="U170" s="30"/>
    </row>
    <row r="171" spans="1:21" x14ac:dyDescent="0.2">
      <c r="A171" s="30"/>
      <c r="B171" s="30"/>
      <c r="C171" s="30"/>
      <c r="D171" s="30"/>
      <c r="E171" s="30"/>
      <c r="F171" s="30"/>
      <c r="G171" s="30"/>
      <c r="H171" s="30"/>
      <c r="I171" s="30"/>
      <c r="J171" s="30"/>
      <c r="K171" s="30"/>
      <c r="L171" s="30"/>
      <c r="M171" s="30"/>
      <c r="N171" s="30"/>
      <c r="O171" s="30"/>
      <c r="P171" s="30"/>
      <c r="Q171" s="30"/>
      <c r="R171" s="30"/>
      <c r="S171" s="30"/>
      <c r="T171" s="30"/>
      <c r="U171" s="30"/>
    </row>
    <row r="172" spans="1:21" x14ac:dyDescent="0.2">
      <c r="A172" s="30"/>
      <c r="B172" s="30"/>
      <c r="C172" s="30"/>
      <c r="D172" s="30"/>
      <c r="E172" s="30"/>
      <c r="F172" s="30"/>
      <c r="G172" s="30"/>
      <c r="H172" s="30"/>
      <c r="I172" s="30"/>
      <c r="J172" s="30"/>
      <c r="K172" s="30"/>
      <c r="L172" s="30"/>
      <c r="M172" s="30"/>
      <c r="N172" s="30"/>
      <c r="O172" s="30"/>
      <c r="P172" s="30"/>
      <c r="Q172" s="30"/>
      <c r="R172" s="30"/>
      <c r="S172" s="30"/>
      <c r="T172" s="30"/>
      <c r="U172" s="30"/>
    </row>
    <row r="173" spans="1:21" x14ac:dyDescent="0.2">
      <c r="A173" s="30"/>
      <c r="B173" s="30"/>
      <c r="C173" s="30"/>
      <c r="D173" s="30"/>
      <c r="E173" s="30"/>
      <c r="F173" s="30"/>
      <c r="G173" s="30"/>
      <c r="H173" s="30"/>
      <c r="I173" s="30"/>
      <c r="J173" s="30"/>
      <c r="K173" s="30"/>
      <c r="L173" s="30"/>
      <c r="M173" s="30"/>
      <c r="N173" s="30"/>
      <c r="O173" s="30"/>
      <c r="P173" s="30"/>
      <c r="Q173" s="30"/>
      <c r="R173" s="30"/>
      <c r="S173" s="30"/>
      <c r="T173" s="30"/>
      <c r="U173" s="30"/>
    </row>
    <row r="174" spans="1:21" x14ac:dyDescent="0.2">
      <c r="A174" s="30"/>
      <c r="B174" s="30"/>
      <c r="C174" s="30"/>
      <c r="D174" s="30"/>
      <c r="E174" s="30"/>
      <c r="F174" s="30"/>
      <c r="G174" s="30"/>
      <c r="H174" s="30"/>
      <c r="I174" s="30"/>
      <c r="J174" s="30"/>
      <c r="K174" s="30"/>
      <c r="L174" s="30"/>
      <c r="M174" s="30"/>
      <c r="N174" s="30"/>
      <c r="O174" s="30"/>
      <c r="P174" s="30"/>
      <c r="Q174" s="30"/>
      <c r="R174" s="30"/>
      <c r="S174" s="30"/>
      <c r="T174" s="30"/>
      <c r="U174" s="30"/>
    </row>
    <row r="175" spans="1:21" x14ac:dyDescent="0.2">
      <c r="A175" s="30"/>
      <c r="B175" s="30"/>
      <c r="C175" s="30"/>
      <c r="D175" s="30"/>
      <c r="E175" s="30"/>
      <c r="F175" s="30"/>
      <c r="G175" s="30"/>
      <c r="H175" s="30"/>
      <c r="I175" s="30"/>
      <c r="J175" s="30"/>
      <c r="K175" s="30"/>
      <c r="L175" s="30"/>
      <c r="M175" s="30"/>
      <c r="N175" s="30"/>
      <c r="O175" s="30"/>
      <c r="P175" s="30"/>
      <c r="Q175" s="30"/>
      <c r="R175" s="30"/>
      <c r="S175" s="30"/>
      <c r="T175" s="30"/>
      <c r="U175" s="30"/>
    </row>
    <row r="176" spans="1:21" x14ac:dyDescent="0.2">
      <c r="A176" s="30"/>
      <c r="B176" s="30"/>
      <c r="C176" s="30"/>
      <c r="D176" s="30"/>
      <c r="E176" s="30"/>
      <c r="F176" s="30"/>
      <c r="G176" s="30"/>
      <c r="H176" s="30"/>
      <c r="I176" s="30"/>
      <c r="J176" s="30"/>
      <c r="K176" s="30"/>
      <c r="L176" s="30"/>
      <c r="M176" s="30"/>
      <c r="N176" s="30"/>
      <c r="O176" s="30"/>
      <c r="P176" s="30"/>
      <c r="Q176" s="30"/>
      <c r="R176" s="30"/>
      <c r="S176" s="30"/>
      <c r="T176" s="30"/>
      <c r="U176" s="30"/>
    </row>
    <row r="177" spans="1:21" x14ac:dyDescent="0.2">
      <c r="A177" s="30"/>
      <c r="B177" s="30"/>
      <c r="C177" s="30"/>
      <c r="D177" s="30"/>
      <c r="E177" s="30"/>
      <c r="F177" s="30"/>
      <c r="G177" s="30"/>
      <c r="H177" s="30"/>
      <c r="I177" s="30"/>
      <c r="J177" s="30"/>
      <c r="K177" s="30"/>
      <c r="L177" s="30"/>
      <c r="M177" s="30"/>
      <c r="N177" s="30"/>
      <c r="O177" s="30"/>
      <c r="P177" s="30"/>
      <c r="Q177" s="30"/>
      <c r="R177" s="30"/>
      <c r="S177" s="30"/>
      <c r="T177" s="30"/>
      <c r="U177" s="30"/>
    </row>
    <row r="178" spans="1:21" x14ac:dyDescent="0.2">
      <c r="A178" s="30"/>
      <c r="B178" s="30"/>
      <c r="C178" s="30"/>
      <c r="D178" s="30"/>
      <c r="E178" s="30"/>
      <c r="F178" s="30"/>
      <c r="G178" s="30"/>
      <c r="H178" s="30"/>
      <c r="I178" s="30"/>
      <c r="J178" s="30"/>
      <c r="K178" s="30"/>
      <c r="L178" s="30"/>
      <c r="M178" s="30"/>
      <c r="N178" s="30"/>
      <c r="O178" s="30"/>
      <c r="P178" s="30"/>
      <c r="Q178" s="30"/>
      <c r="R178" s="30"/>
      <c r="S178" s="30"/>
      <c r="T178" s="30"/>
      <c r="U178" s="30"/>
    </row>
    <row r="179" spans="1:21" x14ac:dyDescent="0.2">
      <c r="A179" s="30"/>
      <c r="B179" s="30"/>
      <c r="C179" s="30"/>
      <c r="D179" s="30"/>
      <c r="E179" s="30"/>
      <c r="F179" s="30"/>
      <c r="G179" s="30"/>
      <c r="H179" s="30"/>
      <c r="I179" s="30"/>
      <c r="J179" s="30"/>
      <c r="K179" s="30"/>
      <c r="L179" s="30"/>
      <c r="M179" s="30"/>
      <c r="N179" s="30"/>
      <c r="O179" s="30"/>
      <c r="P179" s="30"/>
      <c r="Q179" s="30"/>
      <c r="R179" s="30"/>
      <c r="S179" s="30"/>
      <c r="T179" s="30"/>
      <c r="U179" s="30"/>
    </row>
    <row r="180" spans="1:21" x14ac:dyDescent="0.2">
      <c r="A180" s="30"/>
      <c r="B180" s="30"/>
      <c r="C180" s="30"/>
      <c r="D180" s="30"/>
      <c r="E180" s="30"/>
      <c r="F180" s="30"/>
      <c r="G180" s="30"/>
      <c r="H180" s="30"/>
      <c r="I180" s="30"/>
      <c r="J180" s="30"/>
      <c r="K180" s="30"/>
      <c r="L180" s="30"/>
      <c r="M180" s="30"/>
      <c r="N180" s="30"/>
      <c r="O180" s="30"/>
      <c r="P180" s="30"/>
      <c r="Q180" s="30"/>
      <c r="R180" s="30"/>
      <c r="S180" s="30"/>
      <c r="T180" s="30"/>
      <c r="U180" s="30"/>
    </row>
    <row r="181" spans="1:21" x14ac:dyDescent="0.2">
      <c r="A181" s="30"/>
      <c r="B181" s="30"/>
      <c r="C181" s="30"/>
      <c r="D181" s="30"/>
      <c r="E181" s="30"/>
      <c r="F181" s="30"/>
      <c r="G181" s="30"/>
      <c r="H181" s="30"/>
      <c r="I181" s="30"/>
      <c r="J181" s="30"/>
      <c r="K181" s="30"/>
      <c r="L181" s="30"/>
      <c r="M181" s="30"/>
      <c r="N181" s="30"/>
      <c r="O181" s="30"/>
      <c r="P181" s="30"/>
      <c r="Q181" s="30"/>
      <c r="R181" s="30"/>
      <c r="S181" s="30"/>
      <c r="T181" s="30"/>
      <c r="U181" s="30"/>
    </row>
    <row r="182" spans="1:21" x14ac:dyDescent="0.2">
      <c r="A182" s="30"/>
      <c r="B182" s="30"/>
      <c r="C182" s="30"/>
      <c r="D182" s="30"/>
      <c r="E182" s="30"/>
      <c r="F182" s="30"/>
      <c r="G182" s="30"/>
      <c r="H182" s="30"/>
      <c r="I182" s="30"/>
      <c r="J182" s="30"/>
      <c r="K182" s="30"/>
      <c r="L182" s="30"/>
      <c r="M182" s="30"/>
      <c r="N182" s="30"/>
      <c r="O182" s="30"/>
      <c r="P182" s="30"/>
      <c r="Q182" s="30"/>
      <c r="R182" s="30"/>
      <c r="S182" s="30"/>
      <c r="T182" s="30"/>
      <c r="U182" s="30"/>
    </row>
    <row r="183" spans="1:21" x14ac:dyDescent="0.2">
      <c r="A183" s="30"/>
      <c r="B183" s="30"/>
      <c r="C183" s="30"/>
      <c r="D183" s="30"/>
      <c r="E183" s="30"/>
      <c r="F183" s="30"/>
      <c r="G183" s="30"/>
      <c r="H183" s="30"/>
      <c r="I183" s="30"/>
      <c r="J183" s="30"/>
      <c r="K183" s="30"/>
      <c r="L183" s="30"/>
      <c r="M183" s="30"/>
      <c r="N183" s="30"/>
      <c r="O183" s="30"/>
      <c r="P183" s="30"/>
      <c r="Q183" s="30"/>
      <c r="R183" s="30"/>
      <c r="S183" s="30"/>
      <c r="T183" s="30"/>
      <c r="U183" s="30"/>
    </row>
    <row r="184" spans="1:21" x14ac:dyDescent="0.2">
      <c r="A184" s="30"/>
      <c r="B184" s="30"/>
      <c r="C184" s="30"/>
      <c r="D184" s="30"/>
      <c r="E184" s="30"/>
      <c r="F184" s="30"/>
      <c r="G184" s="30"/>
      <c r="H184" s="30"/>
      <c r="I184" s="30"/>
      <c r="J184" s="30"/>
      <c r="K184" s="30"/>
      <c r="L184" s="30"/>
      <c r="M184" s="30"/>
      <c r="N184" s="30"/>
      <c r="O184" s="30"/>
      <c r="P184" s="30"/>
      <c r="Q184" s="30"/>
      <c r="R184" s="30"/>
      <c r="S184" s="30"/>
      <c r="T184" s="30"/>
      <c r="U184" s="30"/>
    </row>
    <row r="185" spans="1:21" x14ac:dyDescent="0.2">
      <c r="A185" s="30"/>
      <c r="B185" s="30"/>
      <c r="C185" s="30"/>
      <c r="D185" s="30"/>
      <c r="E185" s="30"/>
      <c r="F185" s="30"/>
      <c r="G185" s="30"/>
      <c r="H185" s="30"/>
      <c r="I185" s="30"/>
      <c r="J185" s="30"/>
      <c r="K185" s="30"/>
      <c r="L185" s="30"/>
      <c r="M185" s="30"/>
      <c r="N185" s="30"/>
      <c r="O185" s="30"/>
      <c r="P185" s="30"/>
      <c r="Q185" s="30"/>
      <c r="R185" s="30"/>
      <c r="S185" s="30"/>
      <c r="T185" s="30"/>
      <c r="U185" s="30"/>
    </row>
    <row r="186" spans="1:21" x14ac:dyDescent="0.2">
      <c r="A186" s="30"/>
      <c r="B186" s="30"/>
      <c r="C186" s="30"/>
      <c r="D186" s="30"/>
      <c r="E186" s="30"/>
      <c r="F186" s="30"/>
      <c r="G186" s="30"/>
      <c r="H186" s="30"/>
      <c r="I186" s="30"/>
      <c r="J186" s="30"/>
      <c r="K186" s="30"/>
      <c r="L186" s="30"/>
      <c r="M186" s="30"/>
      <c r="N186" s="30"/>
      <c r="O186" s="30"/>
      <c r="P186" s="30"/>
      <c r="Q186" s="30"/>
      <c r="R186" s="30"/>
      <c r="S186" s="30"/>
      <c r="T186" s="30"/>
      <c r="U186" s="30"/>
    </row>
    <row r="187" spans="1:21" x14ac:dyDescent="0.2">
      <c r="A187" s="30"/>
      <c r="B187" s="30"/>
      <c r="C187" s="30"/>
      <c r="D187" s="30"/>
      <c r="E187" s="30"/>
      <c r="F187" s="30"/>
      <c r="G187" s="30"/>
      <c r="H187" s="30"/>
      <c r="I187" s="30"/>
      <c r="J187" s="30"/>
      <c r="K187" s="30"/>
      <c r="L187" s="30"/>
      <c r="M187" s="30"/>
      <c r="N187" s="30"/>
      <c r="O187" s="30"/>
      <c r="P187" s="30"/>
      <c r="Q187" s="30"/>
      <c r="R187" s="30"/>
      <c r="S187" s="30"/>
      <c r="T187" s="30"/>
      <c r="U187" s="30"/>
    </row>
    <row r="188" spans="1:21" x14ac:dyDescent="0.2">
      <c r="A188" s="30"/>
      <c r="B188" s="30"/>
      <c r="C188" s="30"/>
      <c r="D188" s="30"/>
      <c r="E188" s="30"/>
      <c r="F188" s="30"/>
      <c r="G188" s="30"/>
      <c r="H188" s="30"/>
      <c r="I188" s="30"/>
      <c r="J188" s="30"/>
      <c r="K188" s="30"/>
      <c r="L188" s="30"/>
      <c r="M188" s="30"/>
      <c r="N188" s="30"/>
      <c r="O188" s="30"/>
      <c r="P188" s="30"/>
      <c r="Q188" s="30"/>
      <c r="R188" s="30"/>
      <c r="S188" s="30"/>
      <c r="T188" s="30"/>
      <c r="U188" s="30"/>
    </row>
    <row r="189" spans="1:21" x14ac:dyDescent="0.2">
      <c r="A189" s="30"/>
      <c r="B189" s="30"/>
      <c r="C189" s="30"/>
      <c r="D189" s="30"/>
      <c r="E189" s="30"/>
      <c r="F189" s="30"/>
      <c r="G189" s="30"/>
      <c r="H189" s="30"/>
      <c r="I189" s="30"/>
      <c r="J189" s="30"/>
      <c r="K189" s="30"/>
      <c r="L189" s="30"/>
      <c r="M189" s="30"/>
      <c r="N189" s="30"/>
      <c r="O189" s="30"/>
      <c r="P189" s="30"/>
      <c r="Q189" s="30"/>
      <c r="R189" s="30"/>
      <c r="S189" s="30"/>
      <c r="T189" s="30"/>
      <c r="U189" s="30"/>
    </row>
    <row r="190" spans="1:21" x14ac:dyDescent="0.2">
      <c r="A190" s="30"/>
      <c r="B190" s="30"/>
      <c r="C190" s="30"/>
      <c r="D190" s="30"/>
      <c r="E190" s="30"/>
      <c r="F190" s="30"/>
      <c r="G190" s="30"/>
      <c r="H190" s="30"/>
      <c r="I190" s="30"/>
      <c r="J190" s="30"/>
      <c r="K190" s="30"/>
      <c r="L190" s="30"/>
      <c r="M190" s="30"/>
      <c r="N190" s="30"/>
      <c r="O190" s="30"/>
      <c r="P190" s="30"/>
      <c r="Q190" s="30"/>
      <c r="R190" s="30"/>
      <c r="S190" s="30"/>
      <c r="T190" s="30"/>
      <c r="U190" s="30"/>
    </row>
    <row r="191" spans="1:21" x14ac:dyDescent="0.2">
      <c r="A191" s="30"/>
      <c r="B191" s="30"/>
      <c r="C191" s="30"/>
      <c r="D191" s="30"/>
      <c r="E191" s="30"/>
      <c r="F191" s="30"/>
      <c r="G191" s="30"/>
      <c r="H191" s="30"/>
      <c r="I191" s="30"/>
      <c r="J191" s="30"/>
      <c r="K191" s="30"/>
      <c r="L191" s="30"/>
      <c r="M191" s="30"/>
      <c r="N191" s="30"/>
      <c r="O191" s="30"/>
      <c r="P191" s="30"/>
      <c r="Q191" s="30"/>
      <c r="R191" s="30"/>
      <c r="S191" s="30"/>
      <c r="T191" s="30"/>
      <c r="U191" s="30"/>
    </row>
    <row r="192" spans="1:21" x14ac:dyDescent="0.2">
      <c r="A192" s="30"/>
      <c r="B192" s="30"/>
      <c r="C192" s="30"/>
      <c r="D192" s="30"/>
      <c r="E192" s="30"/>
      <c r="F192" s="30"/>
      <c r="G192" s="30"/>
      <c r="H192" s="30"/>
      <c r="I192" s="30"/>
      <c r="J192" s="30"/>
      <c r="K192" s="30"/>
      <c r="L192" s="30"/>
      <c r="M192" s="30"/>
      <c r="N192" s="30"/>
      <c r="O192" s="30"/>
      <c r="P192" s="30"/>
      <c r="Q192" s="30"/>
      <c r="R192" s="30"/>
      <c r="S192" s="30"/>
      <c r="T192" s="30"/>
      <c r="U192" s="30"/>
    </row>
    <row r="193" spans="1:21" x14ac:dyDescent="0.2">
      <c r="A193" s="30"/>
      <c r="B193" s="30"/>
      <c r="C193" s="30"/>
      <c r="D193" s="30"/>
      <c r="E193" s="30"/>
      <c r="F193" s="30"/>
      <c r="G193" s="30"/>
      <c r="H193" s="30"/>
      <c r="I193" s="30"/>
      <c r="J193" s="30"/>
      <c r="K193" s="30"/>
      <c r="L193" s="30"/>
      <c r="M193" s="30"/>
      <c r="N193" s="30"/>
      <c r="O193" s="30"/>
      <c r="P193" s="30"/>
      <c r="Q193" s="30"/>
      <c r="R193" s="30"/>
      <c r="S193" s="30"/>
      <c r="T193" s="30"/>
      <c r="U193" s="30"/>
    </row>
    <row r="194" spans="1:21" x14ac:dyDescent="0.2">
      <c r="A194" s="30"/>
      <c r="B194" s="30"/>
      <c r="C194" s="30"/>
      <c r="D194" s="30"/>
      <c r="E194" s="30"/>
      <c r="F194" s="30"/>
      <c r="G194" s="30"/>
      <c r="H194" s="30"/>
      <c r="I194" s="30"/>
      <c r="J194" s="30"/>
      <c r="K194" s="30"/>
      <c r="L194" s="30"/>
      <c r="M194" s="30"/>
      <c r="N194" s="30"/>
      <c r="O194" s="30"/>
      <c r="P194" s="30"/>
      <c r="Q194" s="30"/>
      <c r="R194" s="30"/>
      <c r="S194" s="30"/>
      <c r="T194" s="30"/>
      <c r="U194" s="30"/>
    </row>
    <row r="195" spans="1:21" x14ac:dyDescent="0.2">
      <c r="A195" s="30"/>
      <c r="B195" s="30"/>
      <c r="C195" s="30"/>
      <c r="D195" s="30"/>
      <c r="E195" s="30"/>
      <c r="F195" s="30"/>
      <c r="G195" s="30"/>
      <c r="H195" s="30"/>
      <c r="I195" s="30"/>
      <c r="J195" s="30"/>
      <c r="K195" s="30"/>
      <c r="L195" s="30"/>
      <c r="M195" s="30"/>
      <c r="N195" s="30"/>
      <c r="O195" s="30"/>
      <c r="P195" s="30"/>
      <c r="Q195" s="30"/>
      <c r="R195" s="30"/>
      <c r="S195" s="30"/>
      <c r="T195" s="30"/>
      <c r="U195" s="30"/>
    </row>
    <row r="196" spans="1:21" x14ac:dyDescent="0.2">
      <c r="A196" s="30"/>
      <c r="B196" s="30"/>
      <c r="C196" s="30"/>
      <c r="D196" s="30"/>
      <c r="E196" s="30"/>
      <c r="F196" s="30"/>
      <c r="G196" s="30"/>
      <c r="H196" s="30"/>
      <c r="I196" s="30"/>
      <c r="J196" s="30"/>
      <c r="K196" s="30"/>
      <c r="L196" s="30"/>
      <c r="M196" s="30"/>
      <c r="N196" s="30"/>
      <c r="O196" s="30"/>
      <c r="P196" s="30"/>
      <c r="Q196" s="30"/>
      <c r="R196" s="30"/>
      <c r="S196" s="30"/>
      <c r="T196" s="30"/>
      <c r="U196" s="30"/>
    </row>
    <row r="197" spans="1:21" x14ac:dyDescent="0.2">
      <c r="A197" s="30"/>
      <c r="B197" s="30"/>
      <c r="C197" s="30"/>
      <c r="D197" s="30"/>
      <c r="E197" s="30"/>
      <c r="F197" s="30"/>
      <c r="G197" s="30"/>
      <c r="H197" s="30"/>
      <c r="I197" s="30"/>
      <c r="J197" s="30"/>
      <c r="K197" s="30"/>
      <c r="L197" s="30"/>
      <c r="M197" s="30"/>
      <c r="N197" s="30"/>
      <c r="O197" s="30"/>
      <c r="P197" s="30"/>
      <c r="Q197" s="30"/>
      <c r="R197" s="30"/>
      <c r="S197" s="30"/>
      <c r="T197" s="30"/>
      <c r="U197" s="30"/>
    </row>
    <row r="198" spans="1:21" x14ac:dyDescent="0.2">
      <c r="A198" s="30"/>
      <c r="B198" s="30"/>
      <c r="C198" s="30"/>
      <c r="D198" s="30"/>
      <c r="E198" s="30"/>
      <c r="F198" s="30"/>
      <c r="G198" s="30"/>
      <c r="H198" s="30"/>
      <c r="I198" s="30"/>
      <c r="J198" s="30"/>
      <c r="K198" s="30"/>
      <c r="L198" s="30"/>
      <c r="M198" s="30"/>
      <c r="N198" s="30"/>
      <c r="O198" s="30"/>
      <c r="P198" s="30"/>
      <c r="Q198" s="30"/>
      <c r="R198" s="30"/>
      <c r="S198" s="30"/>
      <c r="T198" s="30"/>
      <c r="U198" s="30"/>
    </row>
    <row r="199" spans="1:21" x14ac:dyDescent="0.2">
      <c r="A199" s="30"/>
      <c r="B199" s="30"/>
      <c r="C199" s="30"/>
      <c r="D199" s="30"/>
      <c r="E199" s="30"/>
      <c r="F199" s="30"/>
      <c r="G199" s="30"/>
      <c r="H199" s="30"/>
      <c r="I199" s="30"/>
      <c r="J199" s="30"/>
      <c r="K199" s="30"/>
      <c r="L199" s="30"/>
      <c r="M199" s="30"/>
      <c r="N199" s="30"/>
      <c r="O199" s="30"/>
      <c r="P199" s="30"/>
      <c r="Q199" s="30"/>
      <c r="R199" s="30"/>
      <c r="S199" s="30"/>
      <c r="T199" s="30"/>
      <c r="U199" s="30"/>
    </row>
    <row r="200" spans="1:21" x14ac:dyDescent="0.2">
      <c r="A200" s="30"/>
      <c r="B200" s="30"/>
      <c r="C200" s="30"/>
      <c r="D200" s="30"/>
      <c r="E200" s="30"/>
      <c r="F200" s="30"/>
      <c r="G200" s="30"/>
      <c r="H200" s="30"/>
      <c r="I200" s="30"/>
      <c r="J200" s="30"/>
      <c r="K200" s="30"/>
      <c r="L200" s="30"/>
      <c r="M200" s="30"/>
      <c r="N200" s="30"/>
      <c r="O200" s="30"/>
      <c r="P200" s="30"/>
      <c r="Q200" s="30"/>
      <c r="R200" s="30"/>
      <c r="S200" s="30"/>
      <c r="T200" s="30"/>
      <c r="U200" s="30"/>
    </row>
    <row r="201" spans="1:21" x14ac:dyDescent="0.2">
      <c r="A201" s="30"/>
      <c r="B201" s="30"/>
      <c r="C201" s="30"/>
      <c r="D201" s="30"/>
      <c r="E201" s="30"/>
      <c r="F201" s="30"/>
      <c r="G201" s="30"/>
      <c r="H201" s="30"/>
      <c r="I201" s="30"/>
      <c r="J201" s="30"/>
      <c r="K201" s="30"/>
      <c r="L201" s="30"/>
      <c r="M201" s="30"/>
      <c r="N201" s="30"/>
      <c r="O201" s="30"/>
      <c r="P201" s="30"/>
      <c r="Q201" s="30"/>
      <c r="R201" s="30"/>
      <c r="S201" s="30"/>
      <c r="T201" s="30"/>
      <c r="U201" s="30"/>
    </row>
    <row r="202" spans="1:21" x14ac:dyDescent="0.2">
      <c r="A202" s="30"/>
      <c r="B202" s="30"/>
      <c r="C202" s="30"/>
      <c r="D202" s="30"/>
      <c r="E202" s="30"/>
      <c r="F202" s="30"/>
      <c r="G202" s="30"/>
      <c r="H202" s="30"/>
      <c r="I202" s="30"/>
      <c r="J202" s="30"/>
      <c r="K202" s="30"/>
      <c r="L202" s="30"/>
      <c r="M202" s="30"/>
      <c r="N202" s="30"/>
      <c r="O202" s="30"/>
      <c r="P202" s="30"/>
      <c r="Q202" s="30"/>
      <c r="R202" s="30"/>
      <c r="S202" s="30"/>
      <c r="T202" s="30"/>
      <c r="U202" s="30"/>
    </row>
    <row r="203" spans="1:21" x14ac:dyDescent="0.2">
      <c r="A203" s="30"/>
      <c r="B203" s="30"/>
      <c r="C203" s="30"/>
      <c r="D203" s="30"/>
      <c r="E203" s="30"/>
      <c r="F203" s="30"/>
      <c r="G203" s="30"/>
      <c r="H203" s="30"/>
      <c r="I203" s="30"/>
      <c r="J203" s="30"/>
      <c r="K203" s="30"/>
      <c r="L203" s="30"/>
      <c r="M203" s="30"/>
      <c r="N203" s="30"/>
      <c r="O203" s="30"/>
      <c r="P203" s="30"/>
      <c r="Q203" s="30"/>
      <c r="R203" s="30"/>
      <c r="S203" s="30"/>
      <c r="T203" s="30"/>
      <c r="U203" s="30"/>
    </row>
    <row r="204" spans="1:21" x14ac:dyDescent="0.2">
      <c r="J204" s="30"/>
      <c r="K204" s="30"/>
      <c r="L204" s="30"/>
      <c r="M204" s="30"/>
      <c r="N204" s="30"/>
      <c r="O204" s="30"/>
      <c r="P204" s="30"/>
      <c r="Q204" s="30"/>
      <c r="R204" s="30"/>
      <c r="S204" s="30"/>
      <c r="T204" s="30"/>
      <c r="U204" s="30"/>
    </row>
    <row r="205" spans="1:21" x14ac:dyDescent="0.2">
      <c r="J205" s="30"/>
      <c r="K205" s="30"/>
      <c r="L205" s="30"/>
      <c r="M205" s="30"/>
      <c r="N205" s="30"/>
      <c r="O205" s="30"/>
      <c r="P205" s="30"/>
      <c r="Q205" s="30"/>
      <c r="R205" s="30"/>
      <c r="S205" s="30"/>
      <c r="T205" s="30"/>
      <c r="U205" s="30"/>
    </row>
    <row r="206" spans="1:21" x14ac:dyDescent="0.2">
      <c r="J206" s="30"/>
      <c r="K206" s="30"/>
      <c r="L206" s="30"/>
      <c r="M206" s="30"/>
      <c r="N206" s="30"/>
      <c r="O206" s="30"/>
      <c r="P206" s="30"/>
      <c r="Q206" s="30"/>
      <c r="R206" s="30"/>
      <c r="S206" s="30"/>
      <c r="T206" s="30"/>
      <c r="U206" s="30"/>
    </row>
    <row r="207" spans="1:21" x14ac:dyDescent="0.2">
      <c r="J207" s="30"/>
      <c r="K207" s="30"/>
      <c r="L207" s="30"/>
      <c r="M207" s="30"/>
      <c r="N207" s="30"/>
      <c r="O207" s="30"/>
      <c r="P207" s="30"/>
      <c r="Q207" s="30"/>
      <c r="R207" s="30"/>
      <c r="S207" s="30"/>
      <c r="T207" s="30"/>
      <c r="U207" s="30"/>
    </row>
    <row r="208" spans="1:21" x14ac:dyDescent="0.2">
      <c r="J208" s="30"/>
      <c r="K208" s="30"/>
      <c r="L208" s="30"/>
      <c r="M208" s="30"/>
      <c r="N208" s="30"/>
      <c r="O208" s="30"/>
      <c r="P208" s="30"/>
      <c r="Q208" s="30"/>
      <c r="R208" s="30"/>
      <c r="S208" s="30"/>
      <c r="T208" s="30"/>
      <c r="U208" s="30"/>
    </row>
    <row r="209" spans="10:21" x14ac:dyDescent="0.2">
      <c r="J209" s="30"/>
      <c r="K209" s="30"/>
      <c r="L209" s="30"/>
      <c r="M209" s="30"/>
      <c r="N209" s="30"/>
      <c r="O209" s="30"/>
      <c r="P209" s="30"/>
      <c r="Q209" s="30"/>
      <c r="R209" s="30"/>
      <c r="S209" s="30"/>
      <c r="T209" s="30"/>
      <c r="U209" s="30"/>
    </row>
    <row r="210" spans="10:21" x14ac:dyDescent="0.2">
      <c r="J210" s="30"/>
      <c r="K210" s="30"/>
      <c r="L210" s="30"/>
      <c r="M210" s="30"/>
      <c r="N210" s="30"/>
      <c r="O210" s="30"/>
      <c r="P210" s="30"/>
      <c r="Q210" s="30"/>
      <c r="R210" s="30"/>
      <c r="S210" s="30"/>
      <c r="T210" s="30"/>
      <c r="U210" s="30"/>
    </row>
    <row r="211" spans="10:21" x14ac:dyDescent="0.2">
      <c r="J211" s="30"/>
      <c r="K211" s="30"/>
      <c r="L211" s="30"/>
      <c r="M211" s="30"/>
      <c r="N211" s="30"/>
      <c r="O211" s="30"/>
      <c r="P211" s="30"/>
      <c r="Q211" s="30"/>
      <c r="R211" s="30"/>
      <c r="S211" s="30"/>
      <c r="T211" s="30"/>
      <c r="U211" s="30"/>
    </row>
    <row r="212" spans="10:21" x14ac:dyDescent="0.2">
      <c r="J212" s="30"/>
      <c r="K212" s="30"/>
      <c r="L212" s="30"/>
      <c r="M212" s="30"/>
      <c r="N212" s="30"/>
      <c r="O212" s="30"/>
      <c r="P212" s="30"/>
      <c r="Q212" s="30"/>
      <c r="R212" s="30"/>
      <c r="S212" s="30"/>
      <c r="T212" s="30"/>
    </row>
  </sheetData>
  <mergeCells count="22">
    <mergeCell ref="J74:J75"/>
    <mergeCell ref="J55:S55"/>
    <mergeCell ref="J57:M57"/>
    <mergeCell ref="J58:J59"/>
    <mergeCell ref="S74:T74"/>
    <mergeCell ref="Q74:R74"/>
    <mergeCell ref="P57:S57"/>
    <mergeCell ref="S58:S59"/>
    <mergeCell ref="J73:N73"/>
    <mergeCell ref="K74:L74"/>
    <mergeCell ref="J71:T71"/>
    <mergeCell ref="P58:P59"/>
    <mergeCell ref="M74:N74"/>
    <mergeCell ref="P73:T73"/>
    <mergeCell ref="P74:P75"/>
    <mergeCell ref="M58:M59"/>
    <mergeCell ref="J69:T69"/>
    <mergeCell ref="J1:M1"/>
    <mergeCell ref="A1:H1"/>
    <mergeCell ref="D3:D4"/>
    <mergeCell ref="B3:B4"/>
    <mergeCell ref="C3:C4"/>
  </mergeCells>
  <phoneticPr fontId="1" type="noConversion"/>
  <conditionalFormatting sqref="F5:F50">
    <cfRule type="cellIs" dxfId="17" priority="1" stopIfTrue="1" operator="equal">
      <formula>"enter # lanes"</formula>
    </cfRule>
  </conditionalFormatting>
  <dataValidations count="2">
    <dataValidation type="list" showInputMessage="1" showErrorMessage="1" sqref="J53">
      <formula1>$F$75:$F$77</formula1>
    </dataValidation>
    <dataValidation type="list" showInputMessage="1" showErrorMessage="1" sqref="J76:J98 P76:P98">
      <formula1>$G$75:$G$83</formula1>
    </dataValidation>
  </dataValidations>
  <printOptions horizontalCentered="1"/>
  <pageMargins left="0.35" right="0.35" top="0.38199803149606298" bottom="0.38199803149606298" header="0.5" footer="0.5"/>
  <pageSetup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dimension ref="A1:AA76"/>
  <sheetViews>
    <sheetView showGridLines="0" showZeros="0" zoomScale="75" zoomScaleNormal="75" workbookViewId="0">
      <pane xSplit="6" ySplit="3" topLeftCell="G4" activePane="bottomRight" state="frozen"/>
      <selection pane="topRight" activeCell="G1" sqref="G1"/>
      <selection pane="bottomLeft" activeCell="A4" sqref="A4"/>
      <selection pane="bottomRight" activeCell="I1" sqref="I1:O1"/>
    </sheetView>
  </sheetViews>
  <sheetFormatPr defaultRowHeight="12.75" x14ac:dyDescent="0.2"/>
  <cols>
    <col min="1" max="1" width="1.7109375" style="16" customWidth="1"/>
    <col min="2" max="2" width="11.42578125" style="16" customWidth="1"/>
    <col min="3" max="3" width="30.5703125" style="17" customWidth="1"/>
    <col min="4" max="4" width="11.5703125" style="17" bestFit="1" customWidth="1"/>
    <col min="5" max="5" width="12.42578125" style="16" customWidth="1"/>
    <col min="6" max="6" width="33.7109375" style="16" customWidth="1"/>
    <col min="7" max="7" width="1.7109375" style="16" customWidth="1"/>
    <col min="8" max="8" width="9.140625" style="16"/>
    <col min="9" max="9" width="34.7109375" style="16" customWidth="1"/>
    <col min="10" max="10" width="21.85546875" style="16" bestFit="1" customWidth="1"/>
    <col min="11" max="11" width="9.140625" style="16" customWidth="1"/>
    <col min="12" max="23" width="14" style="16" customWidth="1"/>
    <col min="24" max="16384" width="9.140625" style="16"/>
  </cols>
  <sheetData>
    <row r="1" spans="1:27" ht="18.75" thickBot="1" x14ac:dyDescent="0.3">
      <c r="A1" s="1421" t="str">
        <f>UPPER("Casting Treatment Summary Table")</f>
        <v>CASTING TREATMENT SUMMARY TABLE</v>
      </c>
      <c r="B1" s="1225"/>
      <c r="C1" s="1225"/>
      <c r="D1" s="1225"/>
      <c r="E1" s="1225"/>
      <c r="F1" s="1225"/>
      <c r="G1" s="1225"/>
      <c r="H1" s="407"/>
      <c r="I1" s="1407" t="s">
        <v>525</v>
      </c>
      <c r="J1" s="1407"/>
      <c r="K1" s="1407"/>
      <c r="L1" s="1407"/>
      <c r="M1" s="1407"/>
      <c r="N1" s="1407"/>
      <c r="O1" s="1407"/>
      <c r="P1" s="978"/>
      <c r="Q1" s="978"/>
      <c r="R1" s="407"/>
      <c r="S1" s="407"/>
      <c r="T1" s="407"/>
      <c r="U1" s="407"/>
      <c r="V1" s="407"/>
      <c r="W1" s="407"/>
      <c r="X1" s="407"/>
      <c r="Y1" s="407"/>
      <c r="Z1" s="407"/>
      <c r="AA1" s="407"/>
    </row>
    <row r="2" spans="1:27" ht="13.5" customHeight="1" thickBot="1" x14ac:dyDescent="0.25">
      <c r="A2" s="407"/>
      <c r="B2" s="1420"/>
      <c r="C2" s="1420"/>
      <c r="D2" s="1420"/>
      <c r="E2" s="1420"/>
      <c r="F2" s="1420"/>
      <c r="G2" s="406"/>
      <c r="H2" s="407"/>
      <c r="I2" s="408" t="s">
        <v>95</v>
      </c>
      <c r="J2" s="408"/>
      <c r="K2" s="407"/>
      <c r="L2" s="1414" t="str">
        <f>L60</f>
        <v>Casting, 15, Furnish and Adjust to Grade</v>
      </c>
      <c r="M2" s="1416" t="str">
        <f>L61</f>
        <v>Casting, Adjust to Grade, Inlet</v>
      </c>
      <c r="N2" s="1416" t="str">
        <f>L62</f>
        <v>Casting, Adjust to Grade, Manhole</v>
      </c>
      <c r="O2" s="1416" t="str">
        <f>L63</f>
        <v>Casting, Water Valve, Adjust to Grade</v>
      </c>
      <c r="P2" s="1416" t="str">
        <f>L64</f>
        <v>Structure, Manhole, Reconstructed</v>
      </c>
      <c r="Q2" s="1412" t="str">
        <f>L65</f>
        <v>Structure, Inlet, Reconstructed</v>
      </c>
      <c r="R2" s="1414" t="str">
        <f>L66</f>
        <v/>
      </c>
      <c r="S2" s="1416" t="str">
        <f>L67</f>
        <v/>
      </c>
      <c r="T2" s="1416" t="str">
        <f>L68</f>
        <v/>
      </c>
      <c r="U2" s="1416" t="str">
        <f>L69</f>
        <v/>
      </c>
      <c r="V2" s="1408" t="str">
        <f>L70</f>
        <v/>
      </c>
      <c r="W2" s="1409" t="str">
        <f>L71</f>
        <v/>
      </c>
      <c r="X2" s="407"/>
      <c r="Y2" s="407"/>
      <c r="Z2" s="407"/>
      <c r="AA2" s="407"/>
    </row>
    <row r="3" spans="1:27" ht="23.25" thickBot="1" x14ac:dyDescent="0.25">
      <c r="A3" s="407"/>
      <c r="B3" s="409" t="s">
        <v>170</v>
      </c>
      <c r="C3" s="446" t="s">
        <v>46</v>
      </c>
      <c r="D3" s="410" t="s">
        <v>342</v>
      </c>
      <c r="E3" s="410" t="s">
        <v>93</v>
      </c>
      <c r="F3" s="445" t="s">
        <v>94</v>
      </c>
      <c r="G3" s="411"/>
      <c r="H3" s="407"/>
      <c r="L3" s="1415"/>
      <c r="M3" s="1417"/>
      <c r="N3" s="1417"/>
      <c r="O3" s="1417"/>
      <c r="P3" s="1417"/>
      <c r="Q3" s="1413"/>
      <c r="R3" s="1415"/>
      <c r="S3" s="1417"/>
      <c r="T3" s="1417"/>
      <c r="U3" s="1417"/>
      <c r="V3" s="1395"/>
      <c r="W3" s="1410"/>
      <c r="X3" s="407"/>
      <c r="Y3" s="407"/>
      <c r="Z3" s="407"/>
      <c r="AA3" s="407"/>
    </row>
    <row r="4" spans="1:27" ht="12.75" customHeight="1" x14ac:dyDescent="0.2">
      <c r="A4" s="412"/>
      <c r="B4" s="413"/>
      <c r="C4" s="447"/>
      <c r="D4" s="414"/>
      <c r="E4" s="414"/>
      <c r="F4" s="442"/>
      <c r="G4" s="415"/>
      <c r="H4" s="407"/>
      <c r="L4" s="437">
        <f t="shared" ref="L4:Q13" si="0">IF($F4=L$2,1,0)</f>
        <v>0</v>
      </c>
      <c r="M4" s="438">
        <f t="shared" si="0"/>
        <v>0</v>
      </c>
      <c r="N4" s="438">
        <f t="shared" si="0"/>
        <v>0</v>
      </c>
      <c r="O4" s="438">
        <f t="shared" si="0"/>
        <v>0</v>
      </c>
      <c r="P4" s="438">
        <f t="shared" si="0"/>
        <v>0</v>
      </c>
      <c r="Q4" s="439">
        <f t="shared" si="0"/>
        <v>0</v>
      </c>
      <c r="R4" s="437">
        <f t="shared" ref="R4:W4" si="1">IF(AND(R$2&lt;&gt;"",$F4=R$2),1,0)</f>
        <v>0</v>
      </c>
      <c r="S4" s="438">
        <f t="shared" si="1"/>
        <v>0</v>
      </c>
      <c r="T4" s="438">
        <f t="shared" si="1"/>
        <v>0</v>
      </c>
      <c r="U4" s="438">
        <f t="shared" si="1"/>
        <v>0</v>
      </c>
      <c r="V4" s="438">
        <f t="shared" si="1"/>
        <v>0</v>
      </c>
      <c r="W4" s="439">
        <f t="shared" si="1"/>
        <v>0</v>
      </c>
      <c r="X4" s="407"/>
      <c r="Y4" s="407"/>
      <c r="Z4" s="407"/>
      <c r="AA4" s="407"/>
    </row>
    <row r="5" spans="1:27" ht="12.75" customHeight="1" x14ac:dyDescent="0.2">
      <c r="A5" s="412"/>
      <c r="B5" s="413"/>
      <c r="C5" s="447"/>
      <c r="D5" s="414"/>
      <c r="E5" s="414"/>
      <c r="F5" s="442"/>
      <c r="G5" s="415"/>
      <c r="H5" s="407"/>
      <c r="L5" s="431">
        <f t="shared" si="0"/>
        <v>0</v>
      </c>
      <c r="M5" s="432">
        <f t="shared" si="0"/>
        <v>0</v>
      </c>
      <c r="N5" s="432">
        <f t="shared" si="0"/>
        <v>0</v>
      </c>
      <c r="O5" s="432">
        <f t="shared" si="0"/>
        <v>0</v>
      </c>
      <c r="P5" s="432">
        <f t="shared" si="0"/>
        <v>0</v>
      </c>
      <c r="Q5" s="433">
        <f t="shared" si="0"/>
        <v>0</v>
      </c>
      <c r="R5" s="437">
        <f t="shared" ref="R5:W45" si="2">IF(AND(R$2&lt;&gt;"",$F5=R$2),1,0)</f>
        <v>0</v>
      </c>
      <c r="S5" s="432">
        <f t="shared" si="2"/>
        <v>0</v>
      </c>
      <c r="T5" s="432">
        <f t="shared" si="2"/>
        <v>0</v>
      </c>
      <c r="U5" s="432">
        <f t="shared" si="2"/>
        <v>0</v>
      </c>
      <c r="V5" s="432">
        <f t="shared" si="2"/>
        <v>0</v>
      </c>
      <c r="W5" s="433">
        <f t="shared" si="2"/>
        <v>0</v>
      </c>
      <c r="X5" s="407"/>
      <c r="Y5" s="407"/>
      <c r="Z5" s="407"/>
      <c r="AA5" s="407"/>
    </row>
    <row r="6" spans="1:27" ht="12.75" customHeight="1" x14ac:dyDescent="0.2">
      <c r="A6" s="412"/>
      <c r="B6" s="413"/>
      <c r="C6" s="447"/>
      <c r="D6" s="414"/>
      <c r="E6" s="414"/>
      <c r="F6" s="442"/>
      <c r="G6" s="415"/>
      <c r="H6" s="407"/>
      <c r="L6" s="431">
        <f t="shared" si="0"/>
        <v>0</v>
      </c>
      <c r="M6" s="432">
        <f t="shared" si="0"/>
        <v>0</v>
      </c>
      <c r="N6" s="432">
        <f t="shared" si="0"/>
        <v>0</v>
      </c>
      <c r="O6" s="432">
        <f t="shared" si="0"/>
        <v>0</v>
      </c>
      <c r="P6" s="432">
        <f t="shared" si="0"/>
        <v>0</v>
      </c>
      <c r="Q6" s="433">
        <f t="shared" si="0"/>
        <v>0</v>
      </c>
      <c r="R6" s="437">
        <f t="shared" si="2"/>
        <v>0</v>
      </c>
      <c r="S6" s="432">
        <f t="shared" si="2"/>
        <v>0</v>
      </c>
      <c r="T6" s="432">
        <f t="shared" si="2"/>
        <v>0</v>
      </c>
      <c r="U6" s="432">
        <f t="shared" si="2"/>
        <v>0</v>
      </c>
      <c r="V6" s="432">
        <f t="shared" si="2"/>
        <v>0</v>
      </c>
      <c r="W6" s="433">
        <f t="shared" si="2"/>
        <v>0</v>
      </c>
      <c r="X6" s="407"/>
      <c r="Y6" s="407"/>
      <c r="Z6" s="407"/>
      <c r="AA6" s="407"/>
    </row>
    <row r="7" spans="1:27" ht="12.75" customHeight="1" x14ac:dyDescent="0.2">
      <c r="A7" s="412"/>
      <c r="B7" s="413"/>
      <c r="C7" s="447"/>
      <c r="D7" s="414"/>
      <c r="E7" s="414"/>
      <c r="F7" s="442"/>
      <c r="G7" s="415"/>
      <c r="H7" s="407"/>
      <c r="L7" s="431">
        <f t="shared" si="0"/>
        <v>0</v>
      </c>
      <c r="M7" s="432">
        <f t="shared" si="0"/>
        <v>0</v>
      </c>
      <c r="N7" s="432">
        <f t="shared" si="0"/>
        <v>0</v>
      </c>
      <c r="O7" s="432">
        <f t="shared" si="0"/>
        <v>0</v>
      </c>
      <c r="P7" s="432">
        <f t="shared" si="0"/>
        <v>0</v>
      </c>
      <c r="Q7" s="433">
        <f t="shared" si="0"/>
        <v>0</v>
      </c>
      <c r="R7" s="437">
        <f t="shared" si="2"/>
        <v>0</v>
      </c>
      <c r="S7" s="432">
        <f t="shared" si="2"/>
        <v>0</v>
      </c>
      <c r="T7" s="432">
        <f t="shared" si="2"/>
        <v>0</v>
      </c>
      <c r="U7" s="432">
        <f t="shared" si="2"/>
        <v>0</v>
      </c>
      <c r="V7" s="432">
        <f t="shared" si="2"/>
        <v>0</v>
      </c>
      <c r="W7" s="433">
        <f t="shared" si="2"/>
        <v>0</v>
      </c>
      <c r="X7" s="407"/>
      <c r="Y7" s="407"/>
      <c r="Z7" s="407"/>
      <c r="AA7" s="407"/>
    </row>
    <row r="8" spans="1:27" ht="12.75" customHeight="1" x14ac:dyDescent="0.2">
      <c r="A8" s="412"/>
      <c r="B8" s="413"/>
      <c r="C8" s="447"/>
      <c r="D8" s="414"/>
      <c r="E8" s="414"/>
      <c r="F8" s="442"/>
      <c r="G8" s="415"/>
      <c r="H8" s="407"/>
      <c r="L8" s="431">
        <f t="shared" si="0"/>
        <v>0</v>
      </c>
      <c r="M8" s="432">
        <f t="shared" si="0"/>
        <v>0</v>
      </c>
      <c r="N8" s="432">
        <f t="shared" si="0"/>
        <v>0</v>
      </c>
      <c r="O8" s="432">
        <f t="shared" si="0"/>
        <v>0</v>
      </c>
      <c r="P8" s="432">
        <f t="shared" si="0"/>
        <v>0</v>
      </c>
      <c r="Q8" s="433">
        <f t="shared" si="0"/>
        <v>0</v>
      </c>
      <c r="R8" s="437">
        <f t="shared" si="2"/>
        <v>0</v>
      </c>
      <c r="S8" s="432">
        <f t="shared" si="2"/>
        <v>0</v>
      </c>
      <c r="T8" s="432">
        <f t="shared" si="2"/>
        <v>0</v>
      </c>
      <c r="U8" s="432">
        <f t="shared" si="2"/>
        <v>0</v>
      </c>
      <c r="V8" s="432">
        <f t="shared" si="2"/>
        <v>0</v>
      </c>
      <c r="W8" s="433">
        <f t="shared" si="2"/>
        <v>0</v>
      </c>
      <c r="X8" s="407"/>
      <c r="Y8" s="407"/>
      <c r="Z8" s="407"/>
      <c r="AA8" s="407"/>
    </row>
    <row r="9" spans="1:27" ht="12.75" customHeight="1" x14ac:dyDescent="0.2">
      <c r="A9" s="412"/>
      <c r="B9" s="413"/>
      <c r="C9" s="447"/>
      <c r="D9" s="414"/>
      <c r="E9" s="414"/>
      <c r="F9" s="442"/>
      <c r="G9" s="415"/>
      <c r="H9" s="407"/>
      <c r="L9" s="431">
        <f t="shared" si="0"/>
        <v>0</v>
      </c>
      <c r="M9" s="432">
        <f t="shared" si="0"/>
        <v>0</v>
      </c>
      <c r="N9" s="432">
        <f t="shared" si="0"/>
        <v>0</v>
      </c>
      <c r="O9" s="432">
        <f t="shared" si="0"/>
        <v>0</v>
      </c>
      <c r="P9" s="432">
        <f t="shared" si="0"/>
        <v>0</v>
      </c>
      <c r="Q9" s="433">
        <f t="shared" si="0"/>
        <v>0</v>
      </c>
      <c r="R9" s="437">
        <f t="shared" si="2"/>
        <v>0</v>
      </c>
      <c r="S9" s="432">
        <f t="shared" si="2"/>
        <v>0</v>
      </c>
      <c r="T9" s="432">
        <f t="shared" si="2"/>
        <v>0</v>
      </c>
      <c r="U9" s="432">
        <f t="shared" si="2"/>
        <v>0</v>
      </c>
      <c r="V9" s="432">
        <f t="shared" si="2"/>
        <v>0</v>
      </c>
      <c r="W9" s="433">
        <f t="shared" si="2"/>
        <v>0</v>
      </c>
      <c r="X9" s="407"/>
      <c r="Y9" s="407"/>
      <c r="Z9" s="407"/>
      <c r="AA9" s="407"/>
    </row>
    <row r="10" spans="1:27" ht="12.75" customHeight="1" x14ac:dyDescent="0.2">
      <c r="A10" s="412"/>
      <c r="B10" s="413"/>
      <c r="C10" s="447"/>
      <c r="D10" s="414"/>
      <c r="E10" s="414"/>
      <c r="F10" s="442"/>
      <c r="G10" s="415"/>
      <c r="H10" s="407"/>
      <c r="L10" s="431">
        <f t="shared" si="0"/>
        <v>0</v>
      </c>
      <c r="M10" s="432">
        <f t="shared" si="0"/>
        <v>0</v>
      </c>
      <c r="N10" s="432">
        <f t="shared" si="0"/>
        <v>0</v>
      </c>
      <c r="O10" s="432">
        <f t="shared" si="0"/>
        <v>0</v>
      </c>
      <c r="P10" s="432">
        <f t="shared" si="0"/>
        <v>0</v>
      </c>
      <c r="Q10" s="433">
        <f t="shared" si="0"/>
        <v>0</v>
      </c>
      <c r="R10" s="437">
        <f t="shared" si="2"/>
        <v>0</v>
      </c>
      <c r="S10" s="432">
        <f t="shared" si="2"/>
        <v>0</v>
      </c>
      <c r="T10" s="432">
        <f t="shared" si="2"/>
        <v>0</v>
      </c>
      <c r="U10" s="432">
        <f t="shared" si="2"/>
        <v>0</v>
      </c>
      <c r="V10" s="432">
        <f t="shared" si="2"/>
        <v>0</v>
      </c>
      <c r="W10" s="433">
        <f t="shared" si="2"/>
        <v>0</v>
      </c>
      <c r="X10" s="407"/>
      <c r="Y10" s="407"/>
      <c r="Z10" s="407"/>
      <c r="AA10" s="407"/>
    </row>
    <row r="11" spans="1:27" ht="12.75" customHeight="1" x14ac:dyDescent="0.2">
      <c r="A11" s="412"/>
      <c r="B11" s="413"/>
      <c r="C11" s="447"/>
      <c r="D11" s="414"/>
      <c r="E11" s="414"/>
      <c r="F11" s="442"/>
      <c r="G11" s="415"/>
      <c r="H11" s="407"/>
      <c r="L11" s="431">
        <f t="shared" si="0"/>
        <v>0</v>
      </c>
      <c r="M11" s="432">
        <f t="shared" si="0"/>
        <v>0</v>
      </c>
      <c r="N11" s="432">
        <f t="shared" si="0"/>
        <v>0</v>
      </c>
      <c r="O11" s="432">
        <f t="shared" si="0"/>
        <v>0</v>
      </c>
      <c r="P11" s="432">
        <f t="shared" si="0"/>
        <v>0</v>
      </c>
      <c r="Q11" s="433">
        <f t="shared" si="0"/>
        <v>0</v>
      </c>
      <c r="R11" s="437">
        <f t="shared" si="2"/>
        <v>0</v>
      </c>
      <c r="S11" s="432">
        <f t="shared" si="2"/>
        <v>0</v>
      </c>
      <c r="T11" s="432">
        <f t="shared" si="2"/>
        <v>0</v>
      </c>
      <c r="U11" s="432">
        <f t="shared" si="2"/>
        <v>0</v>
      </c>
      <c r="V11" s="432">
        <f t="shared" si="2"/>
        <v>0</v>
      </c>
      <c r="W11" s="433">
        <f t="shared" si="2"/>
        <v>0</v>
      </c>
      <c r="X11" s="407"/>
      <c r="Y11" s="407"/>
      <c r="Z11" s="407"/>
      <c r="AA11" s="407"/>
    </row>
    <row r="12" spans="1:27" ht="12.75" customHeight="1" x14ac:dyDescent="0.2">
      <c r="A12" s="412"/>
      <c r="B12" s="413"/>
      <c r="C12" s="447"/>
      <c r="D12" s="414"/>
      <c r="E12" s="414"/>
      <c r="F12" s="442"/>
      <c r="G12" s="415"/>
      <c r="H12" s="407"/>
      <c r="L12" s="431">
        <f t="shared" si="0"/>
        <v>0</v>
      </c>
      <c r="M12" s="432">
        <f t="shared" si="0"/>
        <v>0</v>
      </c>
      <c r="N12" s="432">
        <f t="shared" si="0"/>
        <v>0</v>
      </c>
      <c r="O12" s="432">
        <f t="shared" si="0"/>
        <v>0</v>
      </c>
      <c r="P12" s="432">
        <f t="shared" si="0"/>
        <v>0</v>
      </c>
      <c r="Q12" s="433">
        <f t="shared" si="0"/>
        <v>0</v>
      </c>
      <c r="R12" s="437">
        <f t="shared" si="2"/>
        <v>0</v>
      </c>
      <c r="S12" s="432">
        <f t="shared" si="2"/>
        <v>0</v>
      </c>
      <c r="T12" s="432">
        <f t="shared" si="2"/>
        <v>0</v>
      </c>
      <c r="U12" s="432">
        <f t="shared" si="2"/>
        <v>0</v>
      </c>
      <c r="V12" s="432">
        <f t="shared" si="2"/>
        <v>0</v>
      </c>
      <c r="W12" s="433">
        <f t="shared" si="2"/>
        <v>0</v>
      </c>
      <c r="X12" s="407"/>
      <c r="Y12" s="407"/>
      <c r="Z12" s="407"/>
      <c r="AA12" s="407"/>
    </row>
    <row r="13" spans="1:27" ht="12.75" customHeight="1" x14ac:dyDescent="0.2">
      <c r="A13" s="412"/>
      <c r="B13" s="413"/>
      <c r="C13" s="447"/>
      <c r="D13" s="414"/>
      <c r="E13" s="414"/>
      <c r="F13" s="442"/>
      <c r="G13" s="415"/>
      <c r="H13" s="407"/>
      <c r="L13" s="431">
        <f t="shared" si="0"/>
        <v>0</v>
      </c>
      <c r="M13" s="432">
        <f t="shared" si="0"/>
        <v>0</v>
      </c>
      <c r="N13" s="432">
        <f t="shared" si="0"/>
        <v>0</v>
      </c>
      <c r="O13" s="432">
        <f t="shared" si="0"/>
        <v>0</v>
      </c>
      <c r="P13" s="432">
        <f t="shared" si="0"/>
        <v>0</v>
      </c>
      <c r="Q13" s="433">
        <f t="shared" si="0"/>
        <v>0</v>
      </c>
      <c r="R13" s="437">
        <f t="shared" si="2"/>
        <v>0</v>
      </c>
      <c r="S13" s="432">
        <f t="shared" si="2"/>
        <v>0</v>
      </c>
      <c r="T13" s="432">
        <f t="shared" si="2"/>
        <v>0</v>
      </c>
      <c r="U13" s="432">
        <f t="shared" si="2"/>
        <v>0</v>
      </c>
      <c r="V13" s="432">
        <f t="shared" si="2"/>
        <v>0</v>
      </c>
      <c r="W13" s="433">
        <f t="shared" si="2"/>
        <v>0</v>
      </c>
      <c r="X13" s="407"/>
      <c r="Y13" s="407"/>
      <c r="Z13" s="407"/>
      <c r="AA13" s="407"/>
    </row>
    <row r="14" spans="1:27" ht="12.75" customHeight="1" x14ac:dyDescent="0.2">
      <c r="A14" s="412"/>
      <c r="B14" s="413"/>
      <c r="C14" s="447"/>
      <c r="D14" s="414"/>
      <c r="E14" s="414"/>
      <c r="F14" s="442"/>
      <c r="G14" s="415"/>
      <c r="H14" s="407"/>
      <c r="L14" s="431">
        <f t="shared" ref="L14:Q21" si="3">IF($F14=L$2,1,0)</f>
        <v>0</v>
      </c>
      <c r="M14" s="432">
        <f t="shared" si="3"/>
        <v>0</v>
      </c>
      <c r="N14" s="432">
        <f t="shared" si="3"/>
        <v>0</v>
      </c>
      <c r="O14" s="432">
        <f t="shared" si="3"/>
        <v>0</v>
      </c>
      <c r="P14" s="432">
        <f t="shared" si="3"/>
        <v>0</v>
      </c>
      <c r="Q14" s="433">
        <f t="shared" si="3"/>
        <v>0</v>
      </c>
      <c r="R14" s="437">
        <f t="shared" si="2"/>
        <v>0</v>
      </c>
      <c r="S14" s="432">
        <f t="shared" si="2"/>
        <v>0</v>
      </c>
      <c r="T14" s="432">
        <f t="shared" si="2"/>
        <v>0</v>
      </c>
      <c r="U14" s="432">
        <f t="shared" si="2"/>
        <v>0</v>
      </c>
      <c r="V14" s="432">
        <f t="shared" si="2"/>
        <v>0</v>
      </c>
      <c r="W14" s="433">
        <f t="shared" si="2"/>
        <v>0</v>
      </c>
      <c r="X14" s="407"/>
      <c r="Y14" s="407"/>
      <c r="Z14" s="407"/>
      <c r="AA14" s="407"/>
    </row>
    <row r="15" spans="1:27" ht="12.75" customHeight="1" x14ac:dyDescent="0.2">
      <c r="A15" s="412"/>
      <c r="B15" s="413"/>
      <c r="C15" s="447"/>
      <c r="D15" s="414"/>
      <c r="E15" s="414"/>
      <c r="F15" s="442"/>
      <c r="G15" s="415"/>
      <c r="H15" s="407"/>
      <c r="L15" s="431">
        <f t="shared" si="3"/>
        <v>0</v>
      </c>
      <c r="M15" s="432">
        <f t="shared" si="3"/>
        <v>0</v>
      </c>
      <c r="N15" s="432">
        <f t="shared" si="3"/>
        <v>0</v>
      </c>
      <c r="O15" s="432">
        <f t="shared" si="3"/>
        <v>0</v>
      </c>
      <c r="P15" s="432">
        <f t="shared" si="3"/>
        <v>0</v>
      </c>
      <c r="Q15" s="433">
        <f t="shared" si="3"/>
        <v>0</v>
      </c>
      <c r="R15" s="437">
        <f t="shared" si="2"/>
        <v>0</v>
      </c>
      <c r="S15" s="432">
        <f t="shared" si="2"/>
        <v>0</v>
      </c>
      <c r="T15" s="432">
        <f t="shared" si="2"/>
        <v>0</v>
      </c>
      <c r="U15" s="432">
        <f t="shared" si="2"/>
        <v>0</v>
      </c>
      <c r="V15" s="432">
        <f t="shared" si="2"/>
        <v>0</v>
      </c>
      <c r="W15" s="433">
        <f t="shared" si="2"/>
        <v>0</v>
      </c>
      <c r="X15" s="407"/>
      <c r="Y15" s="407"/>
      <c r="Z15" s="407"/>
      <c r="AA15" s="407"/>
    </row>
    <row r="16" spans="1:27" ht="12.75" customHeight="1" x14ac:dyDescent="0.2">
      <c r="A16" s="412"/>
      <c r="B16" s="413"/>
      <c r="C16" s="447"/>
      <c r="D16" s="414"/>
      <c r="E16" s="414"/>
      <c r="F16" s="442"/>
      <c r="G16" s="415"/>
      <c r="H16" s="407"/>
      <c r="L16" s="431">
        <f t="shared" si="3"/>
        <v>0</v>
      </c>
      <c r="M16" s="432">
        <f t="shared" si="3"/>
        <v>0</v>
      </c>
      <c r="N16" s="432">
        <f t="shared" si="3"/>
        <v>0</v>
      </c>
      <c r="O16" s="432">
        <f t="shared" si="3"/>
        <v>0</v>
      </c>
      <c r="P16" s="432">
        <f t="shared" si="3"/>
        <v>0</v>
      </c>
      <c r="Q16" s="433">
        <f t="shared" si="3"/>
        <v>0</v>
      </c>
      <c r="R16" s="437">
        <f t="shared" si="2"/>
        <v>0</v>
      </c>
      <c r="S16" s="432">
        <f t="shared" si="2"/>
        <v>0</v>
      </c>
      <c r="T16" s="432">
        <f t="shared" si="2"/>
        <v>0</v>
      </c>
      <c r="U16" s="432">
        <f t="shared" si="2"/>
        <v>0</v>
      </c>
      <c r="V16" s="432">
        <f t="shared" si="2"/>
        <v>0</v>
      </c>
      <c r="W16" s="433">
        <f t="shared" si="2"/>
        <v>0</v>
      </c>
      <c r="X16" s="407"/>
      <c r="Y16" s="407"/>
      <c r="Z16" s="407"/>
      <c r="AA16" s="407"/>
    </row>
    <row r="17" spans="1:27" ht="12.75" customHeight="1" x14ac:dyDescent="0.2">
      <c r="A17" s="412"/>
      <c r="B17" s="413"/>
      <c r="C17" s="447"/>
      <c r="D17" s="414"/>
      <c r="E17" s="414"/>
      <c r="F17" s="442"/>
      <c r="G17" s="415"/>
      <c r="H17" s="407"/>
      <c r="L17" s="431">
        <f t="shared" si="3"/>
        <v>0</v>
      </c>
      <c r="M17" s="432">
        <f t="shared" si="3"/>
        <v>0</v>
      </c>
      <c r="N17" s="432">
        <f t="shared" si="3"/>
        <v>0</v>
      </c>
      <c r="O17" s="432">
        <f t="shared" si="3"/>
        <v>0</v>
      </c>
      <c r="P17" s="432">
        <f t="shared" si="3"/>
        <v>0</v>
      </c>
      <c r="Q17" s="433">
        <f t="shared" si="3"/>
        <v>0</v>
      </c>
      <c r="R17" s="437">
        <f t="shared" si="2"/>
        <v>0</v>
      </c>
      <c r="S17" s="432">
        <f t="shared" si="2"/>
        <v>0</v>
      </c>
      <c r="T17" s="432">
        <f t="shared" si="2"/>
        <v>0</v>
      </c>
      <c r="U17" s="432">
        <f t="shared" si="2"/>
        <v>0</v>
      </c>
      <c r="V17" s="432">
        <f t="shared" si="2"/>
        <v>0</v>
      </c>
      <c r="W17" s="433">
        <f t="shared" si="2"/>
        <v>0</v>
      </c>
      <c r="X17" s="407"/>
      <c r="Y17" s="407"/>
      <c r="Z17" s="407"/>
      <c r="AA17" s="407"/>
    </row>
    <row r="18" spans="1:27" ht="12.75" customHeight="1" x14ac:dyDescent="0.2">
      <c r="A18" s="412"/>
      <c r="B18" s="413"/>
      <c r="C18" s="447"/>
      <c r="D18" s="414"/>
      <c r="E18" s="414"/>
      <c r="F18" s="442"/>
      <c r="G18" s="415"/>
      <c r="H18" s="407"/>
      <c r="I18" s="412"/>
      <c r="J18" s="412"/>
      <c r="K18" s="407"/>
      <c r="L18" s="431">
        <f t="shared" si="3"/>
        <v>0</v>
      </c>
      <c r="M18" s="432">
        <f t="shared" si="3"/>
        <v>0</v>
      </c>
      <c r="N18" s="432">
        <f t="shared" si="3"/>
        <v>0</v>
      </c>
      <c r="O18" s="432">
        <f t="shared" si="3"/>
        <v>0</v>
      </c>
      <c r="P18" s="432">
        <f t="shared" si="3"/>
        <v>0</v>
      </c>
      <c r="Q18" s="433">
        <f t="shared" si="3"/>
        <v>0</v>
      </c>
      <c r="R18" s="437">
        <f t="shared" si="2"/>
        <v>0</v>
      </c>
      <c r="S18" s="432">
        <f t="shared" si="2"/>
        <v>0</v>
      </c>
      <c r="T18" s="432">
        <f t="shared" si="2"/>
        <v>0</v>
      </c>
      <c r="U18" s="432">
        <f t="shared" si="2"/>
        <v>0</v>
      </c>
      <c r="V18" s="432">
        <f t="shared" si="2"/>
        <v>0</v>
      </c>
      <c r="W18" s="433">
        <f t="shared" si="2"/>
        <v>0</v>
      </c>
      <c r="X18" s="407"/>
      <c r="Y18" s="407"/>
      <c r="Z18" s="407"/>
      <c r="AA18" s="407"/>
    </row>
    <row r="19" spans="1:27" ht="12.75" customHeight="1" x14ac:dyDescent="0.2">
      <c r="A19" s="412"/>
      <c r="B19" s="413"/>
      <c r="C19" s="447"/>
      <c r="D19" s="414"/>
      <c r="E19" s="414"/>
      <c r="F19" s="442"/>
      <c r="G19" s="415"/>
      <c r="H19" s="407"/>
      <c r="I19" s="407"/>
      <c r="J19" s="407"/>
      <c r="K19" s="407"/>
      <c r="L19" s="431">
        <f t="shared" si="3"/>
        <v>0</v>
      </c>
      <c r="M19" s="432">
        <f t="shared" si="3"/>
        <v>0</v>
      </c>
      <c r="N19" s="432">
        <f t="shared" si="3"/>
        <v>0</v>
      </c>
      <c r="O19" s="432">
        <f t="shared" si="3"/>
        <v>0</v>
      </c>
      <c r="P19" s="432">
        <f t="shared" si="3"/>
        <v>0</v>
      </c>
      <c r="Q19" s="433">
        <f t="shared" si="3"/>
        <v>0</v>
      </c>
      <c r="R19" s="437">
        <f t="shared" si="2"/>
        <v>0</v>
      </c>
      <c r="S19" s="432">
        <f t="shared" si="2"/>
        <v>0</v>
      </c>
      <c r="T19" s="432">
        <f t="shared" si="2"/>
        <v>0</v>
      </c>
      <c r="U19" s="432">
        <f t="shared" si="2"/>
        <v>0</v>
      </c>
      <c r="V19" s="432">
        <f t="shared" si="2"/>
        <v>0</v>
      </c>
      <c r="W19" s="433">
        <f t="shared" si="2"/>
        <v>0</v>
      </c>
      <c r="X19" s="407"/>
      <c r="Y19" s="407"/>
      <c r="Z19" s="407"/>
      <c r="AA19" s="407"/>
    </row>
    <row r="20" spans="1:27" ht="12.75" customHeight="1" x14ac:dyDescent="0.2">
      <c r="A20" s="412"/>
      <c r="B20" s="413"/>
      <c r="C20" s="447"/>
      <c r="D20" s="414"/>
      <c r="E20" s="414"/>
      <c r="F20" s="442"/>
      <c r="G20" s="415"/>
      <c r="H20" s="407"/>
      <c r="I20" s="407"/>
      <c r="J20" s="407"/>
      <c r="K20" s="407"/>
      <c r="L20" s="431">
        <f t="shared" si="3"/>
        <v>0</v>
      </c>
      <c r="M20" s="432">
        <f t="shared" si="3"/>
        <v>0</v>
      </c>
      <c r="N20" s="432">
        <f t="shared" si="3"/>
        <v>0</v>
      </c>
      <c r="O20" s="432">
        <f t="shared" si="3"/>
        <v>0</v>
      </c>
      <c r="P20" s="432">
        <f t="shared" si="3"/>
        <v>0</v>
      </c>
      <c r="Q20" s="433">
        <f t="shared" si="3"/>
        <v>0</v>
      </c>
      <c r="R20" s="437">
        <f t="shared" si="2"/>
        <v>0</v>
      </c>
      <c r="S20" s="432">
        <f t="shared" si="2"/>
        <v>0</v>
      </c>
      <c r="T20" s="432">
        <f t="shared" si="2"/>
        <v>0</v>
      </c>
      <c r="U20" s="432">
        <f t="shared" si="2"/>
        <v>0</v>
      </c>
      <c r="V20" s="432">
        <f t="shared" si="2"/>
        <v>0</v>
      </c>
      <c r="W20" s="433">
        <f t="shared" si="2"/>
        <v>0</v>
      </c>
      <c r="X20" s="407"/>
      <c r="Y20" s="407"/>
      <c r="Z20" s="407"/>
      <c r="AA20" s="407"/>
    </row>
    <row r="21" spans="1:27" ht="12.75" customHeight="1" x14ac:dyDescent="0.2">
      <c r="A21" s="412"/>
      <c r="B21" s="416"/>
      <c r="C21" s="448"/>
      <c r="D21" s="417"/>
      <c r="E21" s="417"/>
      <c r="F21" s="443"/>
      <c r="G21" s="418"/>
      <c r="H21" s="407"/>
      <c r="I21" s="407"/>
      <c r="J21" s="407"/>
      <c r="K21" s="407"/>
      <c r="L21" s="431">
        <f t="shared" si="3"/>
        <v>0</v>
      </c>
      <c r="M21" s="432">
        <f t="shared" si="3"/>
        <v>0</v>
      </c>
      <c r="N21" s="432">
        <f t="shared" si="3"/>
        <v>0</v>
      </c>
      <c r="O21" s="432">
        <f t="shared" si="3"/>
        <v>0</v>
      </c>
      <c r="P21" s="432">
        <f t="shared" si="3"/>
        <v>0</v>
      </c>
      <c r="Q21" s="433">
        <f t="shared" si="3"/>
        <v>0</v>
      </c>
      <c r="R21" s="437">
        <f t="shared" si="2"/>
        <v>0</v>
      </c>
      <c r="S21" s="432">
        <f t="shared" si="2"/>
        <v>0</v>
      </c>
      <c r="T21" s="432">
        <f t="shared" si="2"/>
        <v>0</v>
      </c>
      <c r="U21" s="432">
        <f t="shared" si="2"/>
        <v>0</v>
      </c>
      <c r="V21" s="432">
        <f t="shared" si="2"/>
        <v>0</v>
      </c>
      <c r="W21" s="433">
        <f t="shared" si="2"/>
        <v>0</v>
      </c>
      <c r="X21" s="407"/>
      <c r="Y21" s="407"/>
      <c r="Z21" s="407"/>
      <c r="AA21" s="407"/>
    </row>
    <row r="22" spans="1:27" ht="12.75" customHeight="1" x14ac:dyDescent="0.2">
      <c r="A22" s="412"/>
      <c r="B22" s="416"/>
      <c r="C22" s="448"/>
      <c r="D22" s="417"/>
      <c r="E22" s="417"/>
      <c r="F22" s="442"/>
      <c r="G22" s="415"/>
      <c r="H22" s="407"/>
      <c r="I22" s="407"/>
      <c r="J22" s="407"/>
      <c r="K22" s="407"/>
      <c r="L22" s="431">
        <f t="shared" ref="L22:Q31" si="4">IF($F22=L$2,1,0)</f>
        <v>0</v>
      </c>
      <c r="M22" s="432">
        <f t="shared" si="4"/>
        <v>0</v>
      </c>
      <c r="N22" s="432">
        <f t="shared" si="4"/>
        <v>0</v>
      </c>
      <c r="O22" s="432">
        <f t="shared" si="4"/>
        <v>0</v>
      </c>
      <c r="P22" s="432">
        <f t="shared" si="4"/>
        <v>0</v>
      </c>
      <c r="Q22" s="433">
        <f t="shared" si="4"/>
        <v>0</v>
      </c>
      <c r="R22" s="437">
        <f t="shared" si="2"/>
        <v>0</v>
      </c>
      <c r="S22" s="432">
        <f t="shared" si="2"/>
        <v>0</v>
      </c>
      <c r="T22" s="432">
        <f t="shared" si="2"/>
        <v>0</v>
      </c>
      <c r="U22" s="432">
        <f t="shared" si="2"/>
        <v>0</v>
      </c>
      <c r="V22" s="432">
        <f t="shared" si="2"/>
        <v>0</v>
      </c>
      <c r="W22" s="433">
        <f t="shared" si="2"/>
        <v>0</v>
      </c>
      <c r="X22" s="407"/>
      <c r="Y22" s="407"/>
      <c r="Z22" s="407"/>
      <c r="AA22" s="407"/>
    </row>
    <row r="23" spans="1:27" ht="12.75" customHeight="1" x14ac:dyDescent="0.2">
      <c r="A23" s="412"/>
      <c r="B23" s="416"/>
      <c r="C23" s="448"/>
      <c r="D23" s="417"/>
      <c r="E23" s="417"/>
      <c r="F23" s="443"/>
      <c r="G23" s="418"/>
      <c r="H23" s="407"/>
      <c r="I23" s="407"/>
      <c r="J23" s="407"/>
      <c r="K23" s="407"/>
      <c r="L23" s="431">
        <f t="shared" si="4"/>
        <v>0</v>
      </c>
      <c r="M23" s="432">
        <f t="shared" si="4"/>
        <v>0</v>
      </c>
      <c r="N23" s="432">
        <f t="shared" si="4"/>
        <v>0</v>
      </c>
      <c r="O23" s="432">
        <f t="shared" si="4"/>
        <v>0</v>
      </c>
      <c r="P23" s="432">
        <f t="shared" si="4"/>
        <v>0</v>
      </c>
      <c r="Q23" s="433">
        <f t="shared" si="4"/>
        <v>0</v>
      </c>
      <c r="R23" s="437">
        <f t="shared" si="2"/>
        <v>0</v>
      </c>
      <c r="S23" s="432">
        <f t="shared" si="2"/>
        <v>0</v>
      </c>
      <c r="T23" s="432">
        <f t="shared" si="2"/>
        <v>0</v>
      </c>
      <c r="U23" s="432">
        <f t="shared" si="2"/>
        <v>0</v>
      </c>
      <c r="V23" s="432">
        <f t="shared" si="2"/>
        <v>0</v>
      </c>
      <c r="W23" s="433">
        <f t="shared" si="2"/>
        <v>0</v>
      </c>
      <c r="X23" s="407"/>
      <c r="Y23" s="407"/>
      <c r="Z23" s="407"/>
      <c r="AA23" s="407"/>
    </row>
    <row r="24" spans="1:27" ht="12.75" customHeight="1" x14ac:dyDescent="0.2">
      <c r="A24" s="412"/>
      <c r="B24" s="416"/>
      <c r="C24" s="448"/>
      <c r="D24" s="417"/>
      <c r="E24" s="417"/>
      <c r="F24" s="443"/>
      <c r="G24" s="418"/>
      <c r="H24" s="407"/>
      <c r="I24" s="407"/>
      <c r="J24" s="407"/>
      <c r="K24" s="407"/>
      <c r="L24" s="431">
        <f t="shared" si="4"/>
        <v>0</v>
      </c>
      <c r="M24" s="432">
        <f t="shared" si="4"/>
        <v>0</v>
      </c>
      <c r="N24" s="432">
        <f t="shared" si="4"/>
        <v>0</v>
      </c>
      <c r="O24" s="432">
        <f t="shared" si="4"/>
        <v>0</v>
      </c>
      <c r="P24" s="432">
        <f t="shared" si="4"/>
        <v>0</v>
      </c>
      <c r="Q24" s="433">
        <f t="shared" si="4"/>
        <v>0</v>
      </c>
      <c r="R24" s="437">
        <f t="shared" si="2"/>
        <v>0</v>
      </c>
      <c r="S24" s="432">
        <f t="shared" si="2"/>
        <v>0</v>
      </c>
      <c r="T24" s="432">
        <f t="shared" si="2"/>
        <v>0</v>
      </c>
      <c r="U24" s="432">
        <f t="shared" si="2"/>
        <v>0</v>
      </c>
      <c r="V24" s="432">
        <f t="shared" si="2"/>
        <v>0</v>
      </c>
      <c r="W24" s="433">
        <f t="shared" si="2"/>
        <v>0</v>
      </c>
      <c r="X24" s="407"/>
      <c r="Y24" s="407"/>
      <c r="Z24" s="407"/>
      <c r="AA24" s="407"/>
    </row>
    <row r="25" spans="1:27" ht="12.75" customHeight="1" x14ac:dyDescent="0.2">
      <c r="A25" s="412"/>
      <c r="B25" s="416"/>
      <c r="C25" s="448"/>
      <c r="D25" s="417"/>
      <c r="E25" s="417"/>
      <c r="F25" s="443"/>
      <c r="G25" s="418"/>
      <c r="H25" s="407"/>
      <c r="I25" s="407"/>
      <c r="J25" s="407"/>
      <c r="K25" s="407"/>
      <c r="L25" s="431">
        <f t="shared" si="4"/>
        <v>0</v>
      </c>
      <c r="M25" s="432">
        <f t="shared" si="4"/>
        <v>0</v>
      </c>
      <c r="N25" s="432">
        <f t="shared" si="4"/>
        <v>0</v>
      </c>
      <c r="O25" s="432">
        <f t="shared" si="4"/>
        <v>0</v>
      </c>
      <c r="P25" s="432">
        <f t="shared" si="4"/>
        <v>0</v>
      </c>
      <c r="Q25" s="433">
        <f t="shared" si="4"/>
        <v>0</v>
      </c>
      <c r="R25" s="437">
        <f t="shared" si="2"/>
        <v>0</v>
      </c>
      <c r="S25" s="432">
        <f t="shared" si="2"/>
        <v>0</v>
      </c>
      <c r="T25" s="432">
        <f t="shared" si="2"/>
        <v>0</v>
      </c>
      <c r="U25" s="432">
        <f t="shared" si="2"/>
        <v>0</v>
      </c>
      <c r="V25" s="432">
        <f t="shared" si="2"/>
        <v>0</v>
      </c>
      <c r="W25" s="433">
        <f t="shared" si="2"/>
        <v>0</v>
      </c>
      <c r="X25" s="407"/>
      <c r="Y25" s="407"/>
      <c r="Z25" s="407"/>
      <c r="AA25" s="407"/>
    </row>
    <row r="26" spans="1:27" ht="12.75" customHeight="1" x14ac:dyDescent="0.2">
      <c r="A26" s="412"/>
      <c r="B26" s="416"/>
      <c r="C26" s="448"/>
      <c r="D26" s="417"/>
      <c r="E26" s="417"/>
      <c r="F26" s="443"/>
      <c r="G26" s="418"/>
      <c r="H26" s="407"/>
      <c r="I26" s="407"/>
      <c r="J26" s="407"/>
      <c r="K26" s="407"/>
      <c r="L26" s="431">
        <f t="shared" si="4"/>
        <v>0</v>
      </c>
      <c r="M26" s="432">
        <f t="shared" si="4"/>
        <v>0</v>
      </c>
      <c r="N26" s="432">
        <f t="shared" si="4"/>
        <v>0</v>
      </c>
      <c r="O26" s="432">
        <f t="shared" si="4"/>
        <v>0</v>
      </c>
      <c r="P26" s="432">
        <f t="shared" si="4"/>
        <v>0</v>
      </c>
      <c r="Q26" s="433">
        <f t="shared" si="4"/>
        <v>0</v>
      </c>
      <c r="R26" s="437">
        <f t="shared" si="2"/>
        <v>0</v>
      </c>
      <c r="S26" s="432">
        <f t="shared" si="2"/>
        <v>0</v>
      </c>
      <c r="T26" s="432">
        <f t="shared" si="2"/>
        <v>0</v>
      </c>
      <c r="U26" s="432">
        <f t="shared" si="2"/>
        <v>0</v>
      </c>
      <c r="V26" s="432">
        <f t="shared" si="2"/>
        <v>0</v>
      </c>
      <c r="W26" s="433">
        <f t="shared" si="2"/>
        <v>0</v>
      </c>
      <c r="X26" s="407"/>
      <c r="Y26" s="407"/>
      <c r="Z26" s="407"/>
      <c r="AA26" s="407"/>
    </row>
    <row r="27" spans="1:27" ht="12.75" customHeight="1" x14ac:dyDescent="0.2">
      <c r="A27" s="412"/>
      <c r="B27" s="416"/>
      <c r="C27" s="448"/>
      <c r="D27" s="417"/>
      <c r="E27" s="417"/>
      <c r="F27" s="443"/>
      <c r="G27" s="418"/>
      <c r="H27" s="407"/>
      <c r="I27" s="407"/>
      <c r="J27" s="407"/>
      <c r="K27" s="407"/>
      <c r="L27" s="431">
        <f t="shared" si="4"/>
        <v>0</v>
      </c>
      <c r="M27" s="432">
        <f t="shared" si="4"/>
        <v>0</v>
      </c>
      <c r="N27" s="432">
        <f t="shared" si="4"/>
        <v>0</v>
      </c>
      <c r="O27" s="432">
        <f t="shared" si="4"/>
        <v>0</v>
      </c>
      <c r="P27" s="432">
        <f t="shared" si="4"/>
        <v>0</v>
      </c>
      <c r="Q27" s="433">
        <f t="shared" si="4"/>
        <v>0</v>
      </c>
      <c r="R27" s="437">
        <f t="shared" si="2"/>
        <v>0</v>
      </c>
      <c r="S27" s="432">
        <f t="shared" si="2"/>
        <v>0</v>
      </c>
      <c r="T27" s="432">
        <f t="shared" si="2"/>
        <v>0</v>
      </c>
      <c r="U27" s="432">
        <f t="shared" si="2"/>
        <v>0</v>
      </c>
      <c r="V27" s="432">
        <f t="shared" si="2"/>
        <v>0</v>
      </c>
      <c r="W27" s="433">
        <f t="shared" si="2"/>
        <v>0</v>
      </c>
      <c r="X27" s="407"/>
      <c r="Y27" s="407"/>
      <c r="Z27" s="407"/>
      <c r="AA27" s="407"/>
    </row>
    <row r="28" spans="1:27" ht="12.75" customHeight="1" x14ac:dyDescent="0.2">
      <c r="A28" s="412"/>
      <c r="B28" s="416"/>
      <c r="C28" s="448"/>
      <c r="D28" s="417"/>
      <c r="E28" s="417"/>
      <c r="F28" s="442"/>
      <c r="G28" s="415"/>
      <c r="H28" s="407"/>
      <c r="I28" s="407"/>
      <c r="J28" s="407"/>
      <c r="K28" s="407"/>
      <c r="L28" s="431">
        <f t="shared" si="4"/>
        <v>0</v>
      </c>
      <c r="M28" s="432">
        <f t="shared" si="4"/>
        <v>0</v>
      </c>
      <c r="N28" s="432">
        <f t="shared" si="4"/>
        <v>0</v>
      </c>
      <c r="O28" s="432">
        <f t="shared" si="4"/>
        <v>0</v>
      </c>
      <c r="P28" s="432">
        <f t="shared" si="4"/>
        <v>0</v>
      </c>
      <c r="Q28" s="433">
        <f t="shared" si="4"/>
        <v>0</v>
      </c>
      <c r="R28" s="437">
        <f t="shared" si="2"/>
        <v>0</v>
      </c>
      <c r="S28" s="432">
        <f t="shared" si="2"/>
        <v>0</v>
      </c>
      <c r="T28" s="432">
        <f t="shared" si="2"/>
        <v>0</v>
      </c>
      <c r="U28" s="432">
        <f t="shared" si="2"/>
        <v>0</v>
      </c>
      <c r="V28" s="432">
        <f t="shared" si="2"/>
        <v>0</v>
      </c>
      <c r="W28" s="433">
        <f t="shared" si="2"/>
        <v>0</v>
      </c>
      <c r="X28" s="407"/>
      <c r="Y28" s="407"/>
      <c r="Z28" s="407"/>
      <c r="AA28" s="407"/>
    </row>
    <row r="29" spans="1:27" ht="12.75" customHeight="1" x14ac:dyDescent="0.2">
      <c r="A29" s="412"/>
      <c r="B29" s="416"/>
      <c r="C29" s="448"/>
      <c r="D29" s="417"/>
      <c r="E29" s="417"/>
      <c r="F29" s="443"/>
      <c r="G29" s="418"/>
      <c r="H29" s="407"/>
      <c r="I29" s="407"/>
      <c r="J29" s="407"/>
      <c r="K29" s="407"/>
      <c r="L29" s="431">
        <f t="shared" si="4"/>
        <v>0</v>
      </c>
      <c r="M29" s="432">
        <f t="shared" si="4"/>
        <v>0</v>
      </c>
      <c r="N29" s="432">
        <f t="shared" si="4"/>
        <v>0</v>
      </c>
      <c r="O29" s="432">
        <f t="shared" si="4"/>
        <v>0</v>
      </c>
      <c r="P29" s="432">
        <f t="shared" si="4"/>
        <v>0</v>
      </c>
      <c r="Q29" s="433">
        <f t="shared" si="4"/>
        <v>0</v>
      </c>
      <c r="R29" s="437">
        <f t="shared" si="2"/>
        <v>0</v>
      </c>
      <c r="S29" s="432">
        <f t="shared" si="2"/>
        <v>0</v>
      </c>
      <c r="T29" s="432">
        <f t="shared" si="2"/>
        <v>0</v>
      </c>
      <c r="U29" s="432">
        <f t="shared" si="2"/>
        <v>0</v>
      </c>
      <c r="V29" s="432">
        <f t="shared" si="2"/>
        <v>0</v>
      </c>
      <c r="W29" s="433">
        <f t="shared" si="2"/>
        <v>0</v>
      </c>
      <c r="X29" s="407"/>
      <c r="Y29" s="407"/>
      <c r="Z29" s="407"/>
      <c r="AA29" s="407"/>
    </row>
    <row r="30" spans="1:27" ht="12.75" customHeight="1" x14ac:dyDescent="0.2">
      <c r="A30" s="412"/>
      <c r="B30" s="416"/>
      <c r="C30" s="448"/>
      <c r="D30" s="417"/>
      <c r="E30" s="417"/>
      <c r="F30" s="443"/>
      <c r="G30" s="418"/>
      <c r="H30" s="407"/>
      <c r="I30" s="407"/>
      <c r="J30" s="407"/>
      <c r="K30" s="407"/>
      <c r="L30" s="431">
        <f t="shared" si="4"/>
        <v>0</v>
      </c>
      <c r="M30" s="432">
        <f t="shared" si="4"/>
        <v>0</v>
      </c>
      <c r="N30" s="432">
        <f t="shared" si="4"/>
        <v>0</v>
      </c>
      <c r="O30" s="432">
        <f t="shared" si="4"/>
        <v>0</v>
      </c>
      <c r="P30" s="432">
        <f t="shared" si="4"/>
        <v>0</v>
      </c>
      <c r="Q30" s="433">
        <f t="shared" si="4"/>
        <v>0</v>
      </c>
      <c r="R30" s="437">
        <f t="shared" si="2"/>
        <v>0</v>
      </c>
      <c r="S30" s="432">
        <f t="shared" si="2"/>
        <v>0</v>
      </c>
      <c r="T30" s="432">
        <f t="shared" si="2"/>
        <v>0</v>
      </c>
      <c r="U30" s="432">
        <f t="shared" si="2"/>
        <v>0</v>
      </c>
      <c r="V30" s="432">
        <f t="shared" si="2"/>
        <v>0</v>
      </c>
      <c r="W30" s="433">
        <f t="shared" si="2"/>
        <v>0</v>
      </c>
      <c r="X30" s="407"/>
      <c r="Y30" s="407"/>
      <c r="Z30" s="407"/>
      <c r="AA30" s="407"/>
    </row>
    <row r="31" spans="1:27" ht="12.75" customHeight="1" x14ac:dyDescent="0.2">
      <c r="A31" s="412"/>
      <c r="B31" s="416"/>
      <c r="C31" s="448"/>
      <c r="D31" s="417"/>
      <c r="E31" s="417"/>
      <c r="F31" s="443"/>
      <c r="G31" s="418"/>
      <c r="H31" s="407"/>
      <c r="I31" s="407"/>
      <c r="J31" s="407"/>
      <c r="K31" s="407"/>
      <c r="L31" s="431">
        <f t="shared" si="4"/>
        <v>0</v>
      </c>
      <c r="M31" s="432">
        <f t="shared" si="4"/>
        <v>0</v>
      </c>
      <c r="N31" s="432">
        <f t="shared" si="4"/>
        <v>0</v>
      </c>
      <c r="O31" s="432">
        <f t="shared" si="4"/>
        <v>0</v>
      </c>
      <c r="P31" s="432">
        <f t="shared" si="4"/>
        <v>0</v>
      </c>
      <c r="Q31" s="433">
        <f t="shared" si="4"/>
        <v>0</v>
      </c>
      <c r="R31" s="437">
        <f t="shared" si="2"/>
        <v>0</v>
      </c>
      <c r="S31" s="432">
        <f t="shared" si="2"/>
        <v>0</v>
      </c>
      <c r="T31" s="432">
        <f t="shared" si="2"/>
        <v>0</v>
      </c>
      <c r="U31" s="432">
        <f t="shared" si="2"/>
        <v>0</v>
      </c>
      <c r="V31" s="432">
        <f t="shared" si="2"/>
        <v>0</v>
      </c>
      <c r="W31" s="433">
        <f t="shared" si="2"/>
        <v>0</v>
      </c>
      <c r="X31" s="407"/>
      <c r="Y31" s="407"/>
      <c r="Z31" s="407"/>
      <c r="AA31" s="407"/>
    </row>
    <row r="32" spans="1:27" ht="12.75" customHeight="1" x14ac:dyDescent="0.2">
      <c r="A32" s="412"/>
      <c r="B32" s="416"/>
      <c r="C32" s="448"/>
      <c r="D32" s="417"/>
      <c r="E32" s="417"/>
      <c r="F32" s="443"/>
      <c r="G32" s="418"/>
      <c r="H32" s="407"/>
      <c r="I32" s="407"/>
      <c r="J32" s="407"/>
      <c r="K32" s="407"/>
      <c r="L32" s="431">
        <f t="shared" ref="L32:Q45" si="5">IF($F32=L$2,1,0)</f>
        <v>0</v>
      </c>
      <c r="M32" s="432">
        <f t="shared" si="5"/>
        <v>0</v>
      </c>
      <c r="N32" s="432">
        <f t="shared" si="5"/>
        <v>0</v>
      </c>
      <c r="O32" s="432">
        <f t="shared" si="5"/>
        <v>0</v>
      </c>
      <c r="P32" s="432">
        <f t="shared" si="5"/>
        <v>0</v>
      </c>
      <c r="Q32" s="433">
        <f t="shared" si="5"/>
        <v>0</v>
      </c>
      <c r="R32" s="437">
        <f t="shared" si="2"/>
        <v>0</v>
      </c>
      <c r="S32" s="432">
        <f t="shared" si="2"/>
        <v>0</v>
      </c>
      <c r="T32" s="432">
        <f t="shared" si="2"/>
        <v>0</v>
      </c>
      <c r="U32" s="432">
        <f t="shared" si="2"/>
        <v>0</v>
      </c>
      <c r="V32" s="432">
        <f t="shared" si="2"/>
        <v>0</v>
      </c>
      <c r="W32" s="433">
        <f t="shared" si="2"/>
        <v>0</v>
      </c>
      <c r="X32" s="407"/>
      <c r="Y32" s="407"/>
      <c r="Z32" s="407"/>
      <c r="AA32" s="407"/>
    </row>
    <row r="33" spans="1:27" ht="12.75" customHeight="1" x14ac:dyDescent="0.2">
      <c r="A33" s="412"/>
      <c r="B33" s="416"/>
      <c r="C33" s="448"/>
      <c r="D33" s="417"/>
      <c r="E33" s="417"/>
      <c r="F33" s="443"/>
      <c r="G33" s="418"/>
      <c r="H33" s="407"/>
      <c r="I33" s="407"/>
      <c r="J33" s="407"/>
      <c r="K33" s="407"/>
      <c r="L33" s="431">
        <f t="shared" si="5"/>
        <v>0</v>
      </c>
      <c r="M33" s="432">
        <f t="shared" si="5"/>
        <v>0</v>
      </c>
      <c r="N33" s="432">
        <f t="shared" si="5"/>
        <v>0</v>
      </c>
      <c r="O33" s="432">
        <f t="shared" si="5"/>
        <v>0</v>
      </c>
      <c r="P33" s="432">
        <f t="shared" si="5"/>
        <v>0</v>
      </c>
      <c r="Q33" s="433">
        <f t="shared" si="5"/>
        <v>0</v>
      </c>
      <c r="R33" s="437">
        <f t="shared" si="2"/>
        <v>0</v>
      </c>
      <c r="S33" s="432">
        <f t="shared" si="2"/>
        <v>0</v>
      </c>
      <c r="T33" s="432">
        <f t="shared" si="2"/>
        <v>0</v>
      </c>
      <c r="U33" s="432">
        <f t="shared" si="2"/>
        <v>0</v>
      </c>
      <c r="V33" s="432">
        <f t="shared" si="2"/>
        <v>0</v>
      </c>
      <c r="W33" s="433">
        <f t="shared" si="2"/>
        <v>0</v>
      </c>
      <c r="X33" s="407"/>
      <c r="Y33" s="407"/>
      <c r="Z33" s="407"/>
      <c r="AA33" s="407"/>
    </row>
    <row r="34" spans="1:27" ht="12.75" customHeight="1" x14ac:dyDescent="0.2">
      <c r="A34" s="412"/>
      <c r="B34" s="416"/>
      <c r="C34" s="448"/>
      <c r="D34" s="417"/>
      <c r="E34" s="417"/>
      <c r="F34" s="442"/>
      <c r="G34" s="415"/>
      <c r="H34" s="407"/>
      <c r="I34" s="407"/>
      <c r="J34" s="407"/>
      <c r="K34" s="407"/>
      <c r="L34" s="431">
        <f t="shared" si="5"/>
        <v>0</v>
      </c>
      <c r="M34" s="432">
        <f t="shared" si="5"/>
        <v>0</v>
      </c>
      <c r="N34" s="432">
        <f t="shared" si="5"/>
        <v>0</v>
      </c>
      <c r="O34" s="432">
        <f t="shared" si="5"/>
        <v>0</v>
      </c>
      <c r="P34" s="432">
        <f t="shared" si="5"/>
        <v>0</v>
      </c>
      <c r="Q34" s="433">
        <f t="shared" si="5"/>
        <v>0</v>
      </c>
      <c r="R34" s="437">
        <f t="shared" si="2"/>
        <v>0</v>
      </c>
      <c r="S34" s="432">
        <f t="shared" si="2"/>
        <v>0</v>
      </c>
      <c r="T34" s="432">
        <f t="shared" si="2"/>
        <v>0</v>
      </c>
      <c r="U34" s="432">
        <f t="shared" si="2"/>
        <v>0</v>
      </c>
      <c r="V34" s="432">
        <f t="shared" si="2"/>
        <v>0</v>
      </c>
      <c r="W34" s="433">
        <f t="shared" si="2"/>
        <v>0</v>
      </c>
      <c r="X34" s="407"/>
      <c r="Y34" s="407"/>
      <c r="Z34" s="407"/>
      <c r="AA34" s="407"/>
    </row>
    <row r="35" spans="1:27" ht="12.75" customHeight="1" x14ac:dyDescent="0.2">
      <c r="A35" s="412"/>
      <c r="B35" s="416"/>
      <c r="C35" s="448"/>
      <c r="D35" s="417"/>
      <c r="E35" s="417"/>
      <c r="F35" s="443"/>
      <c r="G35" s="418"/>
      <c r="H35" s="407"/>
      <c r="I35" s="407"/>
      <c r="J35" s="407"/>
      <c r="K35" s="407"/>
      <c r="L35" s="431">
        <f t="shared" si="5"/>
        <v>0</v>
      </c>
      <c r="M35" s="432">
        <f t="shared" si="5"/>
        <v>0</v>
      </c>
      <c r="N35" s="432">
        <f t="shared" si="5"/>
        <v>0</v>
      </c>
      <c r="O35" s="432">
        <f t="shared" si="5"/>
        <v>0</v>
      </c>
      <c r="P35" s="432">
        <f t="shared" si="5"/>
        <v>0</v>
      </c>
      <c r="Q35" s="433">
        <f t="shared" si="5"/>
        <v>0</v>
      </c>
      <c r="R35" s="437">
        <f t="shared" si="2"/>
        <v>0</v>
      </c>
      <c r="S35" s="432">
        <f t="shared" si="2"/>
        <v>0</v>
      </c>
      <c r="T35" s="432">
        <f t="shared" si="2"/>
        <v>0</v>
      </c>
      <c r="U35" s="432">
        <f t="shared" si="2"/>
        <v>0</v>
      </c>
      <c r="V35" s="432">
        <f t="shared" si="2"/>
        <v>0</v>
      </c>
      <c r="W35" s="433">
        <f t="shared" si="2"/>
        <v>0</v>
      </c>
      <c r="X35" s="407"/>
      <c r="Y35" s="407"/>
      <c r="Z35" s="407"/>
      <c r="AA35" s="407"/>
    </row>
    <row r="36" spans="1:27" ht="12.75" customHeight="1" x14ac:dyDescent="0.2">
      <c r="A36" s="412"/>
      <c r="B36" s="416"/>
      <c r="C36" s="448"/>
      <c r="D36" s="417"/>
      <c r="E36" s="417"/>
      <c r="F36" s="442"/>
      <c r="G36" s="415"/>
      <c r="H36" s="407"/>
      <c r="I36" s="407"/>
      <c r="J36" s="407"/>
      <c r="K36" s="407"/>
      <c r="L36" s="431">
        <f t="shared" si="5"/>
        <v>0</v>
      </c>
      <c r="M36" s="432">
        <f t="shared" si="5"/>
        <v>0</v>
      </c>
      <c r="N36" s="432">
        <f t="shared" si="5"/>
        <v>0</v>
      </c>
      <c r="O36" s="432">
        <f t="shared" si="5"/>
        <v>0</v>
      </c>
      <c r="P36" s="432">
        <f t="shared" si="5"/>
        <v>0</v>
      </c>
      <c r="Q36" s="433">
        <f t="shared" si="5"/>
        <v>0</v>
      </c>
      <c r="R36" s="437">
        <f t="shared" si="2"/>
        <v>0</v>
      </c>
      <c r="S36" s="432">
        <f t="shared" si="2"/>
        <v>0</v>
      </c>
      <c r="T36" s="432">
        <f t="shared" si="2"/>
        <v>0</v>
      </c>
      <c r="U36" s="432">
        <f t="shared" si="2"/>
        <v>0</v>
      </c>
      <c r="V36" s="432">
        <f t="shared" si="2"/>
        <v>0</v>
      </c>
      <c r="W36" s="433">
        <f t="shared" si="2"/>
        <v>0</v>
      </c>
      <c r="X36" s="407"/>
      <c r="Y36" s="407"/>
      <c r="Z36" s="407"/>
      <c r="AA36" s="407"/>
    </row>
    <row r="37" spans="1:27" ht="12.75" customHeight="1" x14ac:dyDescent="0.2">
      <c r="A37" s="412"/>
      <c r="B37" s="416"/>
      <c r="C37" s="448"/>
      <c r="D37" s="417"/>
      <c r="E37" s="417"/>
      <c r="F37" s="442"/>
      <c r="G37" s="415"/>
      <c r="H37" s="407"/>
      <c r="I37" s="407"/>
      <c r="J37" s="407"/>
      <c r="K37" s="407"/>
      <c r="L37" s="431">
        <f t="shared" si="5"/>
        <v>0</v>
      </c>
      <c r="M37" s="432">
        <f t="shared" si="5"/>
        <v>0</v>
      </c>
      <c r="N37" s="432">
        <f t="shared" si="5"/>
        <v>0</v>
      </c>
      <c r="O37" s="432">
        <f t="shared" si="5"/>
        <v>0</v>
      </c>
      <c r="P37" s="432">
        <f t="shared" si="5"/>
        <v>0</v>
      </c>
      <c r="Q37" s="433">
        <f t="shared" si="5"/>
        <v>0</v>
      </c>
      <c r="R37" s="437">
        <f t="shared" si="2"/>
        <v>0</v>
      </c>
      <c r="S37" s="432">
        <f t="shared" si="2"/>
        <v>0</v>
      </c>
      <c r="T37" s="432">
        <f t="shared" si="2"/>
        <v>0</v>
      </c>
      <c r="U37" s="432">
        <f t="shared" si="2"/>
        <v>0</v>
      </c>
      <c r="V37" s="432">
        <f t="shared" si="2"/>
        <v>0</v>
      </c>
      <c r="W37" s="433">
        <f t="shared" si="2"/>
        <v>0</v>
      </c>
      <c r="X37" s="407"/>
      <c r="Y37" s="407"/>
      <c r="Z37" s="407"/>
      <c r="AA37" s="407"/>
    </row>
    <row r="38" spans="1:27" ht="12.75" customHeight="1" x14ac:dyDescent="0.2">
      <c r="A38" s="412"/>
      <c r="B38" s="416"/>
      <c r="C38" s="448"/>
      <c r="D38" s="417"/>
      <c r="E38" s="417"/>
      <c r="F38" s="443"/>
      <c r="G38" s="418"/>
      <c r="H38" s="407"/>
      <c r="I38" s="407"/>
      <c r="J38" s="407"/>
      <c r="K38" s="407"/>
      <c r="L38" s="431">
        <f t="shared" si="5"/>
        <v>0</v>
      </c>
      <c r="M38" s="432">
        <f t="shared" si="5"/>
        <v>0</v>
      </c>
      <c r="N38" s="432">
        <f t="shared" si="5"/>
        <v>0</v>
      </c>
      <c r="O38" s="432">
        <f t="shared" si="5"/>
        <v>0</v>
      </c>
      <c r="P38" s="432">
        <f t="shared" si="5"/>
        <v>0</v>
      </c>
      <c r="Q38" s="433">
        <f t="shared" si="5"/>
        <v>0</v>
      </c>
      <c r="R38" s="437">
        <f t="shared" si="2"/>
        <v>0</v>
      </c>
      <c r="S38" s="432">
        <f t="shared" si="2"/>
        <v>0</v>
      </c>
      <c r="T38" s="432">
        <f t="shared" si="2"/>
        <v>0</v>
      </c>
      <c r="U38" s="432">
        <f t="shared" si="2"/>
        <v>0</v>
      </c>
      <c r="V38" s="432">
        <f t="shared" si="2"/>
        <v>0</v>
      </c>
      <c r="W38" s="433">
        <f t="shared" si="2"/>
        <v>0</v>
      </c>
      <c r="X38" s="407"/>
      <c r="Y38" s="407"/>
      <c r="Z38" s="407"/>
      <c r="AA38" s="407"/>
    </row>
    <row r="39" spans="1:27" ht="12.75" customHeight="1" x14ac:dyDescent="0.2">
      <c r="A39" s="412"/>
      <c r="B39" s="413"/>
      <c r="C39" s="448"/>
      <c r="D39" s="417"/>
      <c r="E39" s="417"/>
      <c r="F39" s="443"/>
      <c r="G39" s="418"/>
      <c r="H39" s="407"/>
      <c r="I39" s="407"/>
      <c r="J39" s="407"/>
      <c r="K39" s="407"/>
      <c r="L39" s="431">
        <f t="shared" si="5"/>
        <v>0</v>
      </c>
      <c r="M39" s="432">
        <f t="shared" si="5"/>
        <v>0</v>
      </c>
      <c r="N39" s="432">
        <f t="shared" si="5"/>
        <v>0</v>
      </c>
      <c r="O39" s="432">
        <f t="shared" si="5"/>
        <v>0</v>
      </c>
      <c r="P39" s="432">
        <f t="shared" si="5"/>
        <v>0</v>
      </c>
      <c r="Q39" s="433">
        <f t="shared" si="5"/>
        <v>0</v>
      </c>
      <c r="R39" s="437">
        <f t="shared" si="2"/>
        <v>0</v>
      </c>
      <c r="S39" s="432">
        <f t="shared" si="2"/>
        <v>0</v>
      </c>
      <c r="T39" s="432">
        <f t="shared" si="2"/>
        <v>0</v>
      </c>
      <c r="U39" s="432">
        <f t="shared" si="2"/>
        <v>0</v>
      </c>
      <c r="V39" s="432">
        <f t="shared" si="2"/>
        <v>0</v>
      </c>
      <c r="W39" s="433">
        <f t="shared" si="2"/>
        <v>0</v>
      </c>
      <c r="X39" s="407"/>
      <c r="Y39" s="407"/>
      <c r="Z39" s="407"/>
      <c r="AA39" s="407"/>
    </row>
    <row r="40" spans="1:27" ht="12.75" customHeight="1" x14ac:dyDescent="0.2">
      <c r="A40" s="412"/>
      <c r="B40" s="416"/>
      <c r="C40" s="448"/>
      <c r="D40" s="417"/>
      <c r="E40" s="417"/>
      <c r="F40" s="443"/>
      <c r="G40" s="418"/>
      <c r="H40" s="407"/>
      <c r="I40" s="407"/>
      <c r="J40" s="407"/>
      <c r="K40" s="407"/>
      <c r="L40" s="431">
        <f t="shared" si="5"/>
        <v>0</v>
      </c>
      <c r="M40" s="432">
        <f t="shared" si="5"/>
        <v>0</v>
      </c>
      <c r="N40" s="432">
        <f t="shared" si="5"/>
        <v>0</v>
      </c>
      <c r="O40" s="432">
        <f t="shared" si="5"/>
        <v>0</v>
      </c>
      <c r="P40" s="432">
        <f t="shared" si="5"/>
        <v>0</v>
      </c>
      <c r="Q40" s="433">
        <f t="shared" si="5"/>
        <v>0</v>
      </c>
      <c r="R40" s="437">
        <f t="shared" si="2"/>
        <v>0</v>
      </c>
      <c r="S40" s="432">
        <f t="shared" si="2"/>
        <v>0</v>
      </c>
      <c r="T40" s="432">
        <f t="shared" si="2"/>
        <v>0</v>
      </c>
      <c r="U40" s="432">
        <f t="shared" si="2"/>
        <v>0</v>
      </c>
      <c r="V40" s="432">
        <f t="shared" si="2"/>
        <v>0</v>
      </c>
      <c r="W40" s="433">
        <f t="shared" si="2"/>
        <v>0</v>
      </c>
      <c r="X40" s="407"/>
      <c r="Y40" s="407"/>
      <c r="Z40" s="407"/>
      <c r="AA40" s="407"/>
    </row>
    <row r="41" spans="1:27" ht="12.75" customHeight="1" x14ac:dyDescent="0.2">
      <c r="A41" s="412"/>
      <c r="B41" s="416"/>
      <c r="C41" s="448"/>
      <c r="D41" s="417"/>
      <c r="E41" s="417"/>
      <c r="F41" s="443"/>
      <c r="G41" s="418"/>
      <c r="H41" s="407"/>
      <c r="I41" s="407"/>
      <c r="J41" s="407"/>
      <c r="K41" s="407"/>
      <c r="L41" s="431">
        <f t="shared" si="5"/>
        <v>0</v>
      </c>
      <c r="M41" s="432">
        <f t="shared" si="5"/>
        <v>0</v>
      </c>
      <c r="N41" s="432">
        <f t="shared" si="5"/>
        <v>0</v>
      </c>
      <c r="O41" s="432">
        <f t="shared" si="5"/>
        <v>0</v>
      </c>
      <c r="P41" s="432">
        <f t="shared" si="5"/>
        <v>0</v>
      </c>
      <c r="Q41" s="433">
        <f t="shared" si="5"/>
        <v>0</v>
      </c>
      <c r="R41" s="437">
        <f t="shared" si="2"/>
        <v>0</v>
      </c>
      <c r="S41" s="432">
        <f t="shared" si="2"/>
        <v>0</v>
      </c>
      <c r="T41" s="432">
        <f t="shared" si="2"/>
        <v>0</v>
      </c>
      <c r="U41" s="432">
        <f t="shared" si="2"/>
        <v>0</v>
      </c>
      <c r="V41" s="432">
        <f t="shared" si="2"/>
        <v>0</v>
      </c>
      <c r="W41" s="433">
        <f t="shared" si="2"/>
        <v>0</v>
      </c>
      <c r="X41" s="407"/>
      <c r="Y41" s="407"/>
      <c r="Z41" s="407"/>
      <c r="AA41" s="407"/>
    </row>
    <row r="42" spans="1:27" ht="12.75" customHeight="1" x14ac:dyDescent="0.2">
      <c r="A42" s="412"/>
      <c r="B42" s="416"/>
      <c r="C42" s="448"/>
      <c r="D42" s="417"/>
      <c r="E42" s="417"/>
      <c r="F42" s="443"/>
      <c r="G42" s="418"/>
      <c r="H42" s="407"/>
      <c r="I42" s="407"/>
      <c r="J42" s="407"/>
      <c r="K42" s="407"/>
      <c r="L42" s="431">
        <f t="shared" si="5"/>
        <v>0</v>
      </c>
      <c r="M42" s="432">
        <f t="shared" si="5"/>
        <v>0</v>
      </c>
      <c r="N42" s="432">
        <f t="shared" si="5"/>
        <v>0</v>
      </c>
      <c r="O42" s="432">
        <f t="shared" si="5"/>
        <v>0</v>
      </c>
      <c r="P42" s="432">
        <f t="shared" si="5"/>
        <v>0</v>
      </c>
      <c r="Q42" s="433">
        <f t="shared" si="5"/>
        <v>0</v>
      </c>
      <c r="R42" s="437">
        <f t="shared" si="2"/>
        <v>0</v>
      </c>
      <c r="S42" s="432">
        <f t="shared" si="2"/>
        <v>0</v>
      </c>
      <c r="T42" s="432">
        <f t="shared" si="2"/>
        <v>0</v>
      </c>
      <c r="U42" s="432">
        <f t="shared" si="2"/>
        <v>0</v>
      </c>
      <c r="V42" s="432">
        <f t="shared" si="2"/>
        <v>0</v>
      </c>
      <c r="W42" s="433">
        <f t="shared" si="2"/>
        <v>0</v>
      </c>
      <c r="X42" s="407"/>
      <c r="Y42" s="407"/>
      <c r="Z42" s="407"/>
      <c r="AA42" s="407"/>
    </row>
    <row r="43" spans="1:27" ht="12.75" customHeight="1" x14ac:dyDescent="0.2">
      <c r="A43" s="412"/>
      <c r="B43" s="416"/>
      <c r="C43" s="448"/>
      <c r="D43" s="417"/>
      <c r="E43" s="417"/>
      <c r="F43" s="443"/>
      <c r="G43" s="418"/>
      <c r="H43" s="407"/>
      <c r="I43" s="407"/>
      <c r="J43" s="407"/>
      <c r="K43" s="407"/>
      <c r="L43" s="431">
        <f t="shared" si="5"/>
        <v>0</v>
      </c>
      <c r="M43" s="432">
        <f t="shared" si="5"/>
        <v>0</v>
      </c>
      <c r="N43" s="432">
        <f t="shared" si="5"/>
        <v>0</v>
      </c>
      <c r="O43" s="432">
        <f t="shared" si="5"/>
        <v>0</v>
      </c>
      <c r="P43" s="432">
        <f t="shared" si="5"/>
        <v>0</v>
      </c>
      <c r="Q43" s="433">
        <f t="shared" si="5"/>
        <v>0</v>
      </c>
      <c r="R43" s="437">
        <f t="shared" si="2"/>
        <v>0</v>
      </c>
      <c r="S43" s="432">
        <f t="shared" si="2"/>
        <v>0</v>
      </c>
      <c r="T43" s="432">
        <f t="shared" si="2"/>
        <v>0</v>
      </c>
      <c r="U43" s="432">
        <f t="shared" si="2"/>
        <v>0</v>
      </c>
      <c r="V43" s="432">
        <f t="shared" si="2"/>
        <v>0</v>
      </c>
      <c r="W43" s="433">
        <f t="shared" si="2"/>
        <v>0</v>
      </c>
      <c r="X43" s="407"/>
      <c r="Y43" s="407"/>
      <c r="Z43" s="407"/>
      <c r="AA43" s="407"/>
    </row>
    <row r="44" spans="1:27" ht="12.75" customHeight="1" x14ac:dyDescent="0.2">
      <c r="A44" s="412"/>
      <c r="B44" s="416"/>
      <c r="C44" s="448"/>
      <c r="D44" s="417"/>
      <c r="E44" s="417"/>
      <c r="F44" s="442"/>
      <c r="G44" s="415"/>
      <c r="H44" s="407"/>
      <c r="I44" s="407"/>
      <c r="J44" s="407"/>
      <c r="K44" s="407"/>
      <c r="L44" s="431">
        <f t="shared" si="5"/>
        <v>0</v>
      </c>
      <c r="M44" s="432">
        <f t="shared" si="5"/>
        <v>0</v>
      </c>
      <c r="N44" s="432">
        <f t="shared" si="5"/>
        <v>0</v>
      </c>
      <c r="O44" s="432">
        <f t="shared" si="5"/>
        <v>0</v>
      </c>
      <c r="P44" s="432">
        <f t="shared" si="5"/>
        <v>0</v>
      </c>
      <c r="Q44" s="433">
        <f t="shared" si="5"/>
        <v>0</v>
      </c>
      <c r="R44" s="437">
        <f t="shared" si="2"/>
        <v>0</v>
      </c>
      <c r="S44" s="432">
        <f t="shared" si="2"/>
        <v>0</v>
      </c>
      <c r="T44" s="432">
        <f t="shared" si="2"/>
        <v>0</v>
      </c>
      <c r="U44" s="432">
        <f t="shared" si="2"/>
        <v>0</v>
      </c>
      <c r="V44" s="432">
        <f t="shared" si="2"/>
        <v>0</v>
      </c>
      <c r="W44" s="433">
        <f t="shared" si="2"/>
        <v>0</v>
      </c>
      <c r="X44" s="407"/>
      <c r="Y44" s="407"/>
      <c r="Z44" s="407"/>
      <c r="AA44" s="407"/>
    </row>
    <row r="45" spans="1:27" ht="12.75" customHeight="1" thickBot="1" x14ac:dyDescent="0.25">
      <c r="A45" s="412"/>
      <c r="B45" s="419"/>
      <c r="C45" s="449"/>
      <c r="D45" s="420"/>
      <c r="E45" s="421"/>
      <c r="F45" s="444"/>
      <c r="G45" s="418"/>
      <c r="H45" s="407"/>
      <c r="I45" s="407"/>
      <c r="J45" s="407"/>
      <c r="K45" s="407"/>
      <c r="L45" s="431">
        <f t="shared" si="5"/>
        <v>0</v>
      </c>
      <c r="M45" s="432">
        <f t="shared" si="5"/>
        <v>0</v>
      </c>
      <c r="N45" s="432">
        <f t="shared" si="5"/>
        <v>0</v>
      </c>
      <c r="O45" s="432">
        <f t="shared" si="5"/>
        <v>0</v>
      </c>
      <c r="P45" s="432">
        <f t="shared" si="5"/>
        <v>0</v>
      </c>
      <c r="Q45" s="433">
        <f t="shared" si="5"/>
        <v>0</v>
      </c>
      <c r="R45" s="437">
        <f t="shared" si="2"/>
        <v>0</v>
      </c>
      <c r="S45" s="432">
        <f t="shared" si="2"/>
        <v>0</v>
      </c>
      <c r="T45" s="432">
        <f t="shared" si="2"/>
        <v>0</v>
      </c>
      <c r="U45" s="432">
        <f t="shared" si="2"/>
        <v>0</v>
      </c>
      <c r="V45" s="432">
        <f t="shared" si="2"/>
        <v>0</v>
      </c>
      <c r="W45" s="433">
        <f t="shared" si="2"/>
        <v>0</v>
      </c>
      <c r="X45" s="407"/>
      <c r="Y45" s="407"/>
      <c r="Z45" s="407"/>
      <c r="AA45" s="407"/>
    </row>
    <row r="46" spans="1:27" ht="12.75" customHeight="1" thickBot="1" x14ac:dyDescent="0.25">
      <c r="A46" s="407"/>
      <c r="B46" s="422"/>
      <c r="C46" s="422"/>
      <c r="D46" s="422"/>
      <c r="E46" s="422"/>
      <c r="F46" s="422"/>
      <c r="G46" s="422"/>
      <c r="H46" s="407"/>
      <c r="I46" s="407"/>
      <c r="J46" s="407"/>
      <c r="K46" s="430" t="s">
        <v>249</v>
      </c>
      <c r="L46" s="1003"/>
      <c r="M46" s="1004"/>
      <c r="N46" s="1004"/>
      <c r="O46" s="1004"/>
      <c r="P46" s="1004"/>
      <c r="Q46" s="1005"/>
      <c r="R46" s="1003"/>
      <c r="S46" s="1004"/>
      <c r="T46" s="1004">
        <v>0</v>
      </c>
      <c r="U46" s="1004">
        <v>0</v>
      </c>
      <c r="V46" s="1004"/>
      <c r="W46" s="1005">
        <v>0</v>
      </c>
      <c r="X46" s="407"/>
      <c r="Y46" s="407"/>
      <c r="Z46" s="407"/>
      <c r="AA46" s="407"/>
    </row>
    <row r="47" spans="1:27" ht="15.75" thickBot="1" x14ac:dyDescent="0.25">
      <c r="A47" s="407"/>
      <c r="B47" s="405" t="s">
        <v>55</v>
      </c>
      <c r="C47" s="422"/>
      <c r="D47" s="422"/>
      <c r="E47" s="422"/>
      <c r="F47" s="422"/>
      <c r="G47" s="422"/>
      <c r="H47" s="407"/>
      <c r="I47" s="407"/>
      <c r="J47" s="407"/>
      <c r="K47" s="436" t="s">
        <v>34</v>
      </c>
      <c r="L47" s="427">
        <f t="shared" ref="L47:W47" si="6">SUM(L4:L45)+L46</f>
        <v>0</v>
      </c>
      <c r="M47" s="428">
        <f t="shared" si="6"/>
        <v>0</v>
      </c>
      <c r="N47" s="428">
        <f t="shared" si="6"/>
        <v>0</v>
      </c>
      <c r="O47" s="428">
        <f t="shared" si="6"/>
        <v>0</v>
      </c>
      <c r="P47" s="428">
        <f t="shared" si="6"/>
        <v>0</v>
      </c>
      <c r="Q47" s="429">
        <f t="shared" si="6"/>
        <v>0</v>
      </c>
      <c r="R47" s="427">
        <f t="shared" si="6"/>
        <v>0</v>
      </c>
      <c r="S47" s="428">
        <f t="shared" si="6"/>
        <v>0</v>
      </c>
      <c r="T47" s="428">
        <f t="shared" si="6"/>
        <v>0</v>
      </c>
      <c r="U47" s="428">
        <f t="shared" si="6"/>
        <v>0</v>
      </c>
      <c r="V47" s="428">
        <f t="shared" si="6"/>
        <v>0</v>
      </c>
      <c r="W47" s="429">
        <f t="shared" si="6"/>
        <v>0</v>
      </c>
      <c r="X47" s="407"/>
      <c r="Y47" s="407"/>
      <c r="Z47" s="407"/>
      <c r="AA47" s="407"/>
    </row>
    <row r="48" spans="1:27" ht="12.75" customHeight="1" x14ac:dyDescent="0.2">
      <c r="A48" s="407"/>
      <c r="B48" s="450">
        <f>IF(L47&gt;0,L47&amp;" "&amp;K60,0)</f>
        <v>0</v>
      </c>
      <c r="C48" s="1418" t="str">
        <f>IF(L46&gt;0,I60&amp;J60&amp;" *",I60&amp;J60)</f>
        <v>Casting, 15, Furnish and Adjust to Grade</v>
      </c>
      <c r="D48" s="1418"/>
      <c r="E48" s="450">
        <f>IF(R47&gt;0,R47&amp;" "&amp;K66,0)</f>
        <v>0</v>
      </c>
      <c r="F48" s="1411">
        <f>IF(R46&gt;0,I66&amp;J66&amp;" *",IF(R47&gt;0,I66&amp;J66,0))</f>
        <v>0</v>
      </c>
      <c r="G48" s="1411"/>
      <c r="H48" s="407"/>
      <c r="I48" s="407"/>
      <c r="J48" s="407"/>
      <c r="K48" s="407"/>
      <c r="L48" s="407"/>
      <c r="M48" s="407"/>
      <c r="N48" s="407"/>
      <c r="O48" s="407"/>
      <c r="P48" s="407"/>
      <c r="Q48" s="407"/>
      <c r="R48" s="407"/>
      <c r="S48" s="407"/>
      <c r="T48" s="407"/>
      <c r="U48" s="407"/>
      <c r="V48" s="407"/>
      <c r="W48" s="407"/>
      <c r="X48" s="407"/>
      <c r="Y48" s="407"/>
      <c r="Z48" s="407"/>
      <c r="AA48" s="407"/>
    </row>
    <row r="49" spans="1:27" ht="12.75" customHeight="1" x14ac:dyDescent="0.2">
      <c r="A49" s="407"/>
      <c r="B49" s="450">
        <f>IF(M47&gt;0,M47&amp;" "&amp;K61,0)</f>
        <v>0</v>
      </c>
      <c r="C49" s="1418" t="str">
        <f>IF(M46&gt;0,I61&amp;J61&amp;" *",I61&amp;J61)</f>
        <v>Casting, Adjust to Grade, Inlet</v>
      </c>
      <c r="D49" s="1418"/>
      <c r="E49" s="450">
        <f>IF(S47&gt;0,S47&amp;" "&amp;K67,0)</f>
        <v>0</v>
      </c>
      <c r="F49" s="1411">
        <f>IF(S46&gt;0,I67&amp;J67&amp;" *",IF(S47&gt;0,I67&amp;J67,0))</f>
        <v>0</v>
      </c>
      <c r="G49" s="1411"/>
      <c r="H49" s="407"/>
      <c r="L49" s="407"/>
      <c r="M49" s="407"/>
      <c r="N49" s="407"/>
      <c r="O49" s="407"/>
      <c r="P49" s="407"/>
      <c r="Q49" s="407"/>
      <c r="R49" s="407"/>
      <c r="S49" s="407"/>
      <c r="T49" s="407"/>
      <c r="U49" s="407"/>
      <c r="V49" s="407"/>
      <c r="W49" s="407"/>
      <c r="X49" s="407"/>
      <c r="Y49" s="407"/>
      <c r="Z49" s="407"/>
      <c r="AA49" s="407"/>
    </row>
    <row r="50" spans="1:27" ht="12.75" customHeight="1" x14ac:dyDescent="0.2">
      <c r="A50" s="407"/>
      <c r="B50" s="450">
        <f>IF(N47&gt;0,N47&amp;" "&amp;K62,0)</f>
        <v>0</v>
      </c>
      <c r="C50" s="1418" t="str">
        <f>IF(N46&gt;0,I62&amp;J62&amp;" *",I62&amp;J62)</f>
        <v>Casting, Adjust to Grade, Manhole</v>
      </c>
      <c r="D50" s="1418"/>
      <c r="E50" s="450">
        <f>IF(T47&gt;0,T47&amp;" "&amp;K68,0)</f>
        <v>0</v>
      </c>
      <c r="F50" s="1411">
        <f>IF(T46&gt;0,I68&amp;J68&amp;" *",IF(T47&gt;0,I68&amp;J68,0))</f>
        <v>0</v>
      </c>
      <c r="G50" s="1411"/>
      <c r="H50" s="407"/>
      <c r="L50" s="407"/>
      <c r="M50" s="407"/>
      <c r="N50" s="407"/>
      <c r="O50" s="407"/>
      <c r="P50" s="407"/>
      <c r="Q50" s="407"/>
      <c r="R50" s="407"/>
      <c r="S50" s="407"/>
      <c r="T50" s="407"/>
      <c r="U50" s="407"/>
      <c r="V50" s="407"/>
      <c r="W50" s="407"/>
      <c r="X50" s="407"/>
      <c r="Y50" s="407"/>
      <c r="Z50" s="407"/>
      <c r="AA50" s="407"/>
    </row>
    <row r="51" spans="1:27" ht="12.75" customHeight="1" x14ac:dyDescent="0.2">
      <c r="A51" s="407"/>
      <c r="B51" s="450">
        <f>IF(O47&gt;0,O47&amp;" "&amp;K63,0)</f>
        <v>0</v>
      </c>
      <c r="C51" s="1418" t="str">
        <f>IF(O46&gt;0,I63&amp;J63&amp;" *",I63&amp;J63)</f>
        <v>Casting, Water Valve, Adjust to Grade</v>
      </c>
      <c r="D51" s="1418"/>
      <c r="E51" s="450">
        <f>IF(U47&gt;0,U47&amp;" "&amp;K69,0)</f>
        <v>0</v>
      </c>
      <c r="F51" s="1411">
        <f>IF(U46&gt;0,I69&amp;J69&amp;" *",IF(U47&gt;0,I69&amp;J69,0))</f>
        <v>0</v>
      </c>
      <c r="G51" s="1411"/>
      <c r="H51" s="407"/>
      <c r="L51" s="407"/>
      <c r="M51" s="407"/>
      <c r="N51" s="407"/>
      <c r="O51" s="407"/>
      <c r="P51" s="407"/>
      <c r="Q51" s="407"/>
      <c r="R51" s="407"/>
      <c r="S51" s="407"/>
      <c r="T51" s="407"/>
      <c r="U51" s="407"/>
      <c r="V51" s="407"/>
      <c r="W51" s="407"/>
      <c r="X51" s="407"/>
      <c r="Y51" s="407"/>
      <c r="Z51" s="407"/>
      <c r="AA51" s="407"/>
    </row>
    <row r="52" spans="1:27" ht="12.75" customHeight="1" x14ac:dyDescent="0.2">
      <c r="A52" s="407"/>
      <c r="B52" s="450">
        <f>IF(P47&gt;0,P47&amp;" "&amp;K64,0)</f>
        <v>0</v>
      </c>
      <c r="C52" s="1418" t="str">
        <f>IF(P46&gt;0,I64&amp;J64&amp;" *",I64&amp;J64)</f>
        <v>Structure, Manhole, Reconstructed</v>
      </c>
      <c r="D52" s="1418"/>
      <c r="E52" s="450">
        <f>IF(V47&gt;0,V47&amp;" "&amp;K70,0)</f>
        <v>0</v>
      </c>
      <c r="F52" s="1411">
        <f>IF(V46&gt;0,I70&amp;J70&amp;" *",IF(V47&gt;0,I70&amp;J70,0))</f>
        <v>0</v>
      </c>
      <c r="G52" s="1411"/>
      <c r="H52" s="407"/>
      <c r="L52" s="407"/>
      <c r="M52" s="407"/>
      <c r="N52" s="407"/>
      <c r="O52" s="407"/>
      <c r="P52" s="407"/>
      <c r="Q52" s="407"/>
      <c r="R52" s="407"/>
      <c r="S52" s="407"/>
      <c r="T52" s="407"/>
      <c r="U52" s="407"/>
      <c r="V52" s="407"/>
      <c r="W52" s="407"/>
      <c r="X52" s="407"/>
      <c r="Y52" s="407"/>
      <c r="Z52" s="407"/>
      <c r="AA52" s="407"/>
    </row>
    <row r="53" spans="1:27" ht="12.75" customHeight="1" x14ac:dyDescent="0.2">
      <c r="A53" s="407"/>
      <c r="B53" s="450">
        <f>IF(Q47&gt;0,Q47&amp;" "&amp;K65,0)</f>
        <v>0</v>
      </c>
      <c r="C53" s="1418" t="str">
        <f>IF(Q46&gt;0,I65&amp;J65&amp;" *",I65&amp;J65)</f>
        <v>Structure, Inlet, Reconstructed</v>
      </c>
      <c r="D53" s="1418"/>
      <c r="E53" s="450">
        <f>IF(W47&gt;0,W47&amp;" "&amp;K71,0)</f>
        <v>0</v>
      </c>
      <c r="F53" s="1411">
        <f>IF(W46&gt;0,I71&amp;J71&amp;" *",IF(W47&gt;0,I71&amp;J71,0))</f>
        <v>0</v>
      </c>
      <c r="G53" s="1411"/>
      <c r="H53" s="407"/>
      <c r="L53" s="407"/>
      <c r="M53" s="407"/>
      <c r="N53" s="407"/>
      <c r="O53" s="407"/>
      <c r="P53" s="407"/>
      <c r="Q53" s="407"/>
      <c r="R53" s="407"/>
      <c r="S53" s="407"/>
      <c r="T53" s="407"/>
      <c r="U53" s="407"/>
      <c r="V53" s="407"/>
      <c r="W53" s="407"/>
      <c r="X53" s="407"/>
      <c r="Y53" s="407"/>
      <c r="Z53" s="407"/>
      <c r="AA53" s="407"/>
    </row>
    <row r="54" spans="1:27" ht="12.75" customHeight="1" x14ac:dyDescent="0.2">
      <c r="A54" s="407"/>
      <c r="B54" s="422"/>
      <c r="C54" s="422"/>
      <c r="D54" s="422"/>
      <c r="E54" s="422"/>
      <c r="F54" s="422"/>
      <c r="G54" s="422"/>
      <c r="H54" s="407"/>
      <c r="L54" s="407"/>
      <c r="M54" s="407"/>
      <c r="N54" s="407"/>
      <c r="O54" s="407"/>
      <c r="P54" s="407"/>
      <c r="Q54" s="407"/>
      <c r="R54" s="407"/>
      <c r="S54" s="407"/>
      <c r="T54" s="407"/>
      <c r="U54" s="407"/>
      <c r="V54" s="407"/>
      <c r="W54" s="407"/>
      <c r="X54" s="407"/>
      <c r="Y54" s="407"/>
      <c r="Z54" s="407"/>
      <c r="AA54" s="407"/>
    </row>
    <row r="55" spans="1:27" ht="12.75" customHeight="1" x14ac:dyDescent="0.2">
      <c r="A55" s="407"/>
      <c r="B55" s="425" t="s">
        <v>393</v>
      </c>
      <c r="C55" s="1418" t="s">
        <v>957</v>
      </c>
      <c r="D55" s="1419"/>
      <c r="E55" s="422"/>
      <c r="F55" s="422"/>
      <c r="G55" s="422"/>
      <c r="H55" s="407"/>
      <c r="L55" s="407"/>
      <c r="M55" s="407"/>
      <c r="N55" s="407"/>
      <c r="O55" s="407"/>
      <c r="P55" s="407"/>
      <c r="Q55" s="407"/>
      <c r="R55" s="407"/>
      <c r="S55" s="407"/>
      <c r="T55" s="407"/>
      <c r="U55" s="407"/>
      <c r="V55" s="407"/>
      <c r="W55" s="407"/>
      <c r="X55" s="407"/>
      <c r="Y55" s="407"/>
      <c r="Z55" s="407"/>
      <c r="AA55" s="407"/>
    </row>
    <row r="56" spans="1:27" ht="6" customHeight="1" x14ac:dyDescent="0.2">
      <c r="A56" s="407"/>
      <c r="B56" s="422"/>
      <c r="C56" s="422"/>
      <c r="D56" s="422"/>
      <c r="E56" s="422"/>
      <c r="F56" s="422"/>
      <c r="G56" s="422"/>
      <c r="H56" s="407"/>
      <c r="L56" s="407"/>
      <c r="M56" s="407"/>
      <c r="N56" s="407"/>
      <c r="O56" s="407"/>
      <c r="P56" s="407"/>
      <c r="Q56" s="407"/>
      <c r="R56" s="407"/>
      <c r="S56" s="407"/>
      <c r="T56" s="407"/>
      <c r="U56" s="407"/>
      <c r="V56" s="407"/>
      <c r="W56" s="407"/>
      <c r="X56" s="407"/>
      <c r="Y56" s="407"/>
      <c r="Z56" s="407"/>
      <c r="AA56" s="407"/>
    </row>
    <row r="57" spans="1:27" x14ac:dyDescent="0.2">
      <c r="A57" s="407"/>
      <c r="B57" s="422"/>
      <c r="C57" s="422"/>
      <c r="D57" s="422"/>
      <c r="E57" s="422"/>
      <c r="F57" s="422"/>
      <c r="G57" s="422"/>
      <c r="H57" s="407"/>
      <c r="I57" s="453" t="s">
        <v>94</v>
      </c>
      <c r="J57" s="974" t="s">
        <v>328</v>
      </c>
      <c r="K57" s="454" t="s">
        <v>443</v>
      </c>
      <c r="L57" s="1405" t="s">
        <v>783</v>
      </c>
      <c r="M57" s="1406"/>
      <c r="N57" s="1406"/>
      <c r="O57" s="454" t="s">
        <v>443</v>
      </c>
      <c r="P57" s="407"/>
      <c r="Q57" s="407"/>
      <c r="R57" s="407"/>
      <c r="S57" s="407"/>
      <c r="T57" s="407"/>
      <c r="U57" s="407"/>
      <c r="V57" s="407"/>
      <c r="W57" s="407"/>
      <c r="X57" s="407"/>
      <c r="Y57" s="407"/>
      <c r="Z57" s="407"/>
      <c r="AA57" s="407"/>
    </row>
    <row r="58" spans="1:27" x14ac:dyDescent="0.2">
      <c r="A58" s="407"/>
      <c r="B58" s="422"/>
      <c r="C58" s="422"/>
      <c r="D58" s="422"/>
      <c r="E58" s="422"/>
      <c r="F58" s="422"/>
      <c r="G58" s="422"/>
      <c r="H58" s="407"/>
      <c r="I58" s="455"/>
      <c r="J58" s="495"/>
      <c r="K58" s="456"/>
      <c r="L58" s="1403"/>
      <c r="M58" s="1404"/>
      <c r="N58" s="1404"/>
      <c r="O58" s="456"/>
      <c r="P58" s="407"/>
      <c r="Q58" s="407"/>
      <c r="R58" s="407"/>
      <c r="S58" s="407"/>
      <c r="T58" s="407"/>
      <c r="U58" s="407"/>
      <c r="V58" s="407"/>
      <c r="W58" s="407"/>
      <c r="X58" s="407"/>
      <c r="Y58" s="407"/>
      <c r="Z58" s="407"/>
      <c r="AA58" s="407"/>
    </row>
    <row r="59" spans="1:27" x14ac:dyDescent="0.2">
      <c r="A59" s="407"/>
      <c r="B59" s="422"/>
      <c r="C59" s="422"/>
      <c r="D59" s="422"/>
      <c r="E59" s="422"/>
      <c r="F59" s="422"/>
      <c r="G59" s="422"/>
      <c r="H59" s="407"/>
      <c r="I59" s="457" t="s">
        <v>159</v>
      </c>
      <c r="J59" s="975"/>
      <c r="K59" s="456"/>
      <c r="L59" s="1403" t="str">
        <f>I59&amp;J59</f>
        <v>No Change Required</v>
      </c>
      <c r="M59" s="1404"/>
      <c r="N59" s="1404"/>
      <c r="O59" s="456" t="s">
        <v>103</v>
      </c>
      <c r="P59" s="407"/>
      <c r="Q59" s="407"/>
      <c r="R59" s="407"/>
      <c r="S59" s="407"/>
      <c r="T59" s="407"/>
      <c r="U59" s="407"/>
      <c r="V59" s="407"/>
      <c r="W59" s="407"/>
      <c r="X59" s="407"/>
      <c r="Y59" s="407"/>
      <c r="Z59" s="407"/>
      <c r="AA59" s="407"/>
    </row>
    <row r="60" spans="1:27" x14ac:dyDescent="0.2">
      <c r="A60" s="407"/>
      <c r="B60" s="422"/>
      <c r="C60" s="422"/>
      <c r="D60" s="422"/>
      <c r="E60" s="422"/>
      <c r="F60" s="422"/>
      <c r="G60" s="422"/>
      <c r="H60" s="407"/>
      <c r="I60" s="440" t="s">
        <v>779</v>
      </c>
      <c r="J60" s="976"/>
      <c r="K60" s="452" t="s">
        <v>103</v>
      </c>
      <c r="L60" s="1403" t="str">
        <f t="shared" ref="L60:L71" si="7">I60&amp;J60</f>
        <v>Casting, 15, Furnish and Adjust to Grade</v>
      </c>
      <c r="M60" s="1404"/>
      <c r="N60" s="1404"/>
      <c r="O60" s="456" t="s">
        <v>101</v>
      </c>
      <c r="P60" s="407"/>
      <c r="Q60" s="407"/>
      <c r="R60" s="407"/>
      <c r="S60" s="407"/>
      <c r="T60" s="407"/>
      <c r="U60" s="407"/>
      <c r="V60" s="407"/>
      <c r="W60" s="407"/>
      <c r="X60" s="407"/>
      <c r="Y60" s="407"/>
      <c r="Z60" s="407"/>
      <c r="AA60" s="407"/>
    </row>
    <row r="61" spans="1:27" x14ac:dyDescent="0.2">
      <c r="A61" s="407"/>
      <c r="B61" s="422"/>
      <c r="C61" s="422"/>
      <c r="D61" s="422"/>
      <c r="E61" s="422"/>
      <c r="F61" s="422"/>
      <c r="G61" s="422"/>
      <c r="H61" s="407"/>
      <c r="I61" s="440" t="s">
        <v>782</v>
      </c>
      <c r="J61" s="976" t="s">
        <v>780</v>
      </c>
      <c r="K61" s="452" t="s">
        <v>103</v>
      </c>
      <c r="L61" s="1403" t="str">
        <f t="shared" si="7"/>
        <v>Casting, Adjust to Grade, Inlet</v>
      </c>
      <c r="M61" s="1404"/>
      <c r="N61" s="1404"/>
      <c r="O61" s="407"/>
      <c r="P61" s="407"/>
      <c r="Q61" s="407"/>
      <c r="R61" s="407"/>
      <c r="S61" s="407"/>
      <c r="T61" s="407"/>
      <c r="U61" s="407"/>
      <c r="V61" s="407"/>
      <c r="W61" s="407"/>
      <c r="X61" s="407"/>
      <c r="Y61" s="407"/>
      <c r="Z61" s="407"/>
      <c r="AA61" s="407"/>
    </row>
    <row r="62" spans="1:27" x14ac:dyDescent="0.2">
      <c r="A62" s="407"/>
      <c r="B62" s="422"/>
      <c r="C62" s="422"/>
      <c r="D62" s="422"/>
      <c r="E62" s="422"/>
      <c r="F62" s="422"/>
      <c r="G62" s="422"/>
      <c r="H62" s="407"/>
      <c r="I62" s="440" t="s">
        <v>782</v>
      </c>
      <c r="J62" s="976" t="s">
        <v>781</v>
      </c>
      <c r="K62" s="452" t="s">
        <v>103</v>
      </c>
      <c r="L62" s="1403" t="str">
        <f t="shared" si="7"/>
        <v>Casting, Adjust to Grade, Manhole</v>
      </c>
      <c r="M62" s="1404"/>
      <c r="N62" s="1404"/>
      <c r="O62" s="407"/>
      <c r="P62" s="407"/>
      <c r="Q62" s="407"/>
      <c r="R62" s="407"/>
      <c r="S62" s="407"/>
      <c r="T62" s="407"/>
      <c r="U62" s="407"/>
      <c r="V62" s="407"/>
      <c r="W62" s="407"/>
      <c r="X62" s="407"/>
      <c r="Y62" s="407"/>
      <c r="Z62" s="407"/>
      <c r="AA62" s="407"/>
    </row>
    <row r="63" spans="1:27" x14ac:dyDescent="0.2">
      <c r="A63" s="407"/>
      <c r="B63" s="422"/>
      <c r="C63" s="422"/>
      <c r="D63" s="422"/>
      <c r="E63" s="422"/>
      <c r="F63" s="422"/>
      <c r="G63" s="422"/>
      <c r="H63" s="407"/>
      <c r="I63" s="440" t="s">
        <v>339</v>
      </c>
      <c r="J63" s="976"/>
      <c r="K63" s="452" t="s">
        <v>103</v>
      </c>
      <c r="L63" s="1403" t="str">
        <f t="shared" si="7"/>
        <v>Casting, Water Valve, Adjust to Grade</v>
      </c>
      <c r="M63" s="1404"/>
      <c r="N63" s="1404"/>
      <c r="O63" s="407"/>
      <c r="P63" s="407"/>
      <c r="Q63" s="407"/>
      <c r="R63" s="407"/>
      <c r="S63" s="407"/>
      <c r="T63" s="407"/>
      <c r="U63" s="407"/>
      <c r="V63" s="407"/>
      <c r="W63" s="407"/>
      <c r="X63" s="407"/>
      <c r="Y63" s="407"/>
      <c r="Z63" s="407"/>
      <c r="AA63" s="407"/>
    </row>
    <row r="64" spans="1:27" x14ac:dyDescent="0.2">
      <c r="A64" s="407"/>
      <c r="B64" s="422"/>
      <c r="C64" s="422"/>
      <c r="D64" s="422"/>
      <c r="E64" s="422"/>
      <c r="F64" s="422"/>
      <c r="G64" s="422"/>
      <c r="H64" s="407"/>
      <c r="I64" s="440" t="s">
        <v>340</v>
      </c>
      <c r="J64" s="976"/>
      <c r="K64" s="452" t="s">
        <v>101</v>
      </c>
      <c r="L64" s="1403" t="str">
        <f t="shared" si="7"/>
        <v>Structure, Manhole, Reconstructed</v>
      </c>
      <c r="M64" s="1404"/>
      <c r="N64" s="1404"/>
      <c r="O64" s="407"/>
      <c r="P64" s="407"/>
      <c r="Q64" s="407"/>
      <c r="R64" s="407"/>
      <c r="S64" s="407"/>
      <c r="T64" s="407"/>
      <c r="U64" s="407"/>
      <c r="V64" s="407"/>
      <c r="W64" s="407"/>
      <c r="X64" s="407"/>
      <c r="Y64" s="407"/>
      <c r="Z64" s="407"/>
      <c r="AA64" s="407"/>
    </row>
    <row r="65" spans="1:27" x14ac:dyDescent="0.2">
      <c r="A65" s="407"/>
      <c r="B65" s="422"/>
      <c r="C65" s="422"/>
      <c r="D65" s="422"/>
      <c r="E65" s="422"/>
      <c r="F65" s="422"/>
      <c r="G65" s="422"/>
      <c r="H65" s="407"/>
      <c r="I65" s="440" t="s">
        <v>341</v>
      </c>
      <c r="J65" s="976"/>
      <c r="K65" s="452" t="s">
        <v>101</v>
      </c>
      <c r="L65" s="1403" t="str">
        <f t="shared" si="7"/>
        <v>Structure, Inlet, Reconstructed</v>
      </c>
      <c r="M65" s="1404"/>
      <c r="N65" s="1404"/>
      <c r="O65" s="407"/>
      <c r="P65" s="407"/>
      <c r="Q65" s="407"/>
      <c r="R65" s="407"/>
      <c r="S65" s="407"/>
      <c r="T65" s="407"/>
      <c r="U65" s="407"/>
      <c r="V65" s="407"/>
      <c r="W65" s="407"/>
      <c r="X65" s="407"/>
      <c r="Y65" s="407"/>
      <c r="Z65" s="407"/>
      <c r="AA65" s="407"/>
    </row>
    <row r="66" spans="1:27" x14ac:dyDescent="0.2">
      <c r="A66" s="407"/>
      <c r="B66" s="422"/>
      <c r="C66" s="422"/>
      <c r="D66" s="422"/>
      <c r="E66" s="422"/>
      <c r="F66" s="422"/>
      <c r="G66" s="422"/>
      <c r="H66" s="407"/>
      <c r="I66" s="441"/>
      <c r="J66" s="977"/>
      <c r="K66" s="452"/>
      <c r="L66" s="1403" t="str">
        <f t="shared" si="7"/>
        <v/>
      </c>
      <c r="M66" s="1404"/>
      <c r="N66" s="1404"/>
      <c r="O66" s="407"/>
      <c r="P66" s="407"/>
      <c r="Q66" s="407"/>
      <c r="R66" s="407"/>
      <c r="S66" s="407"/>
      <c r="T66" s="407"/>
      <c r="U66" s="407"/>
      <c r="V66" s="407"/>
      <c r="W66" s="407"/>
      <c r="X66" s="407"/>
      <c r="Y66" s="407"/>
      <c r="Z66" s="407"/>
      <c r="AA66" s="407"/>
    </row>
    <row r="67" spans="1:27" x14ac:dyDescent="0.2">
      <c r="A67" s="407"/>
      <c r="B67" s="422"/>
      <c r="C67" s="422"/>
      <c r="D67" s="422"/>
      <c r="E67" s="422"/>
      <c r="F67" s="422"/>
      <c r="G67" s="422"/>
      <c r="H67" s="407"/>
      <c r="I67" s="441"/>
      <c r="J67" s="977"/>
      <c r="K67" s="452"/>
      <c r="L67" s="1403" t="str">
        <f t="shared" si="7"/>
        <v/>
      </c>
      <c r="M67" s="1404"/>
      <c r="N67" s="1404"/>
      <c r="O67" s="407"/>
      <c r="P67" s="407"/>
      <c r="Q67" s="407"/>
      <c r="R67" s="407"/>
      <c r="S67" s="407"/>
      <c r="T67" s="407"/>
      <c r="U67" s="407"/>
      <c r="V67" s="407"/>
      <c r="W67" s="407"/>
      <c r="X67" s="407"/>
      <c r="Y67" s="407"/>
      <c r="Z67" s="407"/>
      <c r="AA67" s="407"/>
    </row>
    <row r="68" spans="1:27" x14ac:dyDescent="0.2">
      <c r="A68" s="407"/>
      <c r="B68" s="422"/>
      <c r="C68" s="422"/>
      <c r="D68" s="422"/>
      <c r="E68" s="422"/>
      <c r="F68" s="422"/>
      <c r="G68" s="422"/>
      <c r="H68" s="407"/>
      <c r="I68" s="441"/>
      <c r="J68" s="977"/>
      <c r="K68" s="452"/>
      <c r="L68" s="1403" t="str">
        <f t="shared" si="7"/>
        <v/>
      </c>
      <c r="M68" s="1404"/>
      <c r="N68" s="1404"/>
      <c r="O68" s="407"/>
      <c r="P68" s="407"/>
      <c r="Q68" s="407"/>
      <c r="R68" s="407"/>
      <c r="S68" s="407"/>
      <c r="T68" s="407"/>
      <c r="U68" s="407"/>
      <c r="V68" s="407"/>
      <c r="W68" s="407"/>
      <c r="X68" s="407"/>
      <c r="Y68" s="407"/>
      <c r="Z68" s="407"/>
      <c r="AA68" s="407"/>
    </row>
    <row r="69" spans="1:27" x14ac:dyDescent="0.2">
      <c r="A69" s="407"/>
      <c r="B69" s="422"/>
      <c r="C69" s="422"/>
      <c r="D69" s="422"/>
      <c r="E69" s="422"/>
      <c r="F69" s="422"/>
      <c r="G69" s="422"/>
      <c r="H69" s="407"/>
      <c r="I69" s="1012"/>
      <c r="J69" s="976"/>
      <c r="K69" s="452"/>
      <c r="L69" s="1403" t="str">
        <f t="shared" si="7"/>
        <v/>
      </c>
      <c r="M69" s="1404"/>
      <c r="N69" s="1404"/>
      <c r="O69" s="407"/>
      <c r="P69" s="407"/>
      <c r="Q69" s="407"/>
      <c r="R69" s="407"/>
      <c r="S69" s="407"/>
      <c r="T69" s="407"/>
      <c r="U69" s="407"/>
      <c r="V69" s="407"/>
      <c r="W69" s="407"/>
      <c r="X69" s="407"/>
      <c r="Y69" s="407"/>
      <c r="Z69" s="407"/>
      <c r="AA69" s="407"/>
    </row>
    <row r="70" spans="1:27" x14ac:dyDescent="0.2">
      <c r="A70" s="407"/>
      <c r="B70" s="422"/>
      <c r="C70" s="422"/>
      <c r="D70" s="422"/>
      <c r="E70" s="422"/>
      <c r="F70" s="422"/>
      <c r="G70" s="422"/>
      <c r="H70" s="407"/>
      <c r="I70" s="441"/>
      <c r="J70" s="977"/>
      <c r="K70" s="452"/>
      <c r="L70" s="1403" t="str">
        <f t="shared" si="7"/>
        <v/>
      </c>
      <c r="M70" s="1404"/>
      <c r="N70" s="1404"/>
      <c r="S70" s="407"/>
      <c r="T70" s="407"/>
      <c r="U70" s="407"/>
      <c r="V70" s="407"/>
      <c r="W70" s="407"/>
      <c r="X70" s="407"/>
      <c r="Y70" s="407"/>
      <c r="Z70" s="407"/>
      <c r="AA70" s="407"/>
    </row>
    <row r="71" spans="1:27" x14ac:dyDescent="0.2">
      <c r="B71" s="18"/>
      <c r="C71" s="18"/>
      <c r="D71" s="18"/>
      <c r="E71" s="18"/>
      <c r="F71" s="18"/>
      <c r="G71" s="18"/>
      <c r="I71" s="441"/>
      <c r="J71" s="977"/>
      <c r="K71" s="452"/>
      <c r="L71" s="1403" t="str">
        <f t="shared" si="7"/>
        <v/>
      </c>
      <c r="M71" s="1404"/>
      <c r="N71" s="1404"/>
    </row>
    <row r="72" spans="1:27" x14ac:dyDescent="0.2">
      <c r="B72" s="18"/>
      <c r="C72" s="18"/>
      <c r="D72" s="18"/>
      <c r="E72" s="18"/>
      <c r="F72" s="18"/>
      <c r="G72" s="18"/>
    </row>
    <row r="73" spans="1:27" x14ac:dyDescent="0.2">
      <c r="B73" s="18"/>
      <c r="C73" s="18"/>
      <c r="D73" s="18"/>
      <c r="E73" s="18"/>
      <c r="F73" s="18"/>
      <c r="G73" s="18"/>
    </row>
    <row r="74" spans="1:27" x14ac:dyDescent="0.2">
      <c r="B74" s="18"/>
      <c r="C74" s="18"/>
      <c r="D74" s="18"/>
      <c r="E74" s="18"/>
      <c r="F74" s="18"/>
      <c r="G74" s="18"/>
    </row>
    <row r="75" spans="1:27" x14ac:dyDescent="0.2">
      <c r="B75" s="18"/>
      <c r="C75" s="18"/>
      <c r="D75" s="18"/>
      <c r="E75" s="18"/>
      <c r="F75" s="18"/>
      <c r="G75" s="18"/>
    </row>
    <row r="76" spans="1:27" x14ac:dyDescent="0.2">
      <c r="B76" s="18"/>
      <c r="C76" s="18"/>
      <c r="D76" s="18"/>
      <c r="E76" s="18"/>
      <c r="F76" s="18"/>
      <c r="G76" s="18"/>
    </row>
  </sheetData>
  <mergeCells count="43">
    <mergeCell ref="A1:G1"/>
    <mergeCell ref="L2:L3"/>
    <mergeCell ref="C49:D49"/>
    <mergeCell ref="C50:D50"/>
    <mergeCell ref="C51:D51"/>
    <mergeCell ref="C53:D53"/>
    <mergeCell ref="U2:U3"/>
    <mergeCell ref="C48:D48"/>
    <mergeCell ref="C55:D55"/>
    <mergeCell ref="B2:F2"/>
    <mergeCell ref="C52:D52"/>
    <mergeCell ref="F49:G49"/>
    <mergeCell ref="F50:G50"/>
    <mergeCell ref="M2:M3"/>
    <mergeCell ref="N2:N3"/>
    <mergeCell ref="P2:P3"/>
    <mergeCell ref="O2:O3"/>
    <mergeCell ref="V2:V3"/>
    <mergeCell ref="W2:W3"/>
    <mergeCell ref="F51:G51"/>
    <mergeCell ref="F52:G52"/>
    <mergeCell ref="F53:G53"/>
    <mergeCell ref="Q2:Q3"/>
    <mergeCell ref="R2:R3"/>
    <mergeCell ref="S2:S3"/>
    <mergeCell ref="T2:T3"/>
    <mergeCell ref="F48:G48"/>
    <mergeCell ref="L71:N71"/>
    <mergeCell ref="L58:N58"/>
    <mergeCell ref="L57:N57"/>
    <mergeCell ref="I1:O1"/>
    <mergeCell ref="L65:N65"/>
    <mergeCell ref="L66:N66"/>
    <mergeCell ref="L67:N67"/>
    <mergeCell ref="L68:N68"/>
    <mergeCell ref="L69:N69"/>
    <mergeCell ref="L70:N70"/>
    <mergeCell ref="L59:N59"/>
    <mergeCell ref="L60:N60"/>
    <mergeCell ref="L61:N61"/>
    <mergeCell ref="L62:N62"/>
    <mergeCell ref="L63:N63"/>
    <mergeCell ref="L64:N64"/>
  </mergeCells>
  <dataValidations disablePrompts="1" count="2">
    <dataValidation type="list" allowBlank="1" showInputMessage="1" showErrorMessage="1" sqref="F4:F45">
      <formula1>$L$58:$L$71</formula1>
    </dataValidation>
    <dataValidation type="list" showInputMessage="1" showErrorMessage="1" sqref="K60:K71">
      <formula1>$O$58:$O$60</formula1>
    </dataValidation>
  </dataValidations>
  <pageMargins left="0.35" right="0.35" top="0.38199803149606298" bottom="0.38199803149606298" header="0.5" footer="0.5"/>
  <pageSetup firstPageNumber="31" orientation="portrait" useFirstPageNumber="1"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8">
    <pageSetUpPr fitToPage="1"/>
  </sheetPr>
  <dimension ref="A1:DI75"/>
  <sheetViews>
    <sheetView showGridLines="0" showZeros="0" zoomScale="75" zoomScaleNormal="75" zoomScaleSheetLayoutView="75" workbookViewId="0">
      <pane ySplit="5" topLeftCell="A6" activePane="bottomLeft" state="frozen"/>
      <selection pane="bottomLeft" activeCell="AL1" sqref="AL1"/>
    </sheetView>
  </sheetViews>
  <sheetFormatPr defaultRowHeight="12.75" x14ac:dyDescent="0.2"/>
  <cols>
    <col min="1" max="1" width="1.7109375" customWidth="1"/>
    <col min="2" max="2" width="4.5703125" customWidth="1"/>
    <col min="3" max="3" width="11.42578125" customWidth="1"/>
    <col min="4" max="6" width="2.7109375" customWidth="1"/>
    <col min="7" max="7" width="3.7109375" customWidth="1"/>
    <col min="8" max="8" width="4.5703125" bestFit="1" customWidth="1"/>
    <col min="9" max="9" width="3.85546875" customWidth="1"/>
    <col min="10" max="10" width="12.140625" customWidth="1"/>
    <col min="11" max="13" width="4.5703125" customWidth="1"/>
    <col min="14" max="15" width="6.85546875" customWidth="1"/>
    <col min="16" max="28" width="4.5703125" customWidth="1"/>
    <col min="29" max="29" width="5.7109375" bestFit="1" customWidth="1"/>
    <col min="30" max="31" width="4.5703125" customWidth="1"/>
    <col min="32" max="32" width="5.7109375" bestFit="1" customWidth="1"/>
    <col min="33" max="34" width="4.5703125" customWidth="1"/>
    <col min="35" max="35" width="31.28515625" customWidth="1"/>
    <col min="36" max="36" width="1.7109375" customWidth="1"/>
    <col min="37" max="37" width="4.140625" customWidth="1"/>
    <col min="38" max="38" width="16.7109375" bestFit="1" customWidth="1"/>
    <col min="40" max="40" width="2.5703125" customWidth="1"/>
    <col min="41" max="42" width="2.7109375" customWidth="1"/>
    <col min="43" max="43" width="5" customWidth="1"/>
    <col min="44" max="44" width="5.85546875" customWidth="1"/>
    <col min="45" max="45" width="2.7109375" customWidth="1"/>
    <col min="46" max="46" width="15.140625" customWidth="1"/>
    <col min="47" max="47" width="4.85546875" customWidth="1"/>
    <col min="48" max="48" width="3.28515625" customWidth="1"/>
    <col min="49" max="49" width="3.140625" customWidth="1"/>
    <col min="50" max="51" width="8.140625" customWidth="1"/>
    <col min="52" max="52" width="4.28515625" customWidth="1"/>
    <col min="53" max="53" width="4" customWidth="1"/>
    <col min="54" max="54" width="9.42578125" customWidth="1"/>
    <col min="55" max="55" width="27.85546875" customWidth="1"/>
    <col min="56" max="56" width="8.140625" customWidth="1"/>
    <col min="57" max="57" width="7" customWidth="1"/>
    <col min="58" max="58" width="9" customWidth="1"/>
    <col min="59" max="59" width="5.28515625" customWidth="1"/>
    <col min="60" max="62" width="5.5703125" customWidth="1"/>
    <col min="63" max="63" width="5.42578125" customWidth="1"/>
    <col min="64" max="65" width="5.5703125" customWidth="1"/>
    <col min="66" max="66" width="5.28515625" customWidth="1"/>
    <col min="67" max="67" width="21.140625" customWidth="1"/>
  </cols>
  <sheetData>
    <row r="1" spans="1:113" s="12" customFormat="1" ht="18" x14ac:dyDescent="0.25">
      <c r="A1" s="1433" t="str">
        <f>UPPER("Structure Data Summary Table")</f>
        <v>STRUCTURE DATA SUMMARY TABLE</v>
      </c>
      <c r="B1" s="1225"/>
      <c r="C1" s="1225"/>
      <c r="D1" s="1225"/>
      <c r="E1" s="1225"/>
      <c r="F1" s="1225"/>
      <c r="G1" s="1225"/>
      <c r="H1" s="1225"/>
      <c r="I1" s="1225"/>
      <c r="J1" s="1225"/>
      <c r="K1" s="1225"/>
      <c r="L1" s="1225"/>
      <c r="M1" s="1225"/>
      <c r="N1" s="1225"/>
      <c r="O1" s="1225"/>
      <c r="P1" s="1225"/>
      <c r="Q1" s="1225"/>
      <c r="R1" s="1225"/>
      <c r="S1" s="1225"/>
      <c r="T1" s="1225"/>
      <c r="U1" s="1225"/>
      <c r="V1" s="1225"/>
      <c r="W1" s="1225"/>
      <c r="X1" s="1225"/>
      <c r="Y1" s="1225"/>
      <c r="Z1" s="1225"/>
      <c r="AA1" s="1225"/>
      <c r="AB1" s="1225"/>
      <c r="AC1" s="1225"/>
      <c r="AD1" s="1225"/>
      <c r="AE1" s="1225"/>
      <c r="AF1" s="1225"/>
      <c r="AG1" s="1225"/>
      <c r="AH1" s="1225"/>
      <c r="AI1" s="1225"/>
      <c r="AJ1" s="1225"/>
      <c r="AK1" s="767"/>
      <c r="AL1" s="480" t="s">
        <v>110</v>
      </c>
    </row>
    <row r="2" spans="1:113" ht="13.5" thickBot="1" x14ac:dyDescent="0.25">
      <c r="A2" s="30"/>
      <c r="B2" s="1356"/>
      <c r="C2" s="1356"/>
      <c r="D2" s="1356"/>
      <c r="E2" s="1356"/>
      <c r="F2" s="1356"/>
      <c r="G2" s="1356"/>
      <c r="H2" s="1356"/>
      <c r="I2" s="1356"/>
      <c r="J2" s="1356"/>
      <c r="K2" s="1356"/>
      <c r="L2" s="1356"/>
      <c r="M2" s="1356"/>
      <c r="N2" s="1356"/>
      <c r="O2" s="1356"/>
      <c r="P2" s="1356"/>
      <c r="Q2" s="1356"/>
      <c r="R2" s="1356"/>
      <c r="S2" s="1356"/>
      <c r="T2" s="1356"/>
      <c r="U2" s="1356"/>
      <c r="V2" s="1356"/>
      <c r="W2" s="1356"/>
      <c r="X2" s="1356"/>
      <c r="Y2" s="1356"/>
      <c r="Z2" s="1356"/>
      <c r="AA2" s="1356"/>
      <c r="AB2" s="1356"/>
      <c r="AC2" s="1356"/>
      <c r="AD2" s="1356"/>
      <c r="AE2" s="1356"/>
      <c r="AF2" s="1356"/>
      <c r="AG2" s="1356"/>
      <c r="AH2" s="1356"/>
      <c r="AI2" s="1356"/>
      <c r="AJ2" s="30"/>
      <c r="AK2" s="30"/>
      <c r="BP2" s="12"/>
      <c r="BQ2" s="12"/>
      <c r="BR2" s="12"/>
      <c r="BS2" s="12"/>
      <c r="BT2" s="12"/>
      <c r="BU2" s="12"/>
      <c r="BV2" s="12"/>
      <c r="BW2" s="12"/>
      <c r="BX2" s="12"/>
      <c r="BY2" s="12"/>
      <c r="BZ2" s="12"/>
      <c r="CA2" s="12"/>
      <c r="CB2" s="12"/>
      <c r="CC2" s="12"/>
      <c r="CD2" s="12"/>
      <c r="CE2" s="12"/>
      <c r="CF2" s="12"/>
      <c r="CG2" s="12"/>
      <c r="CH2" s="12"/>
      <c r="CI2" s="12"/>
      <c r="CJ2" s="12"/>
      <c r="CK2" s="12"/>
      <c r="CL2" s="12"/>
      <c r="CM2" s="12"/>
      <c r="CN2" s="12"/>
      <c r="CO2" s="12"/>
      <c r="CP2" s="12"/>
      <c r="CQ2" s="12"/>
      <c r="CR2" s="12"/>
      <c r="CS2" s="12"/>
      <c r="CT2" s="12"/>
      <c r="CU2" s="12"/>
      <c r="CV2" s="12"/>
      <c r="CW2" s="12"/>
      <c r="CX2" s="12"/>
      <c r="CY2" s="12"/>
      <c r="CZ2" s="12"/>
      <c r="DA2" s="12"/>
      <c r="DB2" s="12"/>
      <c r="DC2" s="12"/>
      <c r="DD2" s="12"/>
      <c r="DE2" s="12"/>
      <c r="DF2" s="12"/>
      <c r="DG2" s="12"/>
      <c r="DH2" s="12"/>
      <c r="DI2" s="12"/>
    </row>
    <row r="3" spans="1:113" ht="18.75" customHeight="1" x14ac:dyDescent="0.2">
      <c r="A3" s="30"/>
      <c r="B3" s="1426" t="s">
        <v>118</v>
      </c>
      <c r="C3" s="1221" t="s">
        <v>46</v>
      </c>
      <c r="D3" s="1221"/>
      <c r="E3" s="1221"/>
      <c r="F3" s="1221"/>
      <c r="G3" s="1221"/>
      <c r="H3" s="1221" t="s">
        <v>124</v>
      </c>
      <c r="I3" s="1221" t="s">
        <v>127</v>
      </c>
      <c r="J3" s="1221"/>
      <c r="K3" s="1429" t="s">
        <v>129</v>
      </c>
      <c r="L3" s="1429" t="s">
        <v>130</v>
      </c>
      <c r="M3" s="1221" t="s">
        <v>132</v>
      </c>
      <c r="N3" s="1221"/>
      <c r="O3" s="1221"/>
      <c r="P3" s="1422" t="s">
        <v>137</v>
      </c>
      <c r="Q3" s="1422" t="s">
        <v>138</v>
      </c>
      <c r="R3" s="1394" t="s">
        <v>117</v>
      </c>
      <c r="S3" s="1422" t="s">
        <v>139</v>
      </c>
      <c r="T3" s="1422" t="s">
        <v>140</v>
      </c>
      <c r="U3" s="1422" t="s">
        <v>153</v>
      </c>
      <c r="V3" s="1422" t="str">
        <f>CONCATENATE("HMA for Structure Installation, Type ",Patching!L35,"*")</f>
        <v>HMA for Structure Installation, Type *</v>
      </c>
      <c r="W3" s="1422" t="s">
        <v>152</v>
      </c>
      <c r="X3" s="1422" t="s">
        <v>169</v>
      </c>
      <c r="Y3" s="1422" t="s">
        <v>151</v>
      </c>
      <c r="Z3" s="1422" t="s">
        <v>150</v>
      </c>
      <c r="AA3" s="1422" t="s">
        <v>149</v>
      </c>
      <c r="AB3" s="1394" t="s">
        <v>148</v>
      </c>
      <c r="AC3" s="1394"/>
      <c r="AD3" s="1394"/>
      <c r="AE3" s="1394" t="s">
        <v>147</v>
      </c>
      <c r="AF3" s="1394"/>
      <c r="AG3" s="1394"/>
      <c r="AH3" s="1422" t="s">
        <v>146</v>
      </c>
      <c r="AI3" s="1435" t="s">
        <v>87</v>
      </c>
      <c r="AJ3" s="30"/>
      <c r="AK3" s="30"/>
      <c r="BP3" s="12"/>
      <c r="BQ3" s="12"/>
      <c r="BR3" s="12"/>
      <c r="BS3" s="12"/>
      <c r="BT3" s="12"/>
      <c r="BU3" s="12"/>
      <c r="BV3" s="12"/>
      <c r="BW3" s="12"/>
      <c r="BX3" s="12"/>
      <c r="BY3" s="12"/>
      <c r="BZ3" s="12"/>
      <c r="CA3" s="12"/>
      <c r="CB3" s="12"/>
      <c r="CC3" s="12"/>
      <c r="CD3" s="12"/>
      <c r="CE3" s="12"/>
      <c r="CF3" s="12"/>
      <c r="CG3" s="12"/>
      <c r="CH3" s="12"/>
      <c r="CI3" s="12"/>
      <c r="CJ3" s="12"/>
      <c r="CK3" s="12"/>
      <c r="CL3" s="12"/>
      <c r="CM3" s="12"/>
      <c r="CN3" s="12"/>
      <c r="CO3" s="12"/>
      <c r="CP3" s="12"/>
      <c r="CQ3" s="12"/>
      <c r="CR3" s="12"/>
      <c r="CS3" s="12"/>
      <c r="CT3" s="12"/>
      <c r="CU3" s="12"/>
      <c r="CV3" s="12"/>
      <c r="CW3" s="12"/>
      <c r="CX3" s="12"/>
      <c r="CY3" s="12"/>
      <c r="CZ3" s="12"/>
      <c r="DA3" s="12"/>
      <c r="DB3" s="12"/>
      <c r="DC3" s="12"/>
      <c r="DD3" s="12"/>
      <c r="DE3" s="12"/>
      <c r="DF3" s="12"/>
      <c r="DG3" s="12"/>
      <c r="DH3" s="12"/>
      <c r="DI3" s="12"/>
    </row>
    <row r="4" spans="1:113" ht="71.25" customHeight="1" x14ac:dyDescent="0.2">
      <c r="A4" s="30"/>
      <c r="B4" s="1427"/>
      <c r="C4" s="1282" t="s">
        <v>0</v>
      </c>
      <c r="D4" s="1430" t="s">
        <v>119</v>
      </c>
      <c r="E4" s="1430" t="s">
        <v>120</v>
      </c>
      <c r="F4" s="1430" t="s">
        <v>121</v>
      </c>
      <c r="G4" s="458" t="s">
        <v>122</v>
      </c>
      <c r="H4" s="1282"/>
      <c r="I4" s="1430" t="s">
        <v>126</v>
      </c>
      <c r="J4" s="1423" t="s">
        <v>128</v>
      </c>
      <c r="K4" s="1430"/>
      <c r="L4" s="1430"/>
      <c r="M4" s="458" t="s">
        <v>131</v>
      </c>
      <c r="N4" s="459" t="s">
        <v>133</v>
      </c>
      <c r="O4" s="459" t="s">
        <v>135</v>
      </c>
      <c r="P4" s="1425"/>
      <c r="Q4" s="1423"/>
      <c r="R4" s="1423"/>
      <c r="S4" s="1425"/>
      <c r="T4" s="1425"/>
      <c r="U4" s="1425"/>
      <c r="V4" s="1425"/>
      <c r="W4" s="1282"/>
      <c r="X4" s="1282"/>
      <c r="Y4" s="1425"/>
      <c r="Z4" s="1425"/>
      <c r="AA4" s="1425"/>
      <c r="AB4" s="1423"/>
      <c r="AC4" s="1423"/>
      <c r="AD4" s="1423"/>
      <c r="AE4" s="1423"/>
      <c r="AF4" s="1423"/>
      <c r="AG4" s="1423"/>
      <c r="AH4" s="1423"/>
      <c r="AI4" s="1436"/>
      <c r="AJ4" s="30"/>
      <c r="AK4" s="30"/>
      <c r="BP4" s="12"/>
      <c r="BQ4" s="12"/>
      <c r="BR4" s="12"/>
      <c r="BS4" s="12"/>
      <c r="BT4" s="12"/>
      <c r="BU4" s="12"/>
      <c r="BV4" s="12"/>
      <c r="BW4" s="12"/>
      <c r="BX4" s="12"/>
      <c r="BY4" s="12"/>
      <c r="BZ4" s="12"/>
      <c r="CA4" s="12"/>
      <c r="CB4" s="12"/>
      <c r="CC4" s="12"/>
      <c r="CD4" s="12"/>
      <c r="CE4" s="12"/>
      <c r="CF4" s="12"/>
      <c r="CG4" s="12"/>
      <c r="CH4" s="12"/>
      <c r="CI4" s="12"/>
      <c r="CJ4" s="12"/>
      <c r="CK4" s="12"/>
      <c r="CL4" s="12"/>
      <c r="CM4" s="12"/>
      <c r="CN4" s="12"/>
      <c r="CO4" s="12"/>
      <c r="CP4" s="12"/>
      <c r="CQ4" s="12"/>
      <c r="CR4" s="12"/>
      <c r="CS4" s="12"/>
      <c r="CT4" s="12"/>
      <c r="CU4" s="12"/>
      <c r="CV4" s="12"/>
      <c r="CW4" s="12"/>
      <c r="CX4" s="12"/>
      <c r="CY4" s="12"/>
      <c r="CZ4" s="12"/>
      <c r="DA4" s="12"/>
      <c r="DB4" s="12"/>
      <c r="DC4" s="12"/>
      <c r="DD4" s="12"/>
      <c r="DE4" s="12"/>
      <c r="DF4" s="12"/>
      <c r="DG4" s="12"/>
      <c r="DH4" s="12"/>
      <c r="DI4" s="12"/>
    </row>
    <row r="5" spans="1:113" ht="12.75" customHeight="1" thickBot="1" x14ac:dyDescent="0.25">
      <c r="A5" s="30"/>
      <c r="B5" s="1428"/>
      <c r="C5" s="1393"/>
      <c r="D5" s="1431"/>
      <c r="E5" s="1431"/>
      <c r="F5" s="1431"/>
      <c r="G5" s="479" t="s">
        <v>123</v>
      </c>
      <c r="H5" s="479" t="s">
        <v>125</v>
      </c>
      <c r="I5" s="1432"/>
      <c r="J5" s="1424"/>
      <c r="K5" s="479" t="s">
        <v>101</v>
      </c>
      <c r="L5" s="1432"/>
      <c r="M5" s="479" t="s">
        <v>101</v>
      </c>
      <c r="N5" s="479" t="s">
        <v>134</v>
      </c>
      <c r="O5" s="479" t="s">
        <v>134</v>
      </c>
      <c r="P5" s="479" t="s">
        <v>136</v>
      </c>
      <c r="Q5" s="1424"/>
      <c r="R5" s="1424"/>
      <c r="S5" s="1434"/>
      <c r="T5" s="479" t="s">
        <v>141</v>
      </c>
      <c r="U5" s="479" t="s">
        <v>141</v>
      </c>
      <c r="V5" s="479" t="s">
        <v>143</v>
      </c>
      <c r="W5" s="286" t="s">
        <v>142</v>
      </c>
      <c r="X5" s="286" t="s">
        <v>143</v>
      </c>
      <c r="Y5" s="286" t="s">
        <v>141</v>
      </c>
      <c r="Z5" s="286" t="s">
        <v>101</v>
      </c>
      <c r="AA5" s="286" t="s">
        <v>103</v>
      </c>
      <c r="AB5" s="286" t="s">
        <v>144</v>
      </c>
      <c r="AC5" s="286" t="s">
        <v>145</v>
      </c>
      <c r="AD5" s="286" t="s">
        <v>103</v>
      </c>
      <c r="AE5" s="286" t="s">
        <v>144</v>
      </c>
      <c r="AF5" s="286" t="s">
        <v>145</v>
      </c>
      <c r="AG5" s="286" t="s">
        <v>103</v>
      </c>
      <c r="AH5" s="1424"/>
      <c r="AI5" s="1437"/>
      <c r="AJ5" s="30"/>
      <c r="AK5" s="30"/>
      <c r="BP5" s="12"/>
      <c r="BQ5" s="12"/>
      <c r="BR5" s="12"/>
      <c r="BS5" s="12"/>
      <c r="BT5" s="12"/>
      <c r="BU5" s="12"/>
      <c r="BV5" s="12"/>
      <c r="BW5" s="12"/>
      <c r="BX5" s="12"/>
      <c r="BY5" s="12"/>
      <c r="BZ5" s="12"/>
      <c r="CA5" s="12"/>
      <c r="CB5" s="12"/>
      <c r="CC5" s="12"/>
      <c r="CD5" s="12"/>
      <c r="CE5" s="12"/>
      <c r="CF5" s="12"/>
      <c r="CG5" s="12"/>
      <c r="CH5" s="12"/>
      <c r="CI5" s="12"/>
      <c r="CJ5" s="12"/>
      <c r="CK5" s="12"/>
      <c r="CL5" s="12"/>
      <c r="CM5" s="12"/>
      <c r="CN5" s="12"/>
      <c r="CO5" s="12"/>
      <c r="CP5" s="12"/>
      <c r="CQ5" s="12"/>
      <c r="CR5" s="12"/>
      <c r="CS5" s="12"/>
      <c r="CT5" s="12"/>
      <c r="CU5" s="12"/>
      <c r="CV5" s="12"/>
      <c r="CW5" s="12"/>
      <c r="CX5" s="12"/>
      <c r="CY5" s="12"/>
      <c r="CZ5" s="12"/>
      <c r="DA5" s="12"/>
      <c r="DB5" s="12"/>
      <c r="DC5" s="12"/>
      <c r="DD5" s="12"/>
      <c r="DE5" s="12"/>
      <c r="DF5" s="12"/>
      <c r="DG5" s="12"/>
      <c r="DH5" s="12"/>
      <c r="DI5" s="12"/>
    </row>
    <row r="6" spans="1:113" ht="12.75" customHeight="1" x14ac:dyDescent="0.2">
      <c r="A6" s="30"/>
      <c r="B6" s="34"/>
      <c r="C6" s="350"/>
      <c r="D6" s="35"/>
      <c r="E6" s="35"/>
      <c r="F6" s="35"/>
      <c r="G6" s="35"/>
      <c r="H6" s="35"/>
      <c r="I6" s="35"/>
      <c r="J6" s="35"/>
      <c r="K6" s="98"/>
      <c r="L6" s="35"/>
      <c r="M6" s="35"/>
      <c r="N6" s="460"/>
      <c r="O6" s="460"/>
      <c r="P6" s="35"/>
      <c r="Q6" s="35"/>
      <c r="R6" s="35"/>
      <c r="S6" s="35"/>
      <c r="T6" s="98"/>
      <c r="U6" s="35"/>
      <c r="V6" s="35"/>
      <c r="W6" s="35"/>
      <c r="X6" s="35"/>
      <c r="Y6" s="35"/>
      <c r="Z6" s="35"/>
      <c r="AA6" s="35"/>
      <c r="AB6" s="35"/>
      <c r="AC6" s="35"/>
      <c r="AD6" s="35"/>
      <c r="AE6" s="35"/>
      <c r="AF6" s="35"/>
      <c r="AG6" s="35"/>
      <c r="AH6" s="35"/>
      <c r="AI6" s="151"/>
      <c r="AJ6" s="30"/>
      <c r="AK6" s="30"/>
      <c r="BP6" s="12"/>
      <c r="BQ6" s="12"/>
      <c r="BR6" s="12"/>
      <c r="BS6" s="12"/>
      <c r="BT6" s="12"/>
      <c r="BU6" s="12"/>
      <c r="BV6" s="12"/>
      <c r="BW6" s="12"/>
      <c r="BX6" s="12"/>
      <c r="BY6" s="12"/>
      <c r="BZ6" s="12"/>
      <c r="CA6" s="12"/>
      <c r="CB6" s="12"/>
      <c r="CC6" s="12"/>
      <c r="CD6" s="12"/>
      <c r="CE6" s="12"/>
      <c r="CF6" s="12"/>
      <c r="CG6" s="12"/>
      <c r="CH6" s="12"/>
      <c r="CI6" s="12"/>
      <c r="CJ6" s="12"/>
      <c r="CK6" s="12"/>
      <c r="CL6" s="12"/>
      <c r="CM6" s="12"/>
      <c r="CN6" s="12"/>
      <c r="CO6" s="12"/>
      <c r="CP6" s="12"/>
      <c r="CQ6" s="12"/>
      <c r="CR6" s="12"/>
      <c r="CS6" s="12"/>
      <c r="CT6" s="12"/>
      <c r="CU6" s="12"/>
      <c r="CV6" s="12"/>
      <c r="CW6" s="12"/>
      <c r="CX6" s="12"/>
      <c r="CY6" s="12"/>
      <c r="CZ6" s="12"/>
      <c r="DA6" s="12"/>
      <c r="DB6" s="12"/>
      <c r="DC6" s="12"/>
      <c r="DD6" s="12"/>
      <c r="DE6" s="12"/>
      <c r="DF6" s="12"/>
      <c r="DG6" s="12"/>
      <c r="DH6" s="12"/>
      <c r="DI6" s="12"/>
    </row>
    <row r="7" spans="1:113" ht="12.75" customHeight="1" x14ac:dyDescent="0.2">
      <c r="A7" s="30"/>
      <c r="B7" s="34"/>
      <c r="C7" s="350"/>
      <c r="D7" s="35"/>
      <c r="E7" s="35"/>
      <c r="F7" s="35"/>
      <c r="G7" s="35"/>
      <c r="H7" s="35"/>
      <c r="I7" s="35"/>
      <c r="J7" s="35"/>
      <c r="K7" s="98"/>
      <c r="L7" s="35"/>
      <c r="M7" s="35"/>
      <c r="N7" s="460"/>
      <c r="O7" s="460"/>
      <c r="P7" s="35"/>
      <c r="Q7" s="35"/>
      <c r="R7" s="35"/>
      <c r="S7" s="35"/>
      <c r="T7" s="98"/>
      <c r="U7" s="35"/>
      <c r="V7" s="461"/>
      <c r="W7" s="35"/>
      <c r="X7" s="461"/>
      <c r="Y7" s="35"/>
      <c r="Z7" s="35"/>
      <c r="AA7" s="35"/>
      <c r="AB7" s="35"/>
      <c r="AC7" s="35"/>
      <c r="AD7" s="35"/>
      <c r="AE7" s="35"/>
      <c r="AF7" s="462"/>
      <c r="AG7" s="35"/>
      <c r="AH7" s="35"/>
      <c r="AI7" s="151"/>
      <c r="AJ7" s="30"/>
      <c r="AK7" s="30"/>
      <c r="BP7" s="12"/>
      <c r="BQ7" s="12"/>
      <c r="BR7" s="12"/>
      <c r="BS7" s="12"/>
      <c r="BT7" s="12"/>
      <c r="BU7" s="12"/>
      <c r="BV7" s="12"/>
      <c r="BW7" s="12"/>
      <c r="BX7" s="12"/>
      <c r="BY7" s="12"/>
      <c r="BZ7" s="12"/>
      <c r="CA7" s="12"/>
      <c r="CB7" s="12"/>
      <c r="CC7" s="12"/>
      <c r="CD7" s="12"/>
      <c r="CE7" s="12"/>
      <c r="CF7" s="12"/>
      <c r="CG7" s="12"/>
      <c r="CH7" s="12"/>
      <c r="CI7" s="12"/>
      <c r="CJ7" s="12"/>
      <c r="CK7" s="12"/>
      <c r="CL7" s="12"/>
      <c r="CM7" s="12"/>
      <c r="CN7" s="12"/>
      <c r="CO7" s="12"/>
      <c r="CP7" s="12"/>
      <c r="CQ7" s="12"/>
      <c r="CR7" s="12"/>
      <c r="CS7" s="12"/>
      <c r="CT7" s="12"/>
      <c r="CU7" s="12"/>
      <c r="CV7" s="12"/>
      <c r="CW7" s="12"/>
      <c r="CX7" s="12"/>
      <c r="CY7" s="12"/>
      <c r="CZ7" s="12"/>
      <c r="DA7" s="12"/>
      <c r="DB7" s="12"/>
      <c r="DC7" s="12"/>
      <c r="DD7" s="12"/>
      <c r="DE7" s="12"/>
      <c r="DF7" s="12"/>
      <c r="DG7" s="12"/>
      <c r="DH7" s="12"/>
      <c r="DI7" s="12"/>
    </row>
    <row r="8" spans="1:113" ht="12.75" customHeight="1" x14ac:dyDescent="0.2">
      <c r="A8" s="30"/>
      <c r="B8" s="34"/>
      <c r="C8" s="350"/>
      <c r="D8" s="35"/>
      <c r="E8" s="35"/>
      <c r="F8" s="35"/>
      <c r="G8" s="35"/>
      <c r="H8" s="35"/>
      <c r="I8" s="35"/>
      <c r="J8" s="35"/>
      <c r="K8" s="98"/>
      <c r="L8" s="35"/>
      <c r="M8" s="35"/>
      <c r="N8" s="460"/>
      <c r="O8" s="460"/>
      <c r="P8" s="35"/>
      <c r="Q8" s="35"/>
      <c r="R8" s="35"/>
      <c r="S8" s="35"/>
      <c r="T8" s="98"/>
      <c r="U8" s="35"/>
      <c r="V8" s="461"/>
      <c r="W8" s="35"/>
      <c r="X8" s="35"/>
      <c r="Y8" s="35"/>
      <c r="Z8" s="35"/>
      <c r="AA8" s="35"/>
      <c r="AB8" s="35"/>
      <c r="AC8" s="35"/>
      <c r="AD8" s="35"/>
      <c r="AE8" s="35"/>
      <c r="AF8" s="35"/>
      <c r="AG8" s="35"/>
      <c r="AH8" s="35"/>
      <c r="AI8" s="151"/>
      <c r="AJ8" s="30"/>
      <c r="AK8" s="30"/>
      <c r="BP8" s="12"/>
      <c r="BQ8" s="12"/>
      <c r="BR8" s="12"/>
      <c r="BS8" s="12"/>
      <c r="BT8" s="12"/>
      <c r="BU8" s="12"/>
      <c r="BV8" s="12"/>
      <c r="BW8" s="12"/>
      <c r="BX8" s="12"/>
      <c r="BY8" s="12"/>
      <c r="BZ8" s="12"/>
      <c r="CA8" s="12"/>
      <c r="CB8" s="12"/>
      <c r="CC8" s="12"/>
      <c r="CD8" s="12"/>
      <c r="CE8" s="12"/>
      <c r="CF8" s="12"/>
      <c r="CG8" s="12"/>
      <c r="CH8" s="12"/>
      <c r="CI8" s="12"/>
      <c r="CJ8" s="12"/>
      <c r="CK8" s="12"/>
      <c r="CL8" s="12"/>
      <c r="CM8" s="12"/>
      <c r="CN8" s="12"/>
      <c r="CO8" s="12"/>
      <c r="CP8" s="12"/>
      <c r="CQ8" s="12"/>
      <c r="CR8" s="12"/>
      <c r="CS8" s="12"/>
      <c r="CT8" s="12"/>
      <c r="CU8" s="12"/>
      <c r="CV8" s="12"/>
      <c r="CW8" s="12"/>
      <c r="CX8" s="12"/>
      <c r="CY8" s="12"/>
      <c r="CZ8" s="12"/>
      <c r="DA8" s="12"/>
      <c r="DB8" s="12"/>
      <c r="DC8" s="12"/>
      <c r="DD8" s="12"/>
      <c r="DE8" s="12"/>
      <c r="DF8" s="12"/>
      <c r="DG8" s="12"/>
      <c r="DH8" s="12"/>
      <c r="DI8" s="12"/>
    </row>
    <row r="9" spans="1:113" ht="12.75" customHeight="1" x14ac:dyDescent="0.2">
      <c r="A9" s="30"/>
      <c r="B9" s="34"/>
      <c r="C9" s="350"/>
      <c r="D9" s="35"/>
      <c r="E9" s="35"/>
      <c r="F9" s="35"/>
      <c r="G9" s="35"/>
      <c r="H9" s="35"/>
      <c r="I9" s="35"/>
      <c r="J9" s="35"/>
      <c r="K9" s="98"/>
      <c r="L9" s="35"/>
      <c r="M9" s="35"/>
      <c r="N9" s="460"/>
      <c r="O9" s="460"/>
      <c r="P9" s="35"/>
      <c r="Q9" s="35"/>
      <c r="R9" s="35"/>
      <c r="S9" s="35"/>
      <c r="T9" s="98"/>
      <c r="U9" s="35"/>
      <c r="V9" s="461"/>
      <c r="W9" s="35"/>
      <c r="X9" s="35"/>
      <c r="Y9" s="35"/>
      <c r="Z9" s="35"/>
      <c r="AA9" s="35"/>
      <c r="AB9" s="35"/>
      <c r="AC9" s="35"/>
      <c r="AD9" s="35"/>
      <c r="AE9" s="35"/>
      <c r="AF9" s="35"/>
      <c r="AG9" s="35"/>
      <c r="AH9" s="35"/>
      <c r="AI9" s="151"/>
      <c r="AJ9" s="30"/>
      <c r="AK9" s="30"/>
      <c r="BP9" s="12"/>
      <c r="BQ9" s="12"/>
      <c r="BR9" s="12"/>
      <c r="BS9" s="12"/>
      <c r="BT9" s="12"/>
      <c r="BU9" s="12"/>
      <c r="BV9" s="12"/>
      <c r="BW9" s="12"/>
      <c r="BX9" s="12"/>
      <c r="BY9" s="12"/>
      <c r="BZ9" s="12"/>
      <c r="CA9" s="12"/>
      <c r="CB9" s="12"/>
      <c r="CC9" s="12"/>
      <c r="CD9" s="12"/>
      <c r="CE9" s="12"/>
      <c r="CF9" s="12"/>
      <c r="CG9" s="12"/>
      <c r="CH9" s="12"/>
      <c r="CI9" s="12"/>
      <c r="CJ9" s="12"/>
      <c r="CK9" s="12"/>
      <c r="CL9" s="12"/>
      <c r="CM9" s="12"/>
      <c r="CN9" s="12"/>
      <c r="CO9" s="12"/>
      <c r="CP9" s="12"/>
      <c r="CQ9" s="12"/>
      <c r="CR9" s="12"/>
      <c r="CS9" s="12"/>
      <c r="CT9" s="12"/>
      <c r="CU9" s="12"/>
      <c r="CV9" s="12"/>
      <c r="CW9" s="12"/>
      <c r="CX9" s="12"/>
      <c r="CY9" s="12"/>
      <c r="CZ9" s="12"/>
      <c r="DA9" s="12"/>
      <c r="DB9" s="12"/>
      <c r="DC9" s="12"/>
      <c r="DD9" s="12"/>
      <c r="DE9" s="12"/>
      <c r="DF9" s="12"/>
      <c r="DG9" s="12"/>
      <c r="DH9" s="12"/>
      <c r="DI9" s="12"/>
    </row>
    <row r="10" spans="1:113" ht="12.75" customHeight="1" x14ac:dyDescent="0.2">
      <c r="A10" s="30"/>
      <c r="B10" s="34"/>
      <c r="C10" s="350"/>
      <c r="D10" s="35"/>
      <c r="E10" s="35"/>
      <c r="F10" s="35"/>
      <c r="G10" s="35"/>
      <c r="H10" s="35"/>
      <c r="I10" s="35"/>
      <c r="J10" s="35"/>
      <c r="K10" s="98"/>
      <c r="L10" s="35"/>
      <c r="M10" s="35"/>
      <c r="N10" s="460"/>
      <c r="O10" s="460"/>
      <c r="P10" s="35"/>
      <c r="Q10" s="35"/>
      <c r="R10" s="35"/>
      <c r="S10" s="35"/>
      <c r="T10" s="98"/>
      <c r="U10" s="35"/>
      <c r="V10" s="35"/>
      <c r="W10" s="35"/>
      <c r="X10" s="35"/>
      <c r="Y10" s="35"/>
      <c r="Z10" s="35"/>
      <c r="AA10" s="35"/>
      <c r="AB10" s="35"/>
      <c r="AC10" s="35"/>
      <c r="AD10" s="35"/>
      <c r="AE10" s="35"/>
      <c r="AF10" s="35"/>
      <c r="AG10" s="35"/>
      <c r="AH10" s="35"/>
      <c r="AI10" s="151"/>
      <c r="AJ10" s="30"/>
      <c r="AK10" s="30"/>
      <c r="BP10" s="12"/>
      <c r="BQ10" s="12"/>
      <c r="BR10" s="12"/>
      <c r="BS10" s="12"/>
      <c r="BT10" s="12"/>
      <c r="BU10" s="12"/>
      <c r="BV10" s="12"/>
      <c r="BW10" s="12"/>
      <c r="BX10" s="12"/>
      <c r="BY10" s="12"/>
      <c r="BZ10" s="12"/>
      <c r="CA10" s="12"/>
      <c r="CB10" s="12"/>
      <c r="CC10" s="12"/>
      <c r="CD10" s="12"/>
      <c r="CE10" s="12"/>
      <c r="CF10" s="12"/>
      <c r="CG10" s="12"/>
      <c r="CH10" s="12"/>
      <c r="CI10" s="12"/>
      <c r="CJ10" s="12"/>
      <c r="CK10" s="12"/>
      <c r="CL10" s="12"/>
      <c r="CM10" s="12"/>
      <c r="CN10" s="12"/>
      <c r="CO10" s="12"/>
      <c r="CP10" s="12"/>
      <c r="CQ10" s="12"/>
      <c r="CR10" s="12"/>
      <c r="CS10" s="12"/>
      <c r="CT10" s="12"/>
      <c r="CU10" s="12"/>
      <c r="CV10" s="12"/>
      <c r="CW10" s="12"/>
      <c r="CX10" s="12"/>
      <c r="CY10" s="12"/>
      <c r="CZ10" s="12"/>
      <c r="DA10" s="12"/>
      <c r="DB10" s="12"/>
      <c r="DC10" s="12"/>
      <c r="DD10" s="12"/>
      <c r="DE10" s="12"/>
      <c r="DF10" s="12"/>
      <c r="DG10" s="12"/>
      <c r="DH10" s="12"/>
      <c r="DI10" s="12"/>
    </row>
    <row r="11" spans="1:113" ht="12.75" customHeight="1" x14ac:dyDescent="0.2">
      <c r="A11" s="30"/>
      <c r="B11" s="34"/>
      <c r="C11" s="350"/>
      <c r="D11" s="35"/>
      <c r="E11" s="35"/>
      <c r="F11" s="35"/>
      <c r="G11" s="35"/>
      <c r="H11" s="35"/>
      <c r="I11" s="35"/>
      <c r="J11" s="35"/>
      <c r="K11" s="98"/>
      <c r="L11" s="35"/>
      <c r="M11" s="35"/>
      <c r="N11" s="460"/>
      <c r="O11" s="460"/>
      <c r="P11" s="35"/>
      <c r="Q11" s="35"/>
      <c r="R11" s="35"/>
      <c r="S11" s="35"/>
      <c r="T11" s="98"/>
      <c r="U11" s="35"/>
      <c r="V11" s="35"/>
      <c r="W11" s="35"/>
      <c r="X11" s="35"/>
      <c r="Y11" s="35"/>
      <c r="Z11" s="35"/>
      <c r="AA11" s="35"/>
      <c r="AB11" s="35"/>
      <c r="AC11" s="35"/>
      <c r="AD11" s="35"/>
      <c r="AE11" s="35"/>
      <c r="AF11" s="35"/>
      <c r="AG11" s="35"/>
      <c r="AH11" s="35"/>
      <c r="AI11" s="151"/>
      <c r="AJ11" s="30"/>
      <c r="AK11" s="30"/>
      <c r="BP11" s="12"/>
      <c r="BQ11" s="12"/>
      <c r="BR11" s="12"/>
      <c r="BS11" s="12"/>
      <c r="BT11" s="12"/>
      <c r="BU11" s="12"/>
      <c r="BV11" s="12"/>
      <c r="BW11" s="12"/>
      <c r="BX11" s="12"/>
      <c r="BY11" s="12"/>
      <c r="BZ11" s="12"/>
      <c r="CA11" s="12"/>
      <c r="CB11" s="12"/>
      <c r="CC11" s="12"/>
      <c r="CD11" s="12"/>
      <c r="CE11" s="12"/>
      <c r="CF11" s="12"/>
      <c r="CG11" s="12"/>
      <c r="CH11" s="12"/>
      <c r="CI11" s="12"/>
      <c r="CJ11" s="12"/>
      <c r="CK11" s="12"/>
      <c r="CL11" s="12"/>
      <c r="CM11" s="12"/>
      <c r="CN11" s="12"/>
      <c r="CO11" s="12"/>
      <c r="CP11" s="12"/>
      <c r="CQ11" s="12"/>
      <c r="CR11" s="12"/>
      <c r="CS11" s="12"/>
      <c r="CT11" s="12"/>
      <c r="CU11" s="12"/>
      <c r="CV11" s="12"/>
      <c r="CW11" s="12"/>
      <c r="CX11" s="12"/>
      <c r="CY11" s="12"/>
      <c r="CZ11" s="12"/>
      <c r="DA11" s="12"/>
      <c r="DB11" s="12"/>
      <c r="DC11" s="12"/>
      <c r="DD11" s="12"/>
      <c r="DE11" s="12"/>
      <c r="DF11" s="12"/>
      <c r="DG11" s="12"/>
      <c r="DH11" s="12"/>
      <c r="DI11" s="12"/>
    </row>
    <row r="12" spans="1:113" ht="12.75" customHeight="1" x14ac:dyDescent="0.2">
      <c r="A12" s="30"/>
      <c r="B12" s="34"/>
      <c r="C12" s="350"/>
      <c r="D12" s="35"/>
      <c r="E12" s="35"/>
      <c r="F12" s="35"/>
      <c r="G12" s="35"/>
      <c r="H12" s="35"/>
      <c r="I12" s="35"/>
      <c r="J12" s="35"/>
      <c r="K12" s="98"/>
      <c r="L12" s="35"/>
      <c r="M12" s="35"/>
      <c r="N12" s="460"/>
      <c r="O12" s="460"/>
      <c r="P12" s="35"/>
      <c r="Q12" s="35"/>
      <c r="R12" s="35"/>
      <c r="S12" s="35"/>
      <c r="T12" s="98"/>
      <c r="U12" s="35"/>
      <c r="V12" s="461"/>
      <c r="W12" s="35"/>
      <c r="X12" s="35"/>
      <c r="Y12" s="35"/>
      <c r="Z12" s="35"/>
      <c r="AA12" s="35"/>
      <c r="AB12" s="35"/>
      <c r="AC12" s="35"/>
      <c r="AD12" s="35"/>
      <c r="AE12" s="35"/>
      <c r="AF12" s="35"/>
      <c r="AG12" s="35"/>
      <c r="AH12" s="35"/>
      <c r="AI12" s="151"/>
      <c r="AJ12" s="30"/>
      <c r="AK12" s="30"/>
      <c r="BP12" s="12"/>
      <c r="BQ12" s="12"/>
      <c r="BR12" s="12"/>
      <c r="BS12" s="12"/>
      <c r="BT12" s="12"/>
      <c r="BU12" s="12"/>
      <c r="BV12" s="12"/>
      <c r="BW12" s="12"/>
      <c r="BX12" s="12"/>
      <c r="BY12" s="12"/>
      <c r="BZ12" s="12"/>
      <c r="CA12" s="12"/>
      <c r="CB12" s="12"/>
      <c r="CC12" s="12"/>
      <c r="CD12" s="12"/>
      <c r="CE12" s="12"/>
      <c r="CF12" s="12"/>
      <c r="CG12" s="12"/>
      <c r="CH12" s="12"/>
      <c r="CI12" s="12"/>
      <c r="CJ12" s="12"/>
      <c r="CK12" s="12"/>
      <c r="CL12" s="12"/>
      <c r="CM12" s="12"/>
      <c r="CN12" s="12"/>
      <c r="CO12" s="12"/>
      <c r="CP12" s="12"/>
      <c r="CQ12" s="12"/>
      <c r="CR12" s="12"/>
      <c r="CS12" s="12"/>
      <c r="CT12" s="12"/>
      <c r="CU12" s="12"/>
      <c r="CV12" s="12"/>
      <c r="CW12" s="12"/>
      <c r="CX12" s="12"/>
      <c r="CY12" s="12"/>
      <c r="CZ12" s="12"/>
      <c r="DA12" s="12"/>
      <c r="DB12" s="12"/>
      <c r="DC12" s="12"/>
      <c r="DD12" s="12"/>
      <c r="DE12" s="12"/>
      <c r="DF12" s="12"/>
      <c r="DG12" s="12"/>
      <c r="DH12" s="12"/>
      <c r="DI12" s="12"/>
    </row>
    <row r="13" spans="1:113" ht="12.75" customHeight="1" x14ac:dyDescent="0.2">
      <c r="A13" s="30"/>
      <c r="B13" s="34"/>
      <c r="C13" s="350"/>
      <c r="D13" s="35"/>
      <c r="E13" s="35"/>
      <c r="F13" s="35"/>
      <c r="G13" s="35"/>
      <c r="H13" s="35"/>
      <c r="I13" s="35"/>
      <c r="J13" s="35"/>
      <c r="K13" s="98"/>
      <c r="L13" s="35"/>
      <c r="M13" s="35"/>
      <c r="N13" s="460"/>
      <c r="O13" s="460"/>
      <c r="P13" s="35"/>
      <c r="Q13" s="35"/>
      <c r="R13" s="35"/>
      <c r="S13" s="35"/>
      <c r="T13" s="98"/>
      <c r="U13" s="35"/>
      <c r="V13" s="461"/>
      <c r="W13" s="35"/>
      <c r="X13" s="35"/>
      <c r="Y13" s="35"/>
      <c r="Z13" s="35"/>
      <c r="AA13" s="35"/>
      <c r="AB13" s="35"/>
      <c r="AC13" s="35"/>
      <c r="AD13" s="35"/>
      <c r="AE13" s="35"/>
      <c r="AF13" s="35"/>
      <c r="AG13" s="35"/>
      <c r="AH13" s="35"/>
      <c r="AI13" s="151"/>
      <c r="AJ13" s="30"/>
      <c r="AK13" s="30"/>
      <c r="BP13" s="12"/>
      <c r="BQ13" s="12"/>
      <c r="BR13" s="12"/>
      <c r="BS13" s="12"/>
      <c r="BT13" s="12"/>
      <c r="BU13" s="12"/>
      <c r="BV13" s="12"/>
      <c r="BW13" s="12"/>
      <c r="BX13" s="12"/>
      <c r="BY13" s="12"/>
      <c r="BZ13" s="12"/>
      <c r="CA13" s="12"/>
      <c r="CB13" s="12"/>
      <c r="CC13" s="12"/>
      <c r="CD13" s="12"/>
      <c r="CE13" s="12"/>
      <c r="CF13" s="12"/>
      <c r="CG13" s="12"/>
      <c r="CH13" s="12"/>
      <c r="CI13" s="12"/>
      <c r="CJ13" s="12"/>
      <c r="CK13" s="12"/>
      <c r="CL13" s="12"/>
      <c r="CM13" s="12"/>
      <c r="CN13" s="12"/>
      <c r="CO13" s="12"/>
      <c r="CP13" s="12"/>
      <c r="CQ13" s="12"/>
      <c r="CR13" s="12"/>
      <c r="CS13" s="12"/>
      <c r="CT13" s="12"/>
      <c r="CU13" s="12"/>
      <c r="CV13" s="12"/>
      <c r="CW13" s="12"/>
      <c r="CX13" s="12"/>
      <c r="CY13" s="12"/>
      <c r="CZ13" s="12"/>
      <c r="DA13" s="12"/>
      <c r="DB13" s="12"/>
      <c r="DC13" s="12"/>
      <c r="DD13" s="12"/>
      <c r="DE13" s="12"/>
      <c r="DF13" s="12"/>
      <c r="DG13" s="12"/>
      <c r="DH13" s="12"/>
      <c r="DI13" s="12"/>
    </row>
    <row r="14" spans="1:113" ht="12.75" customHeight="1" x14ac:dyDescent="0.2">
      <c r="A14" s="30"/>
      <c r="B14" s="34"/>
      <c r="C14" s="350"/>
      <c r="D14" s="35"/>
      <c r="E14" s="35"/>
      <c r="F14" s="35"/>
      <c r="G14" s="35"/>
      <c r="H14" s="35"/>
      <c r="I14" s="35"/>
      <c r="J14" s="35"/>
      <c r="K14" s="98"/>
      <c r="L14" s="35"/>
      <c r="M14" s="35"/>
      <c r="N14" s="460"/>
      <c r="O14" s="460"/>
      <c r="P14" s="35"/>
      <c r="Q14" s="35"/>
      <c r="R14" s="35"/>
      <c r="S14" s="35"/>
      <c r="T14" s="98"/>
      <c r="U14" s="35"/>
      <c r="V14" s="35"/>
      <c r="W14" s="35"/>
      <c r="X14" s="35"/>
      <c r="Y14" s="35"/>
      <c r="Z14" s="35"/>
      <c r="AA14" s="35"/>
      <c r="AB14" s="35"/>
      <c r="AC14" s="35"/>
      <c r="AD14" s="35"/>
      <c r="AE14" s="35"/>
      <c r="AF14" s="35"/>
      <c r="AG14" s="35"/>
      <c r="AH14" s="35"/>
      <c r="AI14" s="151"/>
      <c r="AJ14" s="30"/>
      <c r="AK14" s="30"/>
      <c r="BP14" s="12"/>
      <c r="BQ14" s="12"/>
      <c r="BR14" s="12"/>
      <c r="BS14" s="12"/>
      <c r="BT14" s="12"/>
      <c r="BU14" s="12"/>
      <c r="BV14" s="12"/>
      <c r="BW14" s="12"/>
      <c r="BX14" s="12"/>
      <c r="BY14" s="12"/>
      <c r="BZ14" s="12"/>
      <c r="CA14" s="12"/>
      <c r="CB14" s="12"/>
      <c r="CC14" s="12"/>
      <c r="CD14" s="12"/>
      <c r="CE14" s="12"/>
      <c r="CF14" s="12"/>
      <c r="CG14" s="12"/>
      <c r="CH14" s="12"/>
      <c r="CI14" s="12"/>
      <c r="CJ14" s="12"/>
      <c r="CK14" s="12"/>
      <c r="CL14" s="12"/>
      <c r="CM14" s="12"/>
      <c r="CN14" s="12"/>
      <c r="CO14" s="12"/>
      <c r="CP14" s="12"/>
      <c r="CQ14" s="12"/>
      <c r="CR14" s="12"/>
      <c r="CS14" s="12"/>
      <c r="CT14" s="12"/>
      <c r="CU14" s="12"/>
      <c r="CV14" s="12"/>
      <c r="CW14" s="12"/>
      <c r="CX14" s="12"/>
      <c r="CY14" s="12"/>
      <c r="CZ14" s="12"/>
      <c r="DA14" s="12"/>
      <c r="DB14" s="12"/>
      <c r="DC14" s="12"/>
      <c r="DD14" s="12"/>
      <c r="DE14" s="12"/>
      <c r="DF14" s="12"/>
      <c r="DG14" s="12"/>
      <c r="DH14" s="12"/>
      <c r="DI14" s="12"/>
    </row>
    <row r="15" spans="1:113" ht="12.75" customHeight="1" x14ac:dyDescent="0.2">
      <c r="A15" s="30"/>
      <c r="B15" s="34"/>
      <c r="C15" s="350"/>
      <c r="D15" s="35"/>
      <c r="E15" s="35"/>
      <c r="F15" s="35"/>
      <c r="G15" s="35"/>
      <c r="H15" s="35"/>
      <c r="I15" s="35"/>
      <c r="J15" s="35"/>
      <c r="K15" s="98"/>
      <c r="L15" s="35"/>
      <c r="M15" s="35"/>
      <c r="N15" s="460"/>
      <c r="O15" s="460"/>
      <c r="P15" s="35"/>
      <c r="Q15" s="35"/>
      <c r="R15" s="35"/>
      <c r="S15" s="35"/>
      <c r="T15" s="98"/>
      <c r="U15" s="35"/>
      <c r="V15" s="35"/>
      <c r="W15" s="35"/>
      <c r="X15" s="35"/>
      <c r="Y15" s="35"/>
      <c r="Z15" s="35"/>
      <c r="AA15" s="35"/>
      <c r="AB15" s="35"/>
      <c r="AC15" s="35"/>
      <c r="AD15" s="35"/>
      <c r="AE15" s="35"/>
      <c r="AF15" s="35"/>
      <c r="AG15" s="35"/>
      <c r="AH15" s="35"/>
      <c r="AI15" s="151"/>
      <c r="AJ15" s="30"/>
      <c r="AK15" s="30"/>
      <c r="BP15" s="12"/>
      <c r="BQ15" s="12"/>
      <c r="BR15" s="12"/>
      <c r="BS15" s="12"/>
      <c r="BT15" s="12"/>
      <c r="BU15" s="12"/>
      <c r="BV15" s="12"/>
      <c r="BW15" s="12"/>
      <c r="BX15" s="12"/>
      <c r="BY15" s="12"/>
      <c r="BZ15" s="12"/>
      <c r="CA15" s="12"/>
      <c r="CB15" s="12"/>
      <c r="CC15" s="12"/>
      <c r="CD15" s="12"/>
      <c r="CE15" s="12"/>
      <c r="CF15" s="12"/>
      <c r="CG15" s="12"/>
      <c r="CH15" s="12"/>
      <c r="CI15" s="12"/>
      <c r="CJ15" s="12"/>
      <c r="CK15" s="12"/>
      <c r="CL15" s="12"/>
      <c r="CM15" s="12"/>
      <c r="CN15" s="12"/>
      <c r="CO15" s="12"/>
      <c r="CP15" s="12"/>
      <c r="CQ15" s="12"/>
      <c r="CR15" s="12"/>
      <c r="CS15" s="12"/>
      <c r="CT15" s="12"/>
      <c r="CU15" s="12"/>
      <c r="CV15" s="12"/>
      <c r="CW15" s="12"/>
      <c r="CX15" s="12"/>
      <c r="CY15" s="12"/>
      <c r="CZ15" s="12"/>
      <c r="DA15" s="12"/>
      <c r="DB15" s="12"/>
      <c r="DC15" s="12"/>
      <c r="DD15" s="12"/>
      <c r="DE15" s="12"/>
      <c r="DF15" s="12"/>
      <c r="DG15" s="12"/>
      <c r="DH15" s="12"/>
      <c r="DI15" s="12"/>
    </row>
    <row r="16" spans="1:113" ht="12.75" customHeight="1" x14ac:dyDescent="0.2">
      <c r="A16" s="30"/>
      <c r="B16" s="34"/>
      <c r="C16" s="350"/>
      <c r="D16" s="35"/>
      <c r="E16" s="35"/>
      <c r="F16" s="35"/>
      <c r="G16" s="35"/>
      <c r="H16" s="35"/>
      <c r="I16" s="35"/>
      <c r="J16" s="35"/>
      <c r="K16" s="98"/>
      <c r="L16" s="35"/>
      <c r="M16" s="35"/>
      <c r="N16" s="460"/>
      <c r="O16" s="460"/>
      <c r="P16" s="35"/>
      <c r="Q16" s="35"/>
      <c r="R16" s="35"/>
      <c r="S16" s="35"/>
      <c r="T16" s="98"/>
      <c r="U16" s="35"/>
      <c r="V16" s="35"/>
      <c r="W16" s="35"/>
      <c r="X16" s="35"/>
      <c r="Y16" s="35"/>
      <c r="Z16" s="35"/>
      <c r="AA16" s="35"/>
      <c r="AB16" s="35"/>
      <c r="AC16" s="35"/>
      <c r="AD16" s="35"/>
      <c r="AE16" s="35"/>
      <c r="AF16" s="35"/>
      <c r="AG16" s="35"/>
      <c r="AH16" s="35"/>
      <c r="AI16" s="151"/>
      <c r="AJ16" s="30"/>
      <c r="AK16" s="30"/>
      <c r="BP16" s="12"/>
      <c r="BQ16" s="12"/>
      <c r="BR16" s="12"/>
      <c r="BS16" s="12"/>
      <c r="BT16" s="12"/>
      <c r="BU16" s="12"/>
      <c r="BV16" s="12"/>
      <c r="BW16" s="12"/>
      <c r="BX16" s="12"/>
      <c r="BY16" s="12"/>
      <c r="BZ16" s="12"/>
      <c r="CA16" s="12"/>
      <c r="CB16" s="12"/>
      <c r="CC16" s="12"/>
      <c r="CD16" s="12"/>
      <c r="CE16" s="12"/>
      <c r="CF16" s="12"/>
      <c r="CG16" s="12"/>
      <c r="CH16" s="12"/>
      <c r="CI16" s="12"/>
      <c r="CJ16" s="12"/>
      <c r="CK16" s="12"/>
      <c r="CL16" s="12"/>
      <c r="CM16" s="12"/>
      <c r="CN16" s="12"/>
      <c r="CO16" s="12"/>
      <c r="CP16" s="12"/>
      <c r="CQ16" s="12"/>
      <c r="CR16" s="12"/>
      <c r="CS16" s="12"/>
      <c r="CT16" s="12"/>
      <c r="CU16" s="12"/>
      <c r="CV16" s="12"/>
      <c r="CW16" s="12"/>
      <c r="CX16" s="12"/>
      <c r="CY16" s="12"/>
      <c r="CZ16" s="12"/>
      <c r="DA16" s="12"/>
      <c r="DB16" s="12"/>
      <c r="DC16" s="12"/>
      <c r="DD16" s="12"/>
      <c r="DE16" s="12"/>
      <c r="DF16" s="12"/>
      <c r="DG16" s="12"/>
      <c r="DH16" s="12"/>
      <c r="DI16" s="12"/>
    </row>
    <row r="17" spans="1:113" ht="12.75" customHeight="1" x14ac:dyDescent="0.2">
      <c r="A17" s="30"/>
      <c r="B17" s="34"/>
      <c r="C17" s="350"/>
      <c r="D17" s="35"/>
      <c r="E17" s="35"/>
      <c r="F17" s="35"/>
      <c r="G17" s="35"/>
      <c r="H17" s="35"/>
      <c r="I17" s="35"/>
      <c r="J17" s="35"/>
      <c r="K17" s="98"/>
      <c r="L17" s="35"/>
      <c r="M17" s="35"/>
      <c r="N17" s="460"/>
      <c r="O17" s="460"/>
      <c r="P17" s="35"/>
      <c r="Q17" s="35"/>
      <c r="R17" s="35"/>
      <c r="S17" s="35"/>
      <c r="T17" s="98"/>
      <c r="U17" s="35"/>
      <c r="V17" s="35"/>
      <c r="W17" s="35"/>
      <c r="X17" s="35"/>
      <c r="Y17" s="35"/>
      <c r="Z17" s="35"/>
      <c r="AA17" s="35"/>
      <c r="AB17" s="35"/>
      <c r="AC17" s="35"/>
      <c r="AD17" s="35"/>
      <c r="AE17" s="35"/>
      <c r="AF17" s="35"/>
      <c r="AG17" s="35"/>
      <c r="AH17" s="35"/>
      <c r="AI17" s="151"/>
      <c r="AJ17" s="30"/>
      <c r="AK17" s="30"/>
      <c r="BP17" s="12"/>
      <c r="BQ17" s="12"/>
      <c r="BR17" s="12"/>
      <c r="BS17" s="12"/>
      <c r="BT17" s="12"/>
      <c r="BU17" s="12"/>
      <c r="BV17" s="12"/>
      <c r="BW17" s="12"/>
      <c r="BX17" s="12"/>
      <c r="BY17" s="12"/>
      <c r="BZ17" s="12"/>
      <c r="CA17" s="12"/>
      <c r="CB17" s="12"/>
      <c r="CC17" s="12"/>
      <c r="CD17" s="12"/>
      <c r="CE17" s="12"/>
      <c r="CF17" s="12"/>
      <c r="CG17" s="12"/>
      <c r="CH17" s="12"/>
      <c r="CI17" s="12"/>
      <c r="CJ17" s="12"/>
      <c r="CK17" s="12"/>
      <c r="CL17" s="12"/>
      <c r="CM17" s="12"/>
      <c r="CN17" s="12"/>
      <c r="CO17" s="12"/>
      <c r="CP17" s="12"/>
      <c r="CQ17" s="12"/>
      <c r="CR17" s="12"/>
      <c r="CS17" s="12"/>
      <c r="CT17" s="12"/>
      <c r="CU17" s="12"/>
      <c r="CV17" s="12"/>
      <c r="CW17" s="12"/>
      <c r="CX17" s="12"/>
      <c r="CY17" s="12"/>
      <c r="CZ17" s="12"/>
      <c r="DA17" s="12"/>
      <c r="DB17" s="12"/>
      <c r="DC17" s="12"/>
      <c r="DD17" s="12"/>
      <c r="DE17" s="12"/>
      <c r="DF17" s="12"/>
      <c r="DG17" s="12"/>
      <c r="DH17" s="12"/>
      <c r="DI17" s="12"/>
    </row>
    <row r="18" spans="1:113" ht="12.75" customHeight="1" x14ac:dyDescent="0.2">
      <c r="A18" s="30"/>
      <c r="B18" s="34"/>
      <c r="C18" s="350"/>
      <c r="D18" s="35"/>
      <c r="E18" s="35"/>
      <c r="F18" s="35"/>
      <c r="G18" s="35"/>
      <c r="H18" s="35"/>
      <c r="I18" s="35"/>
      <c r="J18" s="35"/>
      <c r="K18" s="98"/>
      <c r="L18" s="35"/>
      <c r="M18" s="35"/>
      <c r="N18" s="460"/>
      <c r="O18" s="460"/>
      <c r="P18" s="35"/>
      <c r="Q18" s="35"/>
      <c r="R18" s="35"/>
      <c r="S18" s="35"/>
      <c r="T18" s="98"/>
      <c r="U18" s="35"/>
      <c r="V18" s="35"/>
      <c r="W18" s="35"/>
      <c r="X18" s="35"/>
      <c r="Y18" s="35"/>
      <c r="Z18" s="35"/>
      <c r="AA18" s="35"/>
      <c r="AB18" s="35"/>
      <c r="AC18" s="35"/>
      <c r="AD18" s="35"/>
      <c r="AE18" s="35"/>
      <c r="AF18" s="35"/>
      <c r="AG18" s="35"/>
      <c r="AH18" s="35"/>
      <c r="AI18" s="151"/>
      <c r="AJ18" s="30"/>
      <c r="AK18" s="30"/>
      <c r="BP18" s="12"/>
      <c r="BQ18" s="12"/>
      <c r="BR18" s="12"/>
      <c r="BS18" s="12"/>
      <c r="BT18" s="12"/>
      <c r="BU18" s="12"/>
      <c r="BV18" s="12"/>
      <c r="BW18" s="12"/>
      <c r="BX18" s="12"/>
      <c r="BY18" s="12"/>
      <c r="BZ18" s="12"/>
      <c r="CA18" s="12"/>
      <c r="CB18" s="12"/>
      <c r="CC18" s="12"/>
      <c r="CD18" s="12"/>
      <c r="CE18" s="12"/>
      <c r="CF18" s="12"/>
      <c r="CG18" s="12"/>
      <c r="CH18" s="12"/>
      <c r="CI18" s="12"/>
      <c r="CJ18" s="12"/>
      <c r="CK18" s="12"/>
      <c r="CL18" s="12"/>
      <c r="CM18" s="12"/>
      <c r="CN18" s="12"/>
      <c r="CO18" s="12"/>
      <c r="CP18" s="12"/>
      <c r="CQ18" s="12"/>
      <c r="CR18" s="12"/>
      <c r="CS18" s="12"/>
      <c r="CT18" s="12"/>
      <c r="CU18" s="12"/>
      <c r="CV18" s="12"/>
      <c r="CW18" s="12"/>
      <c r="CX18" s="12"/>
      <c r="CY18" s="12"/>
      <c r="CZ18" s="12"/>
      <c r="DA18" s="12"/>
      <c r="DB18" s="12"/>
      <c r="DC18" s="12"/>
      <c r="DD18" s="12"/>
      <c r="DE18" s="12"/>
      <c r="DF18" s="12"/>
      <c r="DG18" s="12"/>
      <c r="DH18" s="12"/>
      <c r="DI18" s="12"/>
    </row>
    <row r="19" spans="1:113" ht="12.75" customHeight="1" x14ac:dyDescent="0.2">
      <c r="A19" s="30"/>
      <c r="B19" s="34"/>
      <c r="C19" s="350"/>
      <c r="D19" s="35"/>
      <c r="E19" s="35"/>
      <c r="F19" s="35"/>
      <c r="G19" s="35"/>
      <c r="H19" s="35"/>
      <c r="I19" s="35"/>
      <c r="J19" s="35"/>
      <c r="K19" s="98"/>
      <c r="L19" s="35"/>
      <c r="M19" s="35"/>
      <c r="N19" s="460"/>
      <c r="O19" s="460"/>
      <c r="P19" s="35"/>
      <c r="Q19" s="35"/>
      <c r="R19" s="35"/>
      <c r="S19" s="35"/>
      <c r="T19" s="98"/>
      <c r="U19" s="35"/>
      <c r="V19" s="35"/>
      <c r="W19" s="35"/>
      <c r="X19" s="35"/>
      <c r="Y19" s="35"/>
      <c r="Z19" s="35"/>
      <c r="AA19" s="35"/>
      <c r="AB19" s="35"/>
      <c r="AC19" s="35"/>
      <c r="AD19" s="35"/>
      <c r="AE19" s="35"/>
      <c r="AF19" s="35"/>
      <c r="AG19" s="35"/>
      <c r="AH19" s="35"/>
      <c r="AI19" s="151"/>
      <c r="AJ19" s="30"/>
      <c r="AK19" s="30"/>
    </row>
    <row r="20" spans="1:113" ht="12.75" customHeight="1" x14ac:dyDescent="0.2">
      <c r="A20" s="30"/>
      <c r="B20" s="34"/>
      <c r="C20" s="350"/>
      <c r="D20" s="35"/>
      <c r="E20" s="35"/>
      <c r="F20" s="35"/>
      <c r="G20" s="35"/>
      <c r="H20" s="35"/>
      <c r="I20" s="35"/>
      <c r="J20" s="35"/>
      <c r="K20" s="98"/>
      <c r="L20" s="35"/>
      <c r="M20" s="35"/>
      <c r="N20" s="460"/>
      <c r="O20" s="460"/>
      <c r="P20" s="35"/>
      <c r="Q20" s="35"/>
      <c r="R20" s="35"/>
      <c r="S20" s="35"/>
      <c r="T20" s="98"/>
      <c r="U20" s="35"/>
      <c r="V20" s="35"/>
      <c r="W20" s="35"/>
      <c r="X20" s="35"/>
      <c r="Y20" s="35"/>
      <c r="Z20" s="35"/>
      <c r="AA20" s="35"/>
      <c r="AB20" s="35"/>
      <c r="AC20" s="35"/>
      <c r="AD20" s="35"/>
      <c r="AE20" s="35"/>
      <c r="AF20" s="35"/>
      <c r="AG20" s="35"/>
      <c r="AH20" s="35"/>
      <c r="AI20" s="151"/>
      <c r="AJ20" s="30"/>
      <c r="AK20" s="30"/>
    </row>
    <row r="21" spans="1:113" ht="12.75" customHeight="1" x14ac:dyDescent="0.2">
      <c r="A21" s="30"/>
      <c r="B21" s="34"/>
      <c r="C21" s="350"/>
      <c r="D21" s="35"/>
      <c r="E21" s="35"/>
      <c r="F21" s="35"/>
      <c r="G21" s="35"/>
      <c r="H21" s="35"/>
      <c r="I21" s="35"/>
      <c r="J21" s="35"/>
      <c r="K21" s="98"/>
      <c r="L21" s="35"/>
      <c r="M21" s="35"/>
      <c r="N21" s="460"/>
      <c r="O21" s="460"/>
      <c r="P21" s="35"/>
      <c r="Q21" s="35"/>
      <c r="R21" s="35"/>
      <c r="S21" s="35"/>
      <c r="T21" s="98"/>
      <c r="U21" s="35"/>
      <c r="V21" s="35"/>
      <c r="W21" s="35"/>
      <c r="X21" s="35"/>
      <c r="Y21" s="35"/>
      <c r="Z21" s="35"/>
      <c r="AA21" s="35"/>
      <c r="AB21" s="35"/>
      <c r="AC21" s="35"/>
      <c r="AD21" s="35"/>
      <c r="AE21" s="35"/>
      <c r="AF21" s="35"/>
      <c r="AG21" s="35"/>
      <c r="AH21" s="35"/>
      <c r="AI21" s="151"/>
      <c r="AJ21" s="30"/>
      <c r="AK21" s="30"/>
    </row>
    <row r="22" spans="1:113" ht="12.75" customHeight="1" x14ac:dyDescent="0.2">
      <c r="A22" s="30"/>
      <c r="B22" s="34"/>
      <c r="C22" s="350"/>
      <c r="D22" s="35"/>
      <c r="E22" s="35"/>
      <c r="F22" s="35"/>
      <c r="G22" s="35"/>
      <c r="H22" s="35"/>
      <c r="I22" s="35"/>
      <c r="J22" s="35"/>
      <c r="K22" s="98"/>
      <c r="L22" s="35"/>
      <c r="M22" s="35"/>
      <c r="N22" s="460"/>
      <c r="O22" s="460"/>
      <c r="P22" s="35"/>
      <c r="Q22" s="35"/>
      <c r="R22" s="35"/>
      <c r="S22" s="35"/>
      <c r="T22" s="98"/>
      <c r="U22" s="35"/>
      <c r="V22" s="35"/>
      <c r="W22" s="35"/>
      <c r="X22" s="35"/>
      <c r="Y22" s="35"/>
      <c r="Z22" s="35"/>
      <c r="AA22" s="35"/>
      <c r="AB22" s="35"/>
      <c r="AC22" s="35"/>
      <c r="AD22" s="35"/>
      <c r="AE22" s="35"/>
      <c r="AF22" s="35"/>
      <c r="AG22" s="35"/>
      <c r="AH22" s="35"/>
      <c r="AI22" s="151"/>
      <c r="AJ22" s="30"/>
      <c r="AK22" s="30"/>
    </row>
    <row r="23" spans="1:113" ht="12.75" customHeight="1" x14ac:dyDescent="0.2">
      <c r="A23" s="30"/>
      <c r="B23" s="34"/>
      <c r="C23" s="350"/>
      <c r="D23" s="35"/>
      <c r="E23" s="35"/>
      <c r="F23" s="35"/>
      <c r="G23" s="35"/>
      <c r="H23" s="35"/>
      <c r="I23" s="35"/>
      <c r="J23" s="35"/>
      <c r="K23" s="98"/>
      <c r="L23" s="35"/>
      <c r="M23" s="35"/>
      <c r="N23" s="460"/>
      <c r="O23" s="460"/>
      <c r="P23" s="35"/>
      <c r="Q23" s="35"/>
      <c r="R23" s="35"/>
      <c r="S23" s="35"/>
      <c r="T23" s="98"/>
      <c r="U23" s="35"/>
      <c r="V23" s="35"/>
      <c r="W23" s="35"/>
      <c r="X23" s="35"/>
      <c r="Y23" s="35"/>
      <c r="Z23" s="35"/>
      <c r="AA23" s="35"/>
      <c r="AB23" s="35"/>
      <c r="AC23" s="35"/>
      <c r="AD23" s="35"/>
      <c r="AE23" s="35"/>
      <c r="AF23" s="35"/>
      <c r="AG23" s="35"/>
      <c r="AH23" s="35"/>
      <c r="AI23" s="151"/>
      <c r="AJ23" s="30"/>
      <c r="AK23" s="30"/>
    </row>
    <row r="24" spans="1:113" ht="12.75" customHeight="1" x14ac:dyDescent="0.2">
      <c r="A24" s="30"/>
      <c r="B24" s="34"/>
      <c r="C24" s="350"/>
      <c r="D24" s="35"/>
      <c r="E24" s="35"/>
      <c r="F24" s="35"/>
      <c r="G24" s="35"/>
      <c r="H24" s="35"/>
      <c r="I24" s="35"/>
      <c r="J24" s="35"/>
      <c r="K24" s="98"/>
      <c r="L24" s="35"/>
      <c r="M24" s="35"/>
      <c r="N24" s="460"/>
      <c r="O24" s="460"/>
      <c r="P24" s="35"/>
      <c r="Q24" s="35"/>
      <c r="R24" s="35"/>
      <c r="S24" s="35"/>
      <c r="T24" s="98"/>
      <c r="U24" s="35"/>
      <c r="V24" s="35"/>
      <c r="W24" s="35"/>
      <c r="X24" s="35"/>
      <c r="Y24" s="35"/>
      <c r="Z24" s="35"/>
      <c r="AA24" s="35"/>
      <c r="AB24" s="35"/>
      <c r="AC24" s="35"/>
      <c r="AD24" s="35"/>
      <c r="AE24" s="35"/>
      <c r="AF24" s="35"/>
      <c r="AG24" s="35"/>
      <c r="AH24" s="35"/>
      <c r="AI24" s="151"/>
      <c r="AJ24" s="30"/>
      <c r="AK24" s="30"/>
    </row>
    <row r="25" spans="1:113" ht="12.75" customHeight="1" x14ac:dyDescent="0.2">
      <c r="A25" s="30"/>
      <c r="B25" s="34"/>
      <c r="C25" s="350"/>
      <c r="D25" s="35"/>
      <c r="E25" s="35"/>
      <c r="F25" s="35"/>
      <c r="G25" s="35"/>
      <c r="H25" s="35"/>
      <c r="I25" s="35"/>
      <c r="J25" s="35"/>
      <c r="K25" s="98"/>
      <c r="L25" s="35"/>
      <c r="M25" s="35"/>
      <c r="N25" s="460"/>
      <c r="O25" s="460"/>
      <c r="P25" s="35"/>
      <c r="Q25" s="35"/>
      <c r="R25" s="35"/>
      <c r="S25" s="35"/>
      <c r="T25" s="98"/>
      <c r="U25" s="35"/>
      <c r="V25" s="35"/>
      <c r="W25" s="35"/>
      <c r="X25" s="35"/>
      <c r="Y25" s="35"/>
      <c r="Z25" s="35"/>
      <c r="AA25" s="35"/>
      <c r="AB25" s="35"/>
      <c r="AC25" s="35"/>
      <c r="AD25" s="35"/>
      <c r="AE25" s="35"/>
      <c r="AF25" s="35"/>
      <c r="AG25" s="35"/>
      <c r="AH25" s="35"/>
      <c r="AI25" s="151"/>
      <c r="AJ25" s="30"/>
      <c r="AK25" s="30"/>
    </row>
    <row r="26" spans="1:113" ht="12.75" customHeight="1" x14ac:dyDescent="0.2">
      <c r="A26" s="30"/>
      <c r="B26" s="34"/>
      <c r="C26" s="350"/>
      <c r="D26" s="35"/>
      <c r="E26" s="35"/>
      <c r="F26" s="35"/>
      <c r="G26" s="35"/>
      <c r="H26" s="35"/>
      <c r="I26" s="35"/>
      <c r="J26" s="35"/>
      <c r="K26" s="98"/>
      <c r="L26" s="35"/>
      <c r="M26" s="35"/>
      <c r="N26" s="460"/>
      <c r="O26" s="460"/>
      <c r="P26" s="35"/>
      <c r="Q26" s="35"/>
      <c r="R26" s="35"/>
      <c r="S26" s="35"/>
      <c r="T26" s="98"/>
      <c r="U26" s="35"/>
      <c r="V26" s="35"/>
      <c r="W26" s="35"/>
      <c r="X26" s="35"/>
      <c r="Y26" s="35"/>
      <c r="Z26" s="35"/>
      <c r="AA26" s="35"/>
      <c r="AB26" s="35"/>
      <c r="AC26" s="35"/>
      <c r="AD26" s="35"/>
      <c r="AE26" s="35"/>
      <c r="AF26" s="35"/>
      <c r="AG26" s="35"/>
      <c r="AH26" s="35"/>
      <c r="AI26" s="151"/>
      <c r="AJ26" s="30"/>
      <c r="AK26" s="30"/>
    </row>
    <row r="27" spans="1:113" ht="12.75" customHeight="1" x14ac:dyDescent="0.2">
      <c r="A27" s="30"/>
      <c r="B27" s="34"/>
      <c r="C27" s="350"/>
      <c r="D27" s="35"/>
      <c r="E27" s="35"/>
      <c r="F27" s="35"/>
      <c r="G27" s="35"/>
      <c r="H27" s="35"/>
      <c r="I27" s="35"/>
      <c r="J27" s="35"/>
      <c r="K27" s="98"/>
      <c r="L27" s="35"/>
      <c r="M27" s="35"/>
      <c r="N27" s="460"/>
      <c r="O27" s="460"/>
      <c r="P27" s="35"/>
      <c r="Q27" s="35"/>
      <c r="R27" s="35"/>
      <c r="S27" s="35"/>
      <c r="T27" s="98"/>
      <c r="U27" s="35"/>
      <c r="V27" s="35"/>
      <c r="W27" s="35"/>
      <c r="X27" s="35"/>
      <c r="Y27" s="35"/>
      <c r="Z27" s="35"/>
      <c r="AA27" s="35"/>
      <c r="AB27" s="35"/>
      <c r="AC27" s="35"/>
      <c r="AD27" s="35"/>
      <c r="AE27" s="35"/>
      <c r="AF27" s="35"/>
      <c r="AG27" s="35"/>
      <c r="AH27" s="35"/>
      <c r="AI27" s="151"/>
      <c r="AJ27" s="30"/>
      <c r="AK27" s="30"/>
    </row>
    <row r="28" spans="1:113" ht="12.75" customHeight="1" x14ac:dyDescent="0.2">
      <c r="A28" s="30"/>
      <c r="B28" s="34"/>
      <c r="C28" s="350"/>
      <c r="D28" s="35"/>
      <c r="E28" s="35"/>
      <c r="F28" s="35"/>
      <c r="G28" s="35"/>
      <c r="H28" s="35"/>
      <c r="I28" s="35"/>
      <c r="J28" s="35"/>
      <c r="K28" s="98"/>
      <c r="L28" s="35"/>
      <c r="M28" s="35"/>
      <c r="N28" s="460"/>
      <c r="O28" s="460"/>
      <c r="P28" s="35"/>
      <c r="Q28" s="35"/>
      <c r="R28" s="35"/>
      <c r="S28" s="35"/>
      <c r="T28" s="98"/>
      <c r="U28" s="35"/>
      <c r="V28" s="35"/>
      <c r="W28" s="35"/>
      <c r="X28" s="35"/>
      <c r="Y28" s="35"/>
      <c r="Z28" s="35"/>
      <c r="AA28" s="35"/>
      <c r="AB28" s="35"/>
      <c r="AC28" s="35"/>
      <c r="AD28" s="35"/>
      <c r="AE28" s="35"/>
      <c r="AF28" s="35"/>
      <c r="AG28" s="35"/>
      <c r="AH28" s="35"/>
      <c r="AI28" s="151"/>
      <c r="AJ28" s="30"/>
      <c r="AK28" s="30"/>
    </row>
    <row r="29" spans="1:113" ht="12.75" customHeight="1" x14ac:dyDescent="0.2">
      <c r="A29" s="30"/>
      <c r="B29" s="34"/>
      <c r="C29" s="350"/>
      <c r="D29" s="35"/>
      <c r="E29" s="35"/>
      <c r="F29" s="35"/>
      <c r="G29" s="35"/>
      <c r="H29" s="35"/>
      <c r="I29" s="35"/>
      <c r="J29" s="35"/>
      <c r="K29" s="98"/>
      <c r="L29" s="35"/>
      <c r="M29" s="35"/>
      <c r="N29" s="460"/>
      <c r="O29" s="460"/>
      <c r="P29" s="35"/>
      <c r="Q29" s="35"/>
      <c r="R29" s="35"/>
      <c r="S29" s="35"/>
      <c r="T29" s="98"/>
      <c r="U29" s="35"/>
      <c r="V29" s="35"/>
      <c r="W29" s="35"/>
      <c r="X29" s="35"/>
      <c r="Y29" s="35"/>
      <c r="Z29" s="35"/>
      <c r="AA29" s="35"/>
      <c r="AB29" s="35"/>
      <c r="AC29" s="35"/>
      <c r="AD29" s="35"/>
      <c r="AE29" s="35"/>
      <c r="AF29" s="35"/>
      <c r="AG29" s="35"/>
      <c r="AH29" s="35"/>
      <c r="AI29" s="151"/>
      <c r="AJ29" s="30"/>
      <c r="AK29" s="30"/>
    </row>
    <row r="30" spans="1:113" ht="12.75" customHeight="1" x14ac:dyDescent="0.2">
      <c r="A30" s="30"/>
      <c r="B30" s="34"/>
      <c r="C30" s="350"/>
      <c r="D30" s="35"/>
      <c r="E30" s="35"/>
      <c r="F30" s="35"/>
      <c r="G30" s="35"/>
      <c r="H30" s="35"/>
      <c r="I30" s="35"/>
      <c r="J30" s="35"/>
      <c r="K30" s="98"/>
      <c r="L30" s="35"/>
      <c r="M30" s="35"/>
      <c r="N30" s="460"/>
      <c r="O30" s="460"/>
      <c r="P30" s="35"/>
      <c r="Q30" s="35"/>
      <c r="R30" s="35"/>
      <c r="S30" s="35"/>
      <c r="T30" s="98"/>
      <c r="U30" s="35"/>
      <c r="V30" s="35"/>
      <c r="W30" s="35"/>
      <c r="X30" s="35"/>
      <c r="Y30" s="35"/>
      <c r="Z30" s="35"/>
      <c r="AA30" s="35"/>
      <c r="AB30" s="35"/>
      <c r="AC30" s="35"/>
      <c r="AD30" s="35"/>
      <c r="AE30" s="35"/>
      <c r="AF30" s="35"/>
      <c r="AG30" s="35"/>
      <c r="AH30" s="35"/>
      <c r="AI30" s="151"/>
      <c r="AJ30" s="30"/>
      <c r="AK30" s="30"/>
    </row>
    <row r="31" spans="1:113" ht="12.75" customHeight="1" x14ac:dyDescent="0.2">
      <c r="A31" s="30"/>
      <c r="B31" s="34"/>
      <c r="C31" s="350"/>
      <c r="D31" s="35"/>
      <c r="E31" s="35"/>
      <c r="F31" s="35"/>
      <c r="G31" s="35"/>
      <c r="H31" s="35"/>
      <c r="I31" s="35"/>
      <c r="J31" s="35"/>
      <c r="K31" s="98"/>
      <c r="L31" s="35"/>
      <c r="M31" s="35"/>
      <c r="N31" s="460"/>
      <c r="O31" s="460"/>
      <c r="P31" s="35"/>
      <c r="Q31" s="35"/>
      <c r="R31" s="35"/>
      <c r="S31" s="35"/>
      <c r="T31" s="98"/>
      <c r="U31" s="35"/>
      <c r="V31" s="35"/>
      <c r="W31" s="35"/>
      <c r="X31" s="35"/>
      <c r="Y31" s="35"/>
      <c r="Z31" s="35"/>
      <c r="AA31" s="35"/>
      <c r="AB31" s="35"/>
      <c r="AC31" s="35"/>
      <c r="AD31" s="35"/>
      <c r="AE31" s="35"/>
      <c r="AF31" s="35"/>
      <c r="AG31" s="35"/>
      <c r="AH31" s="35"/>
      <c r="AI31" s="151"/>
      <c r="AJ31" s="30"/>
      <c r="AK31" s="30"/>
    </row>
    <row r="32" spans="1:113" ht="12.75" customHeight="1" x14ac:dyDescent="0.2">
      <c r="A32" s="30"/>
      <c r="B32" s="34"/>
      <c r="C32" s="350"/>
      <c r="D32" s="35"/>
      <c r="E32" s="35"/>
      <c r="F32" s="35"/>
      <c r="G32" s="35"/>
      <c r="H32" s="35"/>
      <c r="I32" s="35"/>
      <c r="J32" s="35"/>
      <c r="K32" s="98"/>
      <c r="L32" s="35"/>
      <c r="M32" s="35"/>
      <c r="N32" s="460"/>
      <c r="O32" s="460"/>
      <c r="P32" s="35"/>
      <c r="Q32" s="35"/>
      <c r="R32" s="35"/>
      <c r="S32" s="35"/>
      <c r="T32" s="98"/>
      <c r="U32" s="35"/>
      <c r="V32" s="35"/>
      <c r="W32" s="35"/>
      <c r="X32" s="35"/>
      <c r="Y32" s="35"/>
      <c r="Z32" s="35"/>
      <c r="AA32" s="35"/>
      <c r="AB32" s="35"/>
      <c r="AC32" s="35"/>
      <c r="AD32" s="35"/>
      <c r="AE32" s="35"/>
      <c r="AF32" s="35"/>
      <c r="AG32" s="35"/>
      <c r="AH32" s="35"/>
      <c r="AI32" s="151"/>
      <c r="AJ32" s="30"/>
      <c r="AK32" s="30"/>
    </row>
    <row r="33" spans="1:37" ht="12.75" customHeight="1" x14ac:dyDescent="0.2">
      <c r="A33" s="30"/>
      <c r="B33" s="34"/>
      <c r="C33" s="350"/>
      <c r="D33" s="35"/>
      <c r="E33" s="35"/>
      <c r="F33" s="35"/>
      <c r="G33" s="35"/>
      <c r="H33" s="35"/>
      <c r="I33" s="35"/>
      <c r="J33" s="35"/>
      <c r="K33" s="98"/>
      <c r="L33" s="35"/>
      <c r="M33" s="35"/>
      <c r="N33" s="460"/>
      <c r="O33" s="460"/>
      <c r="P33" s="35"/>
      <c r="Q33" s="35"/>
      <c r="R33" s="35"/>
      <c r="S33" s="35"/>
      <c r="T33" s="98"/>
      <c r="U33" s="35"/>
      <c r="V33" s="35"/>
      <c r="W33" s="35"/>
      <c r="X33" s="35"/>
      <c r="Y33" s="35"/>
      <c r="Z33" s="35"/>
      <c r="AA33" s="35"/>
      <c r="AB33" s="35"/>
      <c r="AC33" s="35"/>
      <c r="AD33" s="35"/>
      <c r="AE33" s="35"/>
      <c r="AF33" s="35"/>
      <c r="AG33" s="35"/>
      <c r="AH33" s="35"/>
      <c r="AI33" s="151"/>
      <c r="AJ33" s="30"/>
      <c r="AK33" s="30"/>
    </row>
    <row r="34" spans="1:37" ht="12.75" customHeight="1" x14ac:dyDescent="0.2">
      <c r="A34" s="30"/>
      <c r="B34" s="34"/>
      <c r="C34" s="350"/>
      <c r="D34" s="35"/>
      <c r="E34" s="35"/>
      <c r="F34" s="35"/>
      <c r="G34" s="35"/>
      <c r="H34" s="35"/>
      <c r="I34" s="35"/>
      <c r="J34" s="35"/>
      <c r="K34" s="98"/>
      <c r="L34" s="35"/>
      <c r="M34" s="35"/>
      <c r="N34" s="460"/>
      <c r="O34" s="460"/>
      <c r="P34" s="35"/>
      <c r="Q34" s="35"/>
      <c r="R34" s="35"/>
      <c r="S34" s="35"/>
      <c r="T34" s="98"/>
      <c r="U34" s="35"/>
      <c r="V34" s="35"/>
      <c r="W34" s="35"/>
      <c r="X34" s="35"/>
      <c r="Y34" s="35"/>
      <c r="Z34" s="35"/>
      <c r="AA34" s="35"/>
      <c r="AB34" s="35"/>
      <c r="AC34" s="35"/>
      <c r="AD34" s="35"/>
      <c r="AE34" s="35"/>
      <c r="AF34" s="35"/>
      <c r="AG34" s="35"/>
      <c r="AH34" s="35"/>
      <c r="AI34" s="151"/>
      <c r="AJ34" s="30"/>
      <c r="AK34" s="30"/>
    </row>
    <row r="35" spans="1:37" ht="12.75" customHeight="1" x14ac:dyDescent="0.2">
      <c r="A35" s="30"/>
      <c r="B35" s="34"/>
      <c r="C35" s="350"/>
      <c r="D35" s="35"/>
      <c r="E35" s="35"/>
      <c r="F35" s="35"/>
      <c r="G35" s="35"/>
      <c r="H35" s="35"/>
      <c r="I35" s="35"/>
      <c r="J35" s="35"/>
      <c r="K35" s="98"/>
      <c r="L35" s="35"/>
      <c r="M35" s="35"/>
      <c r="N35" s="460"/>
      <c r="O35" s="460"/>
      <c r="P35" s="35"/>
      <c r="Q35" s="35"/>
      <c r="R35" s="35"/>
      <c r="S35" s="35"/>
      <c r="T35" s="98"/>
      <c r="U35" s="35"/>
      <c r="V35" s="35"/>
      <c r="W35" s="35"/>
      <c r="X35" s="35"/>
      <c r="Y35" s="35"/>
      <c r="Z35" s="35"/>
      <c r="AA35" s="35"/>
      <c r="AB35" s="35"/>
      <c r="AC35" s="35"/>
      <c r="AD35" s="35"/>
      <c r="AE35" s="35"/>
      <c r="AF35" s="35"/>
      <c r="AG35" s="35"/>
      <c r="AH35" s="35"/>
      <c r="AI35" s="151"/>
      <c r="AJ35" s="30"/>
      <c r="AK35" s="30"/>
    </row>
    <row r="36" spans="1:37" ht="12.75" customHeight="1" x14ac:dyDescent="0.2">
      <c r="A36" s="30"/>
      <c r="B36" s="34"/>
      <c r="C36" s="350"/>
      <c r="D36" s="35"/>
      <c r="E36" s="35"/>
      <c r="F36" s="35"/>
      <c r="G36" s="35"/>
      <c r="H36" s="35"/>
      <c r="I36" s="35"/>
      <c r="J36" s="35"/>
      <c r="K36" s="98"/>
      <c r="L36" s="35"/>
      <c r="M36" s="35"/>
      <c r="N36" s="460"/>
      <c r="O36" s="460"/>
      <c r="P36" s="35"/>
      <c r="Q36" s="35"/>
      <c r="R36" s="35"/>
      <c r="S36" s="35"/>
      <c r="T36" s="98"/>
      <c r="U36" s="35"/>
      <c r="V36" s="35"/>
      <c r="W36" s="35"/>
      <c r="X36" s="35"/>
      <c r="Y36" s="35"/>
      <c r="Z36" s="35"/>
      <c r="AA36" s="35"/>
      <c r="AB36" s="35"/>
      <c r="AC36" s="35"/>
      <c r="AD36" s="35"/>
      <c r="AE36" s="35"/>
      <c r="AF36" s="35"/>
      <c r="AG36" s="35"/>
      <c r="AH36" s="35"/>
      <c r="AI36" s="151"/>
      <c r="AJ36" s="30"/>
      <c r="AK36" s="30"/>
    </row>
    <row r="37" spans="1:37" ht="12.75" customHeight="1" x14ac:dyDescent="0.2">
      <c r="A37" s="30"/>
      <c r="B37" s="34"/>
      <c r="C37" s="350"/>
      <c r="D37" s="35"/>
      <c r="E37" s="35"/>
      <c r="F37" s="35"/>
      <c r="G37" s="35"/>
      <c r="H37" s="35"/>
      <c r="I37" s="35"/>
      <c r="J37" s="35"/>
      <c r="K37" s="98"/>
      <c r="L37" s="35"/>
      <c r="M37" s="35"/>
      <c r="N37" s="460"/>
      <c r="O37" s="460"/>
      <c r="P37" s="35"/>
      <c r="Q37" s="35"/>
      <c r="R37" s="35"/>
      <c r="S37" s="35"/>
      <c r="T37" s="98"/>
      <c r="U37" s="35"/>
      <c r="V37" s="35"/>
      <c r="W37" s="35"/>
      <c r="X37" s="35"/>
      <c r="Y37" s="35"/>
      <c r="Z37" s="35"/>
      <c r="AA37" s="35"/>
      <c r="AB37" s="35"/>
      <c r="AC37" s="35"/>
      <c r="AD37" s="35"/>
      <c r="AE37" s="35"/>
      <c r="AF37" s="35"/>
      <c r="AG37" s="35"/>
      <c r="AH37" s="35"/>
      <c r="AI37" s="151"/>
      <c r="AJ37" s="30"/>
      <c r="AK37" s="30"/>
    </row>
    <row r="38" spans="1:37" ht="12.75" customHeight="1" x14ac:dyDescent="0.2">
      <c r="A38" s="30"/>
      <c r="B38" s="34"/>
      <c r="C38" s="350"/>
      <c r="D38" s="35"/>
      <c r="E38" s="35"/>
      <c r="F38" s="35"/>
      <c r="G38" s="35"/>
      <c r="H38" s="35"/>
      <c r="I38" s="35"/>
      <c r="J38" s="35"/>
      <c r="K38" s="98"/>
      <c r="L38" s="35"/>
      <c r="M38" s="35"/>
      <c r="N38" s="460"/>
      <c r="O38" s="460"/>
      <c r="P38" s="35"/>
      <c r="Q38" s="35"/>
      <c r="R38" s="35"/>
      <c r="S38" s="35"/>
      <c r="T38" s="98"/>
      <c r="U38" s="35"/>
      <c r="V38" s="35"/>
      <c r="W38" s="35"/>
      <c r="X38" s="35"/>
      <c r="Y38" s="35"/>
      <c r="Z38" s="35"/>
      <c r="AA38" s="35"/>
      <c r="AB38" s="35"/>
      <c r="AC38" s="35"/>
      <c r="AD38" s="35"/>
      <c r="AE38" s="35"/>
      <c r="AF38" s="35"/>
      <c r="AG38" s="35"/>
      <c r="AH38" s="35"/>
      <c r="AI38" s="151"/>
      <c r="AJ38" s="30"/>
      <c r="AK38" s="30"/>
    </row>
    <row r="39" spans="1:37" ht="12.75" customHeight="1" x14ac:dyDescent="0.2">
      <c r="A39" s="30"/>
      <c r="B39" s="34"/>
      <c r="C39" s="350"/>
      <c r="D39" s="35"/>
      <c r="E39" s="35"/>
      <c r="F39" s="35"/>
      <c r="G39" s="35"/>
      <c r="H39" s="35"/>
      <c r="I39" s="35"/>
      <c r="J39" s="35"/>
      <c r="K39" s="98"/>
      <c r="L39" s="35"/>
      <c r="M39" s="35"/>
      <c r="N39" s="460"/>
      <c r="O39" s="460"/>
      <c r="P39" s="35"/>
      <c r="Q39" s="35"/>
      <c r="R39" s="35"/>
      <c r="S39" s="35"/>
      <c r="T39" s="98"/>
      <c r="U39" s="35"/>
      <c r="V39" s="35"/>
      <c r="W39" s="35"/>
      <c r="X39" s="35"/>
      <c r="Y39" s="35"/>
      <c r="Z39" s="35"/>
      <c r="AA39" s="35"/>
      <c r="AB39" s="35"/>
      <c r="AC39" s="35"/>
      <c r="AD39" s="35"/>
      <c r="AE39" s="35"/>
      <c r="AF39" s="35"/>
      <c r="AG39" s="35"/>
      <c r="AH39" s="35"/>
      <c r="AI39" s="151"/>
      <c r="AJ39" s="30"/>
      <c r="AK39" s="30"/>
    </row>
    <row r="40" spans="1:37" ht="12.75" customHeight="1" x14ac:dyDescent="0.2">
      <c r="A40" s="30"/>
      <c r="B40" s="34"/>
      <c r="C40" s="350"/>
      <c r="D40" s="35"/>
      <c r="E40" s="35"/>
      <c r="F40" s="35"/>
      <c r="G40" s="35"/>
      <c r="H40" s="35"/>
      <c r="I40" s="35"/>
      <c r="J40" s="35"/>
      <c r="K40" s="98"/>
      <c r="L40" s="35"/>
      <c r="M40" s="35"/>
      <c r="N40" s="460"/>
      <c r="O40" s="460"/>
      <c r="P40" s="35"/>
      <c r="Q40" s="35"/>
      <c r="R40" s="35"/>
      <c r="S40" s="35"/>
      <c r="T40" s="98"/>
      <c r="U40" s="35"/>
      <c r="V40" s="35"/>
      <c r="W40" s="35"/>
      <c r="X40" s="35"/>
      <c r="Y40" s="35"/>
      <c r="Z40" s="35"/>
      <c r="AA40" s="35"/>
      <c r="AB40" s="35"/>
      <c r="AC40" s="35"/>
      <c r="AD40" s="35"/>
      <c r="AE40" s="35"/>
      <c r="AF40" s="35"/>
      <c r="AG40" s="35"/>
      <c r="AH40" s="35"/>
      <c r="AI40" s="151"/>
      <c r="AJ40" s="30"/>
      <c r="AK40" s="30"/>
    </row>
    <row r="41" spans="1:37" ht="12.75" customHeight="1" x14ac:dyDescent="0.2">
      <c r="A41" s="30"/>
      <c r="B41" s="34"/>
      <c r="C41" s="350"/>
      <c r="D41" s="35"/>
      <c r="E41" s="35"/>
      <c r="F41" s="35"/>
      <c r="G41" s="35"/>
      <c r="H41" s="35"/>
      <c r="I41" s="35"/>
      <c r="J41" s="35"/>
      <c r="K41" s="98"/>
      <c r="L41" s="35"/>
      <c r="M41" s="35"/>
      <c r="N41" s="460"/>
      <c r="O41" s="460"/>
      <c r="P41" s="35"/>
      <c r="Q41" s="35"/>
      <c r="R41" s="35"/>
      <c r="S41" s="35"/>
      <c r="T41" s="98"/>
      <c r="U41" s="35"/>
      <c r="V41" s="35"/>
      <c r="W41" s="35"/>
      <c r="X41" s="35"/>
      <c r="Y41" s="35"/>
      <c r="Z41" s="35"/>
      <c r="AA41" s="35"/>
      <c r="AB41" s="35"/>
      <c r="AC41" s="35"/>
      <c r="AD41" s="35"/>
      <c r="AE41" s="35"/>
      <c r="AF41" s="35"/>
      <c r="AG41" s="35"/>
      <c r="AH41" s="35"/>
      <c r="AI41" s="151"/>
      <c r="AJ41" s="30"/>
      <c r="AK41" s="30"/>
    </row>
    <row r="42" spans="1:37" ht="12.75" customHeight="1" x14ac:dyDescent="0.2">
      <c r="A42" s="30"/>
      <c r="B42" s="34"/>
      <c r="C42" s="350"/>
      <c r="D42" s="35"/>
      <c r="E42" s="35"/>
      <c r="F42" s="35"/>
      <c r="G42" s="35"/>
      <c r="H42" s="35"/>
      <c r="I42" s="35"/>
      <c r="J42" s="35"/>
      <c r="K42" s="98"/>
      <c r="L42" s="35"/>
      <c r="M42" s="35"/>
      <c r="N42" s="460"/>
      <c r="O42" s="460"/>
      <c r="P42" s="35"/>
      <c r="Q42" s="35"/>
      <c r="R42" s="35"/>
      <c r="S42" s="35"/>
      <c r="T42" s="98"/>
      <c r="U42" s="35"/>
      <c r="V42" s="35"/>
      <c r="W42" s="35"/>
      <c r="X42" s="35"/>
      <c r="Y42" s="35"/>
      <c r="Z42" s="35"/>
      <c r="AA42" s="35"/>
      <c r="AB42" s="35"/>
      <c r="AC42" s="35"/>
      <c r="AD42" s="35"/>
      <c r="AE42" s="35"/>
      <c r="AF42" s="35"/>
      <c r="AG42" s="35"/>
      <c r="AH42" s="35"/>
      <c r="AI42" s="151"/>
      <c r="AJ42" s="30"/>
      <c r="AK42" s="30"/>
    </row>
    <row r="43" spans="1:37" ht="12.75" customHeight="1" x14ac:dyDescent="0.2">
      <c r="A43" s="30"/>
      <c r="B43" s="34"/>
      <c r="C43" s="350"/>
      <c r="D43" s="35"/>
      <c r="E43" s="35"/>
      <c r="F43" s="35"/>
      <c r="G43" s="35"/>
      <c r="H43" s="35"/>
      <c r="I43" s="35"/>
      <c r="J43" s="35"/>
      <c r="K43" s="98"/>
      <c r="L43" s="35"/>
      <c r="M43" s="35"/>
      <c r="N43" s="460"/>
      <c r="O43" s="460"/>
      <c r="P43" s="35"/>
      <c r="Q43" s="35"/>
      <c r="R43" s="35"/>
      <c r="S43" s="35"/>
      <c r="T43" s="98"/>
      <c r="U43" s="35"/>
      <c r="V43" s="35"/>
      <c r="W43" s="35"/>
      <c r="X43" s="35"/>
      <c r="Y43" s="35"/>
      <c r="Z43" s="35"/>
      <c r="AA43" s="35"/>
      <c r="AB43" s="35"/>
      <c r="AC43" s="35"/>
      <c r="AD43" s="35"/>
      <c r="AE43" s="35"/>
      <c r="AF43" s="35"/>
      <c r="AG43" s="35"/>
      <c r="AH43" s="35"/>
      <c r="AI43" s="151"/>
      <c r="AJ43" s="30"/>
      <c r="AK43" s="30"/>
    </row>
    <row r="44" spans="1:37" ht="12.75" customHeight="1" x14ac:dyDescent="0.2">
      <c r="A44" s="30"/>
      <c r="B44" s="34"/>
      <c r="C44" s="350"/>
      <c r="D44" s="35"/>
      <c r="E44" s="35"/>
      <c r="F44" s="35"/>
      <c r="G44" s="35"/>
      <c r="H44" s="35"/>
      <c r="I44" s="35"/>
      <c r="J44" s="35"/>
      <c r="K44" s="98"/>
      <c r="L44" s="35"/>
      <c r="M44" s="35"/>
      <c r="N44" s="460"/>
      <c r="O44" s="460"/>
      <c r="P44" s="35"/>
      <c r="Q44" s="35"/>
      <c r="R44" s="35"/>
      <c r="S44" s="35"/>
      <c r="T44" s="98"/>
      <c r="U44" s="35"/>
      <c r="V44" s="35"/>
      <c r="W44" s="35"/>
      <c r="X44" s="35"/>
      <c r="Y44" s="35"/>
      <c r="Z44" s="35"/>
      <c r="AA44" s="35"/>
      <c r="AB44" s="35"/>
      <c r="AC44" s="35"/>
      <c r="AD44" s="35"/>
      <c r="AE44" s="35"/>
      <c r="AF44" s="35"/>
      <c r="AG44" s="35"/>
      <c r="AH44" s="35"/>
      <c r="AI44" s="151"/>
      <c r="AJ44" s="30"/>
      <c r="AK44" s="30"/>
    </row>
    <row r="45" spans="1:37" ht="12.75" customHeight="1" x14ac:dyDescent="0.2">
      <c r="A45" s="30"/>
      <c r="B45" s="34"/>
      <c r="C45" s="350"/>
      <c r="D45" s="35"/>
      <c r="E45" s="35"/>
      <c r="F45" s="35"/>
      <c r="G45" s="35"/>
      <c r="H45" s="35"/>
      <c r="I45" s="35"/>
      <c r="J45" s="35"/>
      <c r="K45" s="98"/>
      <c r="L45" s="35"/>
      <c r="M45" s="35"/>
      <c r="N45" s="460"/>
      <c r="O45" s="460"/>
      <c r="P45" s="35"/>
      <c r="Q45" s="35"/>
      <c r="R45" s="35"/>
      <c r="S45" s="35"/>
      <c r="T45" s="98"/>
      <c r="U45" s="35"/>
      <c r="V45" s="35"/>
      <c r="W45" s="35"/>
      <c r="X45" s="35"/>
      <c r="Y45" s="35"/>
      <c r="Z45" s="35"/>
      <c r="AA45" s="35"/>
      <c r="AB45" s="35"/>
      <c r="AC45" s="35"/>
      <c r="AD45" s="35"/>
      <c r="AE45" s="35"/>
      <c r="AF45" s="35"/>
      <c r="AG45" s="35"/>
      <c r="AH45" s="35"/>
      <c r="AI45" s="151"/>
      <c r="AJ45" s="30"/>
      <c r="AK45" s="30"/>
    </row>
    <row r="46" spans="1:37" ht="12.75" customHeight="1" x14ac:dyDescent="0.2">
      <c r="A46" s="30"/>
      <c r="B46" s="34"/>
      <c r="C46" s="350"/>
      <c r="D46" s="35"/>
      <c r="E46" s="35"/>
      <c r="F46" s="35"/>
      <c r="G46" s="35"/>
      <c r="H46" s="35"/>
      <c r="I46" s="35"/>
      <c r="J46" s="35"/>
      <c r="K46" s="98"/>
      <c r="L46" s="35"/>
      <c r="M46" s="35"/>
      <c r="N46" s="460"/>
      <c r="O46" s="460"/>
      <c r="P46" s="35"/>
      <c r="Q46" s="35"/>
      <c r="R46" s="35"/>
      <c r="S46" s="35"/>
      <c r="T46" s="98"/>
      <c r="U46" s="35"/>
      <c r="V46" s="35"/>
      <c r="W46" s="35"/>
      <c r="X46" s="35"/>
      <c r="Y46" s="35"/>
      <c r="Z46" s="35"/>
      <c r="AA46" s="35"/>
      <c r="AB46" s="35"/>
      <c r="AC46" s="35"/>
      <c r="AD46" s="35"/>
      <c r="AE46" s="35"/>
      <c r="AF46" s="35"/>
      <c r="AG46" s="35"/>
      <c r="AH46" s="35"/>
      <c r="AI46" s="151"/>
      <c r="AJ46" s="30"/>
      <c r="AK46" s="30"/>
    </row>
    <row r="47" spans="1:37" ht="12.75" customHeight="1" x14ac:dyDescent="0.2">
      <c r="A47" s="30"/>
      <c r="B47" s="34"/>
      <c r="C47" s="350"/>
      <c r="D47" s="35"/>
      <c r="E47" s="35"/>
      <c r="F47" s="35"/>
      <c r="G47" s="35"/>
      <c r="H47" s="35"/>
      <c r="I47" s="35"/>
      <c r="J47" s="35"/>
      <c r="K47" s="98"/>
      <c r="L47" s="35"/>
      <c r="M47" s="35"/>
      <c r="N47" s="460"/>
      <c r="O47" s="460"/>
      <c r="P47" s="35"/>
      <c r="Q47" s="35"/>
      <c r="R47" s="35"/>
      <c r="S47" s="35"/>
      <c r="T47" s="98"/>
      <c r="U47" s="35"/>
      <c r="V47" s="35"/>
      <c r="W47" s="35"/>
      <c r="X47" s="35"/>
      <c r="Y47" s="35"/>
      <c r="Z47" s="35"/>
      <c r="AA47" s="35"/>
      <c r="AB47" s="35"/>
      <c r="AC47" s="35"/>
      <c r="AD47" s="35"/>
      <c r="AE47" s="35"/>
      <c r="AF47" s="35"/>
      <c r="AG47" s="35"/>
      <c r="AH47" s="35"/>
      <c r="AI47" s="151"/>
      <c r="AJ47" s="30"/>
      <c r="AK47" s="30"/>
    </row>
    <row r="48" spans="1:37" ht="12.75" customHeight="1" x14ac:dyDescent="0.2">
      <c r="A48" s="30"/>
      <c r="B48" s="34"/>
      <c r="C48" s="350"/>
      <c r="D48" s="35"/>
      <c r="E48" s="35"/>
      <c r="F48" s="35"/>
      <c r="G48" s="35"/>
      <c r="H48" s="35"/>
      <c r="I48" s="35"/>
      <c r="J48" s="35"/>
      <c r="K48" s="98"/>
      <c r="L48" s="35"/>
      <c r="M48" s="35"/>
      <c r="N48" s="460"/>
      <c r="O48" s="460"/>
      <c r="P48" s="35"/>
      <c r="Q48" s="35"/>
      <c r="R48" s="35"/>
      <c r="S48" s="35"/>
      <c r="T48" s="98"/>
      <c r="U48" s="35"/>
      <c r="V48" s="35"/>
      <c r="W48" s="35"/>
      <c r="X48" s="35"/>
      <c r="Y48" s="35"/>
      <c r="Z48" s="35"/>
      <c r="AA48" s="35"/>
      <c r="AB48" s="35"/>
      <c r="AC48" s="35"/>
      <c r="AD48" s="35"/>
      <c r="AE48" s="35"/>
      <c r="AF48" s="35"/>
      <c r="AG48" s="35"/>
      <c r="AH48" s="35"/>
      <c r="AI48" s="151"/>
      <c r="AJ48" s="30"/>
      <c r="AK48" s="30"/>
    </row>
    <row r="49" spans="1:37" ht="12.75" customHeight="1" x14ac:dyDescent="0.2">
      <c r="A49" s="30"/>
      <c r="B49" s="34"/>
      <c r="C49" s="350"/>
      <c r="D49" s="35"/>
      <c r="E49" s="35"/>
      <c r="F49" s="35"/>
      <c r="G49" s="35"/>
      <c r="H49" s="35"/>
      <c r="I49" s="35"/>
      <c r="J49" s="35"/>
      <c r="K49" s="98"/>
      <c r="L49" s="35"/>
      <c r="M49" s="35"/>
      <c r="N49" s="460"/>
      <c r="O49" s="460"/>
      <c r="P49" s="35"/>
      <c r="Q49" s="35"/>
      <c r="R49" s="35"/>
      <c r="S49" s="35"/>
      <c r="T49" s="98"/>
      <c r="U49" s="35"/>
      <c r="V49" s="35"/>
      <c r="W49" s="35"/>
      <c r="X49" s="35"/>
      <c r="Y49" s="35"/>
      <c r="Z49" s="35"/>
      <c r="AA49" s="35"/>
      <c r="AB49" s="35"/>
      <c r="AC49" s="35"/>
      <c r="AD49" s="35"/>
      <c r="AE49" s="35"/>
      <c r="AF49" s="35"/>
      <c r="AG49" s="35"/>
      <c r="AH49" s="35"/>
      <c r="AI49" s="151"/>
      <c r="AJ49" s="30"/>
      <c r="AK49" s="30"/>
    </row>
    <row r="50" spans="1:37" ht="12.75" customHeight="1" x14ac:dyDescent="0.2">
      <c r="A50" s="30"/>
      <c r="B50" s="34"/>
      <c r="C50" s="350"/>
      <c r="D50" s="35"/>
      <c r="E50" s="35"/>
      <c r="F50" s="35"/>
      <c r="G50" s="35"/>
      <c r="H50" s="35"/>
      <c r="I50" s="35"/>
      <c r="J50" s="35"/>
      <c r="K50" s="98"/>
      <c r="L50" s="35"/>
      <c r="M50" s="35"/>
      <c r="N50" s="460"/>
      <c r="O50" s="460"/>
      <c r="P50" s="35"/>
      <c r="Q50" s="35"/>
      <c r="R50" s="35"/>
      <c r="S50" s="35"/>
      <c r="T50" s="98"/>
      <c r="U50" s="35"/>
      <c r="V50" s="35"/>
      <c r="W50" s="35"/>
      <c r="X50" s="35"/>
      <c r="Y50" s="35"/>
      <c r="Z50" s="35"/>
      <c r="AA50" s="35"/>
      <c r="AB50" s="35"/>
      <c r="AC50" s="35"/>
      <c r="AD50" s="35"/>
      <c r="AE50" s="35"/>
      <c r="AF50" s="35"/>
      <c r="AG50" s="35"/>
      <c r="AH50" s="35"/>
      <c r="AI50" s="151"/>
      <c r="AJ50" s="30"/>
      <c r="AK50" s="30"/>
    </row>
    <row r="51" spans="1:37" ht="12.75" customHeight="1" x14ac:dyDescent="0.2">
      <c r="A51" s="30"/>
      <c r="B51" s="34"/>
      <c r="C51" s="350"/>
      <c r="D51" s="35"/>
      <c r="E51" s="35"/>
      <c r="F51" s="35"/>
      <c r="G51" s="35"/>
      <c r="H51" s="35"/>
      <c r="I51" s="35"/>
      <c r="J51" s="35"/>
      <c r="K51" s="98"/>
      <c r="L51" s="35"/>
      <c r="M51" s="35"/>
      <c r="N51" s="460"/>
      <c r="O51" s="460"/>
      <c r="P51" s="35"/>
      <c r="Q51" s="35"/>
      <c r="R51" s="35"/>
      <c r="S51" s="35"/>
      <c r="T51" s="98"/>
      <c r="U51" s="35"/>
      <c r="V51" s="35"/>
      <c r="W51" s="35"/>
      <c r="X51" s="35"/>
      <c r="Y51" s="35"/>
      <c r="Z51" s="35"/>
      <c r="AA51" s="35"/>
      <c r="AB51" s="35"/>
      <c r="AC51" s="35"/>
      <c r="AD51" s="35"/>
      <c r="AE51" s="35"/>
      <c r="AF51" s="35"/>
      <c r="AG51" s="35"/>
      <c r="AH51" s="35"/>
      <c r="AI51" s="151"/>
      <c r="AJ51" s="30"/>
      <c r="AK51" s="30"/>
    </row>
    <row r="52" spans="1:37" ht="12.75" customHeight="1" x14ac:dyDescent="0.2">
      <c r="A52" s="30"/>
      <c r="B52" s="34"/>
      <c r="C52" s="348"/>
      <c r="D52" s="160"/>
      <c r="E52" s="160"/>
      <c r="F52" s="160"/>
      <c r="G52" s="160"/>
      <c r="H52" s="160"/>
      <c r="I52" s="160"/>
      <c r="J52" s="160"/>
      <c r="K52" s="1013"/>
      <c r="L52" s="160"/>
      <c r="M52" s="160"/>
      <c r="N52" s="463"/>
      <c r="O52" s="463"/>
      <c r="P52" s="160"/>
      <c r="Q52" s="160"/>
      <c r="R52" s="160"/>
      <c r="S52" s="160"/>
      <c r="T52" s="1013"/>
      <c r="U52" s="160"/>
      <c r="V52" s="160"/>
      <c r="W52" s="160"/>
      <c r="X52" s="160"/>
      <c r="Y52" s="160"/>
      <c r="Z52" s="160"/>
      <c r="AA52" s="160"/>
      <c r="AB52" s="160"/>
      <c r="AC52" s="160"/>
      <c r="AD52" s="160"/>
      <c r="AE52" s="160"/>
      <c r="AF52" s="160"/>
      <c r="AG52" s="160"/>
      <c r="AH52" s="160"/>
      <c r="AI52" s="151"/>
      <c r="AJ52" s="30"/>
      <c r="AK52" s="30"/>
    </row>
    <row r="53" spans="1:37" ht="12.75" customHeight="1" x14ac:dyDescent="0.2">
      <c r="A53" s="30"/>
      <c r="B53" s="34"/>
      <c r="C53" s="350"/>
      <c r="D53" s="35"/>
      <c r="E53" s="35"/>
      <c r="F53" s="35"/>
      <c r="G53" s="35"/>
      <c r="H53" s="35"/>
      <c r="I53" s="35"/>
      <c r="J53" s="35"/>
      <c r="K53" s="98"/>
      <c r="L53" s="35"/>
      <c r="M53" s="35"/>
      <c r="N53" s="460"/>
      <c r="O53" s="460"/>
      <c r="P53" s="35"/>
      <c r="Q53" s="35"/>
      <c r="R53" s="35"/>
      <c r="S53" s="35"/>
      <c r="T53" s="98"/>
      <c r="U53" s="35"/>
      <c r="V53" s="35"/>
      <c r="W53" s="35"/>
      <c r="X53" s="35"/>
      <c r="Y53" s="35"/>
      <c r="Z53" s="35"/>
      <c r="AA53" s="35"/>
      <c r="AB53" s="35"/>
      <c r="AC53" s="35"/>
      <c r="AD53" s="35"/>
      <c r="AE53" s="35"/>
      <c r="AF53" s="35"/>
      <c r="AG53" s="35"/>
      <c r="AH53" s="35"/>
      <c r="AI53" s="151"/>
      <c r="AJ53" s="30"/>
      <c r="AK53" s="30"/>
    </row>
    <row r="54" spans="1:37" ht="12.75" customHeight="1" thickBot="1" x14ac:dyDescent="0.25">
      <c r="A54" s="30"/>
      <c r="B54" s="132"/>
      <c r="C54" s="464"/>
      <c r="D54" s="146"/>
      <c r="E54" s="146"/>
      <c r="F54" s="146"/>
      <c r="G54" s="146"/>
      <c r="H54" s="146"/>
      <c r="I54" s="146"/>
      <c r="J54" s="146"/>
      <c r="K54" s="1014"/>
      <c r="L54" s="146"/>
      <c r="M54" s="146"/>
      <c r="N54" s="465"/>
      <c r="O54" s="465"/>
      <c r="P54" s="146"/>
      <c r="Q54" s="146"/>
      <c r="R54" s="146"/>
      <c r="S54" s="146"/>
      <c r="T54" s="1014"/>
      <c r="U54" s="146"/>
      <c r="V54" s="146"/>
      <c r="W54" s="146"/>
      <c r="X54" s="146"/>
      <c r="Y54" s="146"/>
      <c r="Z54" s="146"/>
      <c r="AA54" s="146"/>
      <c r="AB54" s="146"/>
      <c r="AC54" s="146"/>
      <c r="AD54" s="146"/>
      <c r="AE54" s="146"/>
      <c r="AF54" s="146"/>
      <c r="AG54" s="146"/>
      <c r="AH54" s="146"/>
      <c r="AI54" s="195"/>
      <c r="AJ54" s="30"/>
      <c r="AK54" s="30"/>
    </row>
    <row r="55" spans="1:37" ht="12.75" customHeight="1" thickBot="1" x14ac:dyDescent="0.25">
      <c r="A55" s="30"/>
      <c r="B55" s="466"/>
      <c r="C55" s="467"/>
      <c r="D55" s="468"/>
      <c r="E55" s="468"/>
      <c r="F55" s="468"/>
      <c r="G55" s="468"/>
      <c r="H55" s="468"/>
      <c r="I55" s="468"/>
      <c r="J55" s="468"/>
      <c r="K55" s="469"/>
      <c r="L55" s="468"/>
      <c r="M55" s="468"/>
      <c r="N55" s="470"/>
      <c r="O55" s="470"/>
      <c r="P55" s="468"/>
      <c r="Q55" s="468"/>
      <c r="R55" s="468"/>
      <c r="S55" s="471" t="s">
        <v>34</v>
      </c>
      <c r="T55" s="703">
        <f>SUM(T6:T54)</f>
        <v>0</v>
      </c>
      <c r="U55" s="472">
        <f t="shared" ref="U55:AA55" si="0">SUM(U6:U54)</f>
        <v>0</v>
      </c>
      <c r="V55" s="472">
        <f t="shared" si="0"/>
        <v>0</v>
      </c>
      <c r="W55" s="472">
        <f t="shared" si="0"/>
        <v>0</v>
      </c>
      <c r="X55" s="472">
        <f t="shared" si="0"/>
        <v>0</v>
      </c>
      <c r="Y55" s="472">
        <f t="shared" si="0"/>
        <v>0</v>
      </c>
      <c r="Z55" s="472">
        <f t="shared" si="0"/>
        <v>0</v>
      </c>
      <c r="AA55" s="472">
        <f t="shared" si="0"/>
        <v>0</v>
      </c>
      <c r="AB55" s="473"/>
      <c r="AC55" s="468"/>
      <c r="AD55" s="468"/>
      <c r="AE55" s="468"/>
      <c r="AF55" s="468"/>
      <c r="AG55" s="468"/>
      <c r="AH55" s="468"/>
      <c r="AI55" s="474"/>
      <c r="AJ55" s="30"/>
      <c r="AK55" s="30"/>
    </row>
    <row r="56" spans="1:37" ht="12.75" customHeight="1" x14ac:dyDescent="0.2">
      <c r="A56" s="30"/>
      <c r="B56" s="36" t="s">
        <v>154</v>
      </c>
      <c r="C56" s="475"/>
      <c r="D56" s="31"/>
      <c r="E56" s="31"/>
      <c r="F56" s="31"/>
      <c r="G56" s="31"/>
      <c r="H56" s="31"/>
      <c r="I56" s="36" t="s">
        <v>155</v>
      </c>
      <c r="J56" s="30"/>
      <c r="K56" s="476" t="s">
        <v>156</v>
      </c>
      <c r="L56" s="31"/>
      <c r="M56" s="31"/>
      <c r="N56" s="189"/>
      <c r="O56" s="189"/>
      <c r="P56" s="36" t="str">
        <f>CONCATENATE("* Use ",Patching!L50," #/sys")</f>
        <v>* Use 0 #/sys</v>
      </c>
      <c r="Q56" s="477"/>
      <c r="R56" s="478"/>
      <c r="S56" s="478"/>
      <c r="T56" s="31"/>
      <c r="U56" s="31"/>
      <c r="V56" s="31"/>
      <c r="W56" s="31"/>
      <c r="X56" s="31"/>
      <c r="Y56" s="31"/>
      <c r="Z56" s="31"/>
      <c r="AA56" s="31"/>
      <c r="AB56" s="31"/>
      <c r="AC56" s="31"/>
      <c r="AD56" s="31"/>
      <c r="AE56" s="31"/>
      <c r="AF56" s="31"/>
      <c r="AG56" s="31"/>
      <c r="AH56" s="31"/>
      <c r="AI56" s="31"/>
      <c r="AJ56" s="30"/>
      <c r="AK56" s="30"/>
    </row>
    <row r="57" spans="1:37" ht="7.5" customHeight="1" x14ac:dyDescent="0.2">
      <c r="A57" s="30"/>
      <c r="B57" s="31"/>
      <c r="C57" s="31"/>
      <c r="D57" s="31"/>
      <c r="E57" s="31"/>
      <c r="F57" s="31"/>
      <c r="G57" s="31"/>
      <c r="H57" s="31"/>
      <c r="I57" s="31"/>
      <c r="J57" s="31"/>
      <c r="K57" s="257"/>
      <c r="L57" s="31"/>
      <c r="M57" s="31"/>
      <c r="N57" s="31"/>
      <c r="O57" s="31"/>
      <c r="P57" s="31"/>
      <c r="Q57" s="31"/>
      <c r="R57" s="31"/>
      <c r="S57" s="31"/>
      <c r="T57" s="31"/>
      <c r="U57" s="31"/>
      <c r="V57" s="31"/>
      <c r="W57" s="31"/>
      <c r="X57" s="31"/>
      <c r="Y57" s="31"/>
      <c r="Z57" s="31"/>
      <c r="AA57" s="31"/>
      <c r="AB57" s="31"/>
      <c r="AC57" s="31"/>
      <c r="AD57" s="31"/>
      <c r="AE57" s="31"/>
      <c r="AF57" s="31"/>
      <c r="AG57" s="31"/>
      <c r="AH57" s="31"/>
      <c r="AI57" s="31"/>
      <c r="AJ57" s="30"/>
      <c r="AK57" s="30"/>
    </row>
    <row r="58" spans="1:37" ht="18" customHeight="1" x14ac:dyDescent="0.2">
      <c r="B58" s="13"/>
      <c r="C58" s="13"/>
      <c r="D58" s="13"/>
      <c r="E58" s="13"/>
      <c r="F58" s="13"/>
      <c r="G58" s="13"/>
      <c r="H58" s="13"/>
      <c r="I58" s="13"/>
      <c r="J58" s="13"/>
      <c r="K58" s="14"/>
      <c r="L58" s="13"/>
      <c r="M58" s="13"/>
      <c r="N58" s="13"/>
      <c r="O58" s="13"/>
      <c r="P58" s="13"/>
      <c r="Q58" s="13"/>
      <c r="R58" s="13"/>
      <c r="S58" s="13"/>
      <c r="T58" s="13"/>
      <c r="U58" s="13"/>
      <c r="V58" s="13"/>
      <c r="W58" s="13"/>
      <c r="X58" s="13"/>
      <c r="Y58" s="13"/>
      <c r="Z58" s="13"/>
      <c r="AA58" s="13"/>
      <c r="AB58" s="13"/>
      <c r="AC58" s="13"/>
      <c r="AD58" s="13"/>
      <c r="AE58" s="13"/>
      <c r="AF58" s="13"/>
      <c r="AG58" s="13"/>
      <c r="AH58" s="13"/>
      <c r="AI58" s="13"/>
    </row>
    <row r="59" spans="1:37" ht="18" customHeight="1" x14ac:dyDescent="0.2">
      <c r="B59" s="13"/>
      <c r="C59" s="13"/>
      <c r="D59" s="13"/>
      <c r="E59" s="13"/>
      <c r="F59" s="13"/>
      <c r="G59" s="13"/>
      <c r="H59" s="13"/>
      <c r="I59" s="13"/>
      <c r="J59" s="13"/>
      <c r="K59" s="14"/>
      <c r="L59" s="13"/>
      <c r="M59" s="13"/>
      <c r="N59" s="13"/>
      <c r="O59" s="13"/>
      <c r="P59" s="13"/>
      <c r="Q59" s="13"/>
      <c r="R59" s="13"/>
      <c r="S59" s="13"/>
      <c r="T59" s="13"/>
      <c r="U59" s="13"/>
      <c r="V59" s="13"/>
      <c r="W59" s="13"/>
      <c r="X59" s="13"/>
      <c r="Y59" s="13"/>
      <c r="Z59" s="13"/>
      <c r="AA59" s="13"/>
      <c r="AB59" s="13"/>
      <c r="AC59" s="13"/>
      <c r="AD59" s="13"/>
      <c r="AE59" s="13"/>
      <c r="AF59" s="13"/>
      <c r="AG59" s="13"/>
      <c r="AH59" s="13"/>
      <c r="AI59" s="13"/>
    </row>
    <row r="60" spans="1:37" ht="18" customHeight="1" x14ac:dyDescent="0.2">
      <c r="B60" s="13"/>
      <c r="C60" s="13"/>
      <c r="D60" s="13"/>
      <c r="E60" s="13"/>
      <c r="F60" s="13"/>
      <c r="G60" s="13"/>
      <c r="H60" s="13"/>
      <c r="I60" s="13"/>
      <c r="J60" s="13"/>
      <c r="K60" s="14"/>
      <c r="L60" s="13"/>
      <c r="M60" s="13"/>
      <c r="N60" s="13"/>
      <c r="O60" s="13"/>
      <c r="P60" s="13"/>
      <c r="Q60" s="13"/>
      <c r="R60" s="13"/>
      <c r="S60" s="13"/>
      <c r="T60" s="13"/>
      <c r="U60" s="13"/>
      <c r="V60" s="13"/>
      <c r="W60" s="13"/>
      <c r="X60" s="13"/>
      <c r="Y60" s="13"/>
      <c r="Z60" s="13"/>
      <c r="AA60" s="13"/>
      <c r="AB60" s="13"/>
      <c r="AC60" s="13"/>
      <c r="AD60" s="13"/>
      <c r="AE60" s="13"/>
      <c r="AF60" s="13"/>
      <c r="AG60" s="13"/>
      <c r="AH60" s="13"/>
      <c r="AI60" s="13"/>
    </row>
    <row r="61" spans="1:37" ht="18" customHeight="1" x14ac:dyDescent="0.2">
      <c r="B61" s="13"/>
      <c r="C61" s="13"/>
      <c r="D61" s="13"/>
      <c r="E61" s="13"/>
      <c r="F61" s="13"/>
      <c r="G61" s="13"/>
      <c r="H61" s="13"/>
      <c r="I61" s="13"/>
      <c r="J61" s="13"/>
      <c r="K61" s="14"/>
      <c r="L61" s="13"/>
      <c r="M61" s="13"/>
      <c r="N61" s="13"/>
      <c r="O61" s="13"/>
      <c r="P61" s="13"/>
      <c r="Q61" s="13"/>
      <c r="R61" s="13"/>
      <c r="S61" s="13"/>
      <c r="T61" s="13"/>
      <c r="U61" s="13"/>
      <c r="V61" s="13"/>
      <c r="W61" s="13"/>
      <c r="X61" s="13"/>
      <c r="Y61" s="13"/>
      <c r="Z61" s="13"/>
      <c r="AA61" s="13"/>
      <c r="AB61" s="13"/>
      <c r="AC61" s="13"/>
      <c r="AD61" s="13"/>
      <c r="AE61" s="13"/>
      <c r="AF61" s="13"/>
      <c r="AG61" s="13"/>
      <c r="AH61" s="13"/>
      <c r="AI61" s="15"/>
    </row>
    <row r="62" spans="1:37" ht="18" customHeight="1" x14ac:dyDescent="0.2">
      <c r="B62" s="13"/>
      <c r="C62" s="13"/>
      <c r="D62" s="13"/>
      <c r="E62" s="13"/>
      <c r="F62" s="13"/>
      <c r="G62" s="13"/>
      <c r="H62" s="13"/>
      <c r="I62" s="13"/>
      <c r="J62" s="13"/>
      <c r="K62" s="14"/>
      <c r="L62" s="13"/>
      <c r="M62" s="13"/>
      <c r="N62" s="13"/>
      <c r="O62" s="13"/>
      <c r="P62" s="13"/>
      <c r="Q62" s="13"/>
      <c r="R62" s="13"/>
      <c r="S62" s="13"/>
      <c r="T62" s="13"/>
      <c r="U62" s="13"/>
      <c r="V62" s="13"/>
      <c r="W62" s="13"/>
      <c r="X62" s="13"/>
      <c r="Y62" s="13"/>
      <c r="Z62" s="13"/>
      <c r="AA62" s="13"/>
      <c r="AB62" s="13"/>
      <c r="AC62" s="13"/>
      <c r="AD62" s="13"/>
      <c r="AE62" s="13"/>
      <c r="AF62" s="13"/>
      <c r="AG62" s="13"/>
      <c r="AH62" s="13"/>
      <c r="AI62" s="13"/>
    </row>
    <row r="63" spans="1:37" ht="18" customHeight="1" x14ac:dyDescent="0.2">
      <c r="B63" s="13"/>
      <c r="C63" s="13"/>
      <c r="D63" s="13"/>
      <c r="E63" s="13"/>
      <c r="F63" s="13"/>
      <c r="G63" s="13"/>
      <c r="H63" s="13"/>
      <c r="I63" s="13"/>
      <c r="J63" s="13"/>
      <c r="K63" s="14"/>
      <c r="L63" s="13"/>
      <c r="M63" s="13"/>
      <c r="N63" s="13"/>
      <c r="O63" s="13"/>
      <c r="P63" s="13"/>
      <c r="Q63" s="13"/>
      <c r="R63" s="13"/>
      <c r="S63" s="13"/>
      <c r="T63" s="13"/>
      <c r="U63" s="13"/>
      <c r="V63" s="13"/>
      <c r="W63" s="13"/>
      <c r="X63" s="13"/>
      <c r="Y63" s="13"/>
      <c r="Z63" s="13"/>
      <c r="AA63" s="13"/>
      <c r="AB63" s="13"/>
      <c r="AC63" s="13"/>
      <c r="AD63" s="13"/>
      <c r="AE63" s="13"/>
      <c r="AF63" s="13"/>
      <c r="AG63" s="13"/>
      <c r="AH63" s="13"/>
      <c r="AI63" s="13"/>
    </row>
    <row r="64" spans="1:37" ht="18" customHeight="1" x14ac:dyDescent="0.2">
      <c r="B64" s="13"/>
      <c r="C64" s="13"/>
      <c r="D64" s="13"/>
      <c r="E64" s="13"/>
      <c r="F64" s="13"/>
      <c r="G64" s="13"/>
      <c r="H64" s="13"/>
      <c r="I64" s="13"/>
      <c r="J64" s="13"/>
      <c r="K64" s="14"/>
      <c r="L64" s="13"/>
      <c r="M64" s="13"/>
      <c r="N64" s="13"/>
      <c r="O64" s="13"/>
      <c r="P64" s="13"/>
      <c r="Q64" s="13"/>
      <c r="R64" s="13"/>
      <c r="S64" s="13"/>
      <c r="T64" s="13"/>
      <c r="U64" s="13"/>
      <c r="V64" s="13"/>
      <c r="W64" s="13"/>
      <c r="X64" s="13"/>
      <c r="Y64" s="13"/>
      <c r="Z64" s="13"/>
      <c r="AA64" s="13"/>
      <c r="AB64" s="13"/>
      <c r="AC64" s="13"/>
      <c r="AD64" s="13"/>
      <c r="AE64" s="13"/>
      <c r="AF64" s="13"/>
      <c r="AG64" s="13"/>
      <c r="AH64" s="13"/>
      <c r="AI64" s="13"/>
    </row>
    <row r="65" spans="2:35" ht="18" customHeight="1" x14ac:dyDescent="0.2">
      <c r="B65" s="13"/>
      <c r="C65" s="13"/>
      <c r="D65" s="13"/>
      <c r="E65" s="13"/>
      <c r="F65" s="13"/>
      <c r="G65" s="13"/>
      <c r="H65" s="13"/>
      <c r="I65" s="13"/>
      <c r="J65" s="13"/>
      <c r="K65" s="14"/>
      <c r="L65" s="13"/>
      <c r="M65" s="13"/>
      <c r="N65" s="13"/>
      <c r="O65" s="13"/>
      <c r="P65" s="13"/>
      <c r="Q65" s="13"/>
      <c r="R65" s="13"/>
      <c r="S65" s="13"/>
      <c r="T65" s="13"/>
      <c r="U65" s="13"/>
      <c r="V65" s="13"/>
      <c r="W65" s="13"/>
      <c r="X65" s="13"/>
      <c r="Y65" s="13"/>
      <c r="Z65" s="13"/>
      <c r="AA65" s="13"/>
      <c r="AB65" s="13"/>
      <c r="AC65" s="13"/>
      <c r="AD65" s="13"/>
      <c r="AE65" s="13"/>
      <c r="AF65" s="13"/>
      <c r="AG65" s="13"/>
      <c r="AH65" s="13"/>
      <c r="AI65" s="13"/>
    </row>
    <row r="66" spans="2:35" ht="18" customHeight="1" x14ac:dyDescent="0.2">
      <c r="B66" s="13"/>
      <c r="C66" s="13"/>
      <c r="D66" s="13"/>
      <c r="E66" s="13"/>
      <c r="F66" s="13"/>
      <c r="G66" s="13"/>
      <c r="H66" s="13"/>
      <c r="I66" s="13"/>
      <c r="J66" s="13"/>
      <c r="K66" s="14"/>
      <c r="L66" s="13"/>
      <c r="M66" s="13"/>
      <c r="N66" s="13"/>
      <c r="O66" s="13"/>
      <c r="P66" s="13"/>
      <c r="Q66" s="13"/>
      <c r="R66" s="13"/>
      <c r="S66" s="13"/>
      <c r="T66" s="13"/>
      <c r="U66" s="13"/>
      <c r="V66" s="13"/>
      <c r="W66" s="13"/>
      <c r="X66" s="13"/>
      <c r="Y66" s="13"/>
      <c r="Z66" s="13"/>
      <c r="AA66" s="13"/>
      <c r="AB66" s="13"/>
      <c r="AC66" s="13"/>
      <c r="AD66" s="13"/>
      <c r="AE66" s="13"/>
      <c r="AF66" s="13"/>
      <c r="AG66" s="13"/>
      <c r="AH66" s="13"/>
      <c r="AI66" s="13"/>
    </row>
    <row r="67" spans="2:35" ht="18" customHeight="1" x14ac:dyDescent="0.2">
      <c r="B67" s="13"/>
      <c r="C67" s="13"/>
      <c r="D67" s="13"/>
      <c r="E67" s="13"/>
      <c r="F67" s="13"/>
      <c r="G67" s="13"/>
      <c r="H67" s="13"/>
      <c r="I67" s="13"/>
      <c r="J67" s="13"/>
      <c r="K67" s="14"/>
      <c r="L67" s="13"/>
      <c r="M67" s="13"/>
      <c r="N67" s="13"/>
      <c r="O67" s="13"/>
      <c r="P67" s="13"/>
      <c r="Q67" s="13"/>
      <c r="R67" s="13"/>
      <c r="S67" s="13"/>
      <c r="T67" s="13"/>
      <c r="U67" s="13"/>
      <c r="V67" s="13"/>
      <c r="W67" s="13"/>
      <c r="X67" s="13"/>
      <c r="Y67" s="13"/>
      <c r="Z67" s="13"/>
      <c r="AA67" s="13"/>
      <c r="AB67" s="13"/>
      <c r="AC67" s="13"/>
      <c r="AD67" s="13"/>
      <c r="AE67" s="13"/>
      <c r="AF67" s="13"/>
      <c r="AG67" s="13"/>
      <c r="AH67" s="13"/>
      <c r="AI67" s="13"/>
    </row>
    <row r="68" spans="2:35" ht="18" customHeight="1" x14ac:dyDescent="0.2"/>
    <row r="69" spans="2:35" ht="18" customHeight="1" x14ac:dyDescent="0.2"/>
    <row r="70" spans="2:35" ht="15" customHeight="1" x14ac:dyDescent="0.2"/>
    <row r="71" spans="2:35" ht="15" customHeight="1" x14ac:dyDescent="0.2"/>
    <row r="72" spans="2:35" ht="15" customHeight="1" x14ac:dyDescent="0.2"/>
    <row r="73" spans="2:35" ht="15" customHeight="1" x14ac:dyDescent="0.2"/>
    <row r="74" spans="2:35" ht="15" customHeight="1" x14ac:dyDescent="0.2"/>
    <row r="75" spans="2:35" ht="15" customHeight="1" x14ac:dyDescent="0.2"/>
  </sheetData>
  <mergeCells count="31">
    <mergeCell ref="D4:D5"/>
    <mergeCell ref="F4:F5"/>
    <mergeCell ref="L3:L5"/>
    <mergeCell ref="A1:AJ1"/>
    <mergeCell ref="J4:J5"/>
    <mergeCell ref="E4:E5"/>
    <mergeCell ref="B2:AI2"/>
    <mergeCell ref="I4:I5"/>
    <mergeCell ref="C4:C5"/>
    <mergeCell ref="H3:H4"/>
    <mergeCell ref="S3:S5"/>
    <mergeCell ref="R3:R5"/>
    <mergeCell ref="I3:J3"/>
    <mergeCell ref="AI3:AI5"/>
    <mergeCell ref="M3:O3"/>
    <mergeCell ref="AH3:AH5"/>
    <mergeCell ref="AB3:AD4"/>
    <mergeCell ref="AA3:AA4"/>
    <mergeCell ref="B3:B5"/>
    <mergeCell ref="AE3:AG4"/>
    <mergeCell ref="P3:P4"/>
    <mergeCell ref="Y3:Y4"/>
    <mergeCell ref="Z3:Z4"/>
    <mergeCell ref="T3:T4"/>
    <mergeCell ref="K3:K4"/>
    <mergeCell ref="X3:X4"/>
    <mergeCell ref="V3:V4"/>
    <mergeCell ref="U3:U4"/>
    <mergeCell ref="W3:W4"/>
    <mergeCell ref="Q3:Q5"/>
    <mergeCell ref="C3:G3"/>
  </mergeCells>
  <phoneticPr fontId="1" type="noConversion"/>
  <printOptions horizontalCentered="1"/>
  <pageMargins left="0.38200000000000001" right="0.38200000000000001" top="0.35" bottom="0.35" header="0" footer="0"/>
  <pageSetup scale="66" orientation="landscape" horizontalDpi="400" verticalDpi="400" r:id="rId1"/>
  <headerFooter alignWithMargins="0"/>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A1:CL173"/>
  <sheetViews>
    <sheetView showGridLines="0" zoomScale="75" zoomScaleNormal="75" zoomScaleSheetLayoutView="75" workbookViewId="0">
      <selection activeCell="N1" sqref="N1"/>
    </sheetView>
  </sheetViews>
  <sheetFormatPr defaultRowHeight="12.75" x14ac:dyDescent="0.2"/>
  <cols>
    <col min="1" max="1" width="1.7109375" style="16" customWidth="1"/>
    <col min="2" max="2" width="2.7109375" style="868" customWidth="1"/>
    <col min="3" max="3" width="15.140625" style="16" bestFit="1" customWidth="1"/>
    <col min="4" max="4" width="12.5703125" style="16" customWidth="1"/>
    <col min="5" max="5" width="11" style="16" bestFit="1" customWidth="1"/>
    <col min="6" max="9" width="10.28515625" style="16" bestFit="1" customWidth="1"/>
    <col min="10" max="10" width="10.28515625" style="16" customWidth="1"/>
    <col min="11" max="11" width="10.28515625" style="16" bestFit="1" customWidth="1"/>
    <col min="12" max="12" width="1.5703125" style="16" customWidth="1"/>
    <col min="13" max="13" width="6.7109375" style="16" customWidth="1"/>
    <col min="14" max="14" width="16.7109375" style="16" bestFit="1" customWidth="1"/>
    <col min="15" max="15" width="5.28515625" style="16" customWidth="1"/>
    <col min="16" max="16" width="9.140625" style="16"/>
    <col min="17" max="17" width="2.5703125" style="16" customWidth="1"/>
    <col min="18" max="19" width="2.7109375" style="16" customWidth="1"/>
    <col min="20" max="20" width="5" style="16" customWidth="1"/>
    <col min="21" max="21" width="5.85546875" style="16" customWidth="1"/>
    <col min="22" max="22" width="2.7109375" style="16" customWidth="1"/>
    <col min="23" max="23" width="15.140625" style="16" customWidth="1"/>
    <col min="24" max="24" width="4.85546875" style="16" customWidth="1"/>
    <col min="25" max="25" width="3.28515625" style="16" customWidth="1"/>
    <col min="26" max="26" width="3.140625" style="16" customWidth="1"/>
    <col min="27" max="28" width="8.140625" style="16" customWidth="1"/>
    <col min="29" max="29" width="4.28515625" style="16" customWidth="1"/>
    <col min="30" max="30" width="4" style="16" customWidth="1"/>
    <col min="31" max="31" width="9.42578125" style="16" customWidth="1"/>
    <col min="32" max="32" width="27.85546875" style="16" customWidth="1"/>
    <col min="33" max="33" width="8.140625" style="16" customWidth="1"/>
    <col min="34" max="34" width="7" style="16" customWidth="1"/>
    <col min="35" max="35" width="9" style="16" customWidth="1"/>
    <col min="36" max="36" width="5.28515625" style="16" customWidth="1"/>
    <col min="37" max="39" width="5.5703125" style="16" customWidth="1"/>
    <col min="40" max="40" width="5.42578125" style="16" customWidth="1"/>
    <col min="41" max="42" width="5.5703125" style="16" customWidth="1"/>
    <col min="43" max="43" width="5.28515625" style="16" customWidth="1"/>
    <col min="44" max="44" width="21.140625" style="16" customWidth="1"/>
    <col min="45" max="16384" width="9.140625" style="16"/>
  </cols>
  <sheetData>
    <row r="1" spans="1:20" ht="18" x14ac:dyDescent="0.2">
      <c r="A1" s="1454" t="str">
        <f>B94</f>
        <v>PIPE MATERIAL SUMMARY TABLE</v>
      </c>
      <c r="B1" s="1454"/>
      <c r="C1" s="1454"/>
      <c r="D1" s="1454"/>
      <c r="E1" s="1454"/>
      <c r="F1" s="1454"/>
      <c r="G1" s="1454"/>
      <c r="H1" s="1454"/>
      <c r="I1" s="1454"/>
      <c r="J1" s="1454"/>
      <c r="K1" s="1454"/>
      <c r="L1" s="1454"/>
      <c r="N1" s="956" t="s">
        <v>110</v>
      </c>
    </row>
    <row r="2" spans="1:20" ht="12.75" customHeight="1" thickBot="1" x14ac:dyDescent="0.25">
      <c r="A2" s="411"/>
      <c r="B2" s="1464"/>
      <c r="C2" s="1465"/>
      <c r="D2" s="1465"/>
      <c r="E2" s="1465"/>
      <c r="F2" s="1466"/>
      <c r="G2" s="1466"/>
      <c r="H2" s="407"/>
      <c r="I2" s="407"/>
      <c r="J2" s="407"/>
      <c r="K2" s="407"/>
      <c r="L2" s="407"/>
      <c r="M2" s="407"/>
      <c r="N2" s="407"/>
      <c r="O2" s="407"/>
      <c r="P2" s="407"/>
      <c r="Q2" s="407"/>
      <c r="R2" s="407"/>
      <c r="S2" s="407"/>
      <c r="T2" s="407"/>
    </row>
    <row r="3" spans="1:20" ht="12.75" customHeight="1" x14ac:dyDescent="0.2">
      <c r="A3" s="411"/>
      <c r="B3" s="881"/>
      <c r="C3" s="882"/>
      <c r="D3" s="882"/>
      <c r="E3" s="883"/>
      <c r="F3" s="1440" t="s">
        <v>579</v>
      </c>
      <c r="G3" s="1441"/>
      <c r="H3" s="1441"/>
      <c r="I3" s="1441"/>
      <c r="J3" s="1441"/>
      <c r="K3" s="1442"/>
      <c r="L3" s="407"/>
      <c r="M3" s="407"/>
      <c r="N3" s="407"/>
      <c r="O3" s="407"/>
      <c r="P3" s="407"/>
      <c r="Q3" s="407"/>
      <c r="R3" s="407"/>
      <c r="S3" s="407"/>
      <c r="T3" s="407"/>
    </row>
    <row r="4" spans="1:20" ht="12.75" customHeight="1" thickBot="1" x14ac:dyDescent="0.25">
      <c r="A4" s="482"/>
      <c r="B4" s="884"/>
      <c r="C4" s="859"/>
      <c r="D4" s="859"/>
      <c r="E4" s="885"/>
      <c r="F4" s="886"/>
      <c r="G4" s="952"/>
      <c r="H4" s="952"/>
      <c r="I4" s="952"/>
      <c r="J4" s="952"/>
      <c r="K4" s="887"/>
      <c r="L4" s="407"/>
      <c r="M4" s="407"/>
      <c r="N4" s="407"/>
      <c r="O4" s="407"/>
      <c r="P4" s="407"/>
      <c r="Q4" s="407"/>
      <c r="R4" s="407"/>
      <c r="S4" s="407"/>
      <c r="T4" s="407"/>
    </row>
    <row r="5" spans="1:20" ht="12.75" customHeight="1" x14ac:dyDescent="0.2">
      <c r="A5" s="482"/>
      <c r="B5" s="888"/>
      <c r="C5" s="1467" t="str">
        <f>PROPER(C97)</f>
        <v>Pipe Type / Shape</v>
      </c>
      <c r="D5" s="1467"/>
      <c r="E5" s="1468"/>
      <c r="F5" s="889"/>
      <c r="G5" s="953"/>
      <c r="H5" s="953"/>
      <c r="I5" s="953"/>
      <c r="J5" s="953"/>
      <c r="K5" s="890"/>
      <c r="L5" s="407"/>
      <c r="M5" s="407"/>
      <c r="N5" s="407"/>
      <c r="O5" s="407"/>
      <c r="P5" s="407"/>
      <c r="Q5" s="407"/>
      <c r="R5" s="407"/>
      <c r="S5" s="407"/>
      <c r="T5" s="407"/>
    </row>
    <row r="6" spans="1:20" ht="12.75" customHeight="1" x14ac:dyDescent="0.2">
      <c r="A6" s="482"/>
      <c r="B6" s="888"/>
      <c r="C6" s="1467" t="str">
        <f>PROPER(C98)</f>
        <v>Smooth Pipe Size</v>
      </c>
      <c r="D6" s="1467"/>
      <c r="E6" s="1468"/>
      <c r="F6" s="891"/>
      <c r="G6" s="954"/>
      <c r="H6" s="954"/>
      <c r="I6" s="954"/>
      <c r="J6" s="954"/>
      <c r="K6" s="892"/>
      <c r="L6" s="407"/>
      <c r="M6" s="407"/>
      <c r="N6" s="407"/>
      <c r="O6" s="407"/>
      <c r="P6" s="407"/>
      <c r="Q6" s="407"/>
      <c r="R6" s="407"/>
      <c r="S6" s="407"/>
      <c r="T6" s="407"/>
    </row>
    <row r="7" spans="1:20" ht="12.75" customHeight="1" x14ac:dyDescent="0.2">
      <c r="A7" s="482"/>
      <c r="B7" s="888"/>
      <c r="C7" s="1467" t="str">
        <f>PROPER(C99)</f>
        <v>Corrugated Pipe Size</v>
      </c>
      <c r="D7" s="1467"/>
      <c r="E7" s="1468"/>
      <c r="F7" s="891"/>
      <c r="G7" s="954"/>
      <c r="H7" s="954"/>
      <c r="I7" s="954"/>
      <c r="J7" s="954"/>
      <c r="K7" s="892"/>
      <c r="L7" s="407"/>
      <c r="M7" s="407"/>
      <c r="N7" s="407"/>
      <c r="O7" s="407"/>
      <c r="P7" s="407"/>
      <c r="Q7" s="407"/>
      <c r="R7" s="407"/>
      <c r="S7" s="407"/>
      <c r="T7" s="407"/>
    </row>
    <row r="8" spans="1:20" ht="12.75" customHeight="1" x14ac:dyDescent="0.2">
      <c r="A8" s="482" t="s">
        <v>581</v>
      </c>
      <c r="B8" s="888"/>
      <c r="C8" s="1462" t="str">
        <f>C100</f>
        <v>RCP/RCHEP (S)</v>
      </c>
      <c r="D8" s="1462" t="str">
        <f>PROPER(D100)</f>
        <v>Class</v>
      </c>
      <c r="E8" s="1463"/>
      <c r="F8" s="891"/>
      <c r="G8" s="954"/>
      <c r="H8" s="954"/>
      <c r="I8" s="954"/>
      <c r="J8" s="954"/>
      <c r="K8" s="892"/>
      <c r="L8" s="407"/>
      <c r="M8" s="407"/>
      <c r="N8" s="407"/>
      <c r="O8" s="407"/>
      <c r="P8" s="407"/>
      <c r="Q8" s="407"/>
      <c r="R8" s="407"/>
      <c r="S8" s="407"/>
      <c r="T8" s="407"/>
    </row>
    <row r="9" spans="1:20" ht="12.75" customHeight="1" x14ac:dyDescent="0.2">
      <c r="A9" s="482"/>
      <c r="B9" s="888"/>
      <c r="C9" s="1462"/>
      <c r="D9" s="1462" t="s">
        <v>656</v>
      </c>
      <c r="E9" s="1463"/>
      <c r="F9" s="891"/>
      <c r="G9" s="954"/>
      <c r="H9" s="954"/>
      <c r="I9" s="954"/>
      <c r="J9" s="954"/>
      <c r="K9" s="892"/>
      <c r="L9" s="407"/>
      <c r="M9" s="407"/>
      <c r="N9" s="407"/>
      <c r="O9" s="407"/>
      <c r="P9" s="407"/>
      <c r="Q9" s="407"/>
      <c r="R9" s="407"/>
      <c r="S9" s="407"/>
      <c r="T9" s="407"/>
    </row>
    <row r="10" spans="1:20" ht="12.75" customHeight="1" x14ac:dyDescent="0.2">
      <c r="A10" s="482"/>
      <c r="B10" s="888"/>
      <c r="C10" s="1447" t="str">
        <f>PROPER(C102)</f>
        <v>Non-Reinforced Concrete Pipe, Class 3 (S)</v>
      </c>
      <c r="D10" s="1447"/>
      <c r="E10" s="1460"/>
      <c r="F10" s="893"/>
      <c r="G10" s="954"/>
      <c r="H10" s="954"/>
      <c r="I10" s="954"/>
      <c r="J10" s="954"/>
      <c r="K10" s="641"/>
      <c r="L10" s="407"/>
      <c r="M10" s="407"/>
      <c r="N10" s="407"/>
      <c r="O10" s="407"/>
      <c r="P10" s="407"/>
      <c r="Q10" s="407"/>
      <c r="R10" s="407"/>
      <c r="S10" s="407"/>
      <c r="T10" s="407"/>
    </row>
    <row r="11" spans="1:20" ht="12.75" customHeight="1" x14ac:dyDescent="0.2">
      <c r="A11" s="482"/>
      <c r="B11" s="888"/>
      <c r="C11" s="1462" t="str">
        <f>PROPER("CORRUGATED ")&amp;"PE Pipe, Type S (S)*"</f>
        <v>Corrugated PE Pipe, Type S (S)*</v>
      </c>
      <c r="D11" s="1462"/>
      <c r="E11" s="1463"/>
      <c r="F11" s="893"/>
      <c r="G11" s="954"/>
      <c r="H11" s="954"/>
      <c r="I11" s="954"/>
      <c r="J11" s="954"/>
      <c r="K11" s="641"/>
      <c r="L11" s="407"/>
      <c r="M11" s="407"/>
      <c r="N11" s="407"/>
      <c r="O11" s="407"/>
      <c r="P11" s="407"/>
      <c r="Q11" s="407"/>
      <c r="R11" s="407"/>
      <c r="S11" s="407"/>
      <c r="T11" s="407"/>
    </row>
    <row r="12" spans="1:20" ht="12.75" customHeight="1" x14ac:dyDescent="0.2">
      <c r="A12" s="482"/>
      <c r="B12" s="888"/>
      <c r="C12" s="1462" t="s">
        <v>582</v>
      </c>
      <c r="D12" s="1462"/>
      <c r="E12" s="1463"/>
      <c r="F12" s="893"/>
      <c r="G12" s="954"/>
      <c r="H12" s="954"/>
      <c r="I12" s="954"/>
      <c r="J12" s="954"/>
      <c r="K12" s="641"/>
      <c r="L12" s="407"/>
      <c r="M12" s="407"/>
      <c r="N12" s="407"/>
      <c r="O12" s="407"/>
      <c r="P12" s="407"/>
      <c r="Q12" s="407"/>
      <c r="R12" s="407"/>
      <c r="S12" s="407"/>
      <c r="T12" s="407"/>
    </row>
    <row r="13" spans="1:20" ht="12.75" customHeight="1" x14ac:dyDescent="0.2">
      <c r="A13" s="482"/>
      <c r="B13" s="888"/>
      <c r="C13" s="1462" t="s">
        <v>583</v>
      </c>
      <c r="D13" s="1462"/>
      <c r="E13" s="1463"/>
      <c r="F13" s="893"/>
      <c r="G13" s="954"/>
      <c r="H13" s="954"/>
      <c r="I13" s="954"/>
      <c r="J13" s="954"/>
      <c r="K13" s="641"/>
      <c r="L13" s="407"/>
      <c r="M13" s="407"/>
      <c r="N13" s="407"/>
      <c r="O13" s="407"/>
      <c r="P13" s="407"/>
      <c r="Q13" s="407"/>
      <c r="R13" s="407"/>
      <c r="S13" s="407"/>
      <c r="T13" s="407"/>
    </row>
    <row r="14" spans="1:20" ht="12.75" customHeight="1" x14ac:dyDescent="0.2">
      <c r="A14" s="482"/>
      <c r="B14" s="888"/>
      <c r="C14" s="1462" t="s">
        <v>584</v>
      </c>
      <c r="D14" s="1462"/>
      <c r="E14" s="1463"/>
      <c r="F14" s="893"/>
      <c r="G14" s="954"/>
      <c r="H14" s="954"/>
      <c r="I14" s="954"/>
      <c r="J14" s="954"/>
      <c r="K14" s="641"/>
      <c r="L14" s="407"/>
      <c r="M14" s="407"/>
      <c r="N14" s="407"/>
      <c r="O14" s="407"/>
      <c r="P14" s="407"/>
      <c r="Q14" s="407"/>
      <c r="R14" s="407"/>
      <c r="S14" s="407"/>
      <c r="T14" s="407"/>
    </row>
    <row r="15" spans="1:20" ht="12.75" customHeight="1" x14ac:dyDescent="0.2">
      <c r="A15" s="482"/>
      <c r="B15" s="888"/>
      <c r="C15" s="1462" t="s">
        <v>585</v>
      </c>
      <c r="D15" s="1462"/>
      <c r="E15" s="1463"/>
      <c r="F15" s="893"/>
      <c r="G15" s="954"/>
      <c r="H15" s="954"/>
      <c r="I15" s="954"/>
      <c r="J15" s="954"/>
      <c r="K15" s="641"/>
      <c r="L15" s="407"/>
      <c r="M15" s="407"/>
      <c r="N15" s="407"/>
      <c r="O15" s="407"/>
      <c r="P15" s="407"/>
      <c r="Q15" s="407"/>
      <c r="R15" s="407"/>
      <c r="S15" s="407"/>
      <c r="T15" s="407"/>
    </row>
    <row r="16" spans="1:20" ht="12.75" customHeight="1" x14ac:dyDescent="0.2">
      <c r="A16" s="482"/>
      <c r="B16" s="512"/>
      <c r="C16" s="1447" t="str">
        <f>PROPER(C108)</f>
        <v>Vitrified Clay Pipe, Extra Strength (S)</v>
      </c>
      <c r="D16" s="1447"/>
      <c r="E16" s="1460"/>
      <c r="F16" s="893"/>
      <c r="G16" s="954"/>
      <c r="H16" s="954"/>
      <c r="I16" s="954"/>
      <c r="J16" s="954"/>
      <c r="K16" s="641"/>
      <c r="L16" s="407"/>
      <c r="M16" s="407"/>
      <c r="N16" s="407"/>
      <c r="O16" s="407"/>
      <c r="P16" s="407"/>
      <c r="Q16" s="407"/>
      <c r="R16" s="407"/>
      <c r="S16" s="407"/>
      <c r="T16" s="407"/>
    </row>
    <row r="17" spans="1:20" ht="12.75" customHeight="1" x14ac:dyDescent="0.2">
      <c r="A17" s="482"/>
      <c r="B17" s="1461" t="str">
        <f>PROPER("CORRUGATED STEEL PIPE / PIPE-ARCH")</f>
        <v>Corrugated Steel Pipe / Pipe-Arch</v>
      </c>
      <c r="C17" s="1447" t="str">
        <f>PROPER(C109)</f>
        <v>Fully Bit. Paved &amp; Lined (S)</v>
      </c>
      <c r="D17" s="1447"/>
      <c r="E17" s="895" t="s">
        <v>658</v>
      </c>
      <c r="F17" s="893"/>
      <c r="G17" s="954"/>
      <c r="H17" s="954"/>
      <c r="I17" s="954"/>
      <c r="J17" s="954"/>
      <c r="K17" s="641"/>
      <c r="L17" s="407"/>
      <c r="M17" s="407"/>
      <c r="N17" s="407"/>
      <c r="O17" s="407"/>
      <c r="P17" s="407"/>
      <c r="Q17" s="407"/>
      <c r="R17" s="407"/>
      <c r="S17" s="407"/>
      <c r="T17" s="407"/>
    </row>
    <row r="18" spans="1:20" ht="12.75" customHeight="1" x14ac:dyDescent="0.2">
      <c r="A18" s="482"/>
      <c r="B18" s="1461"/>
      <c r="C18" s="1447"/>
      <c r="D18" s="1447"/>
      <c r="E18" s="895" t="s">
        <v>659</v>
      </c>
      <c r="F18" s="900"/>
      <c r="G18" s="955"/>
      <c r="H18" s="955"/>
      <c r="I18" s="955"/>
      <c r="J18" s="955"/>
      <c r="K18" s="901"/>
      <c r="L18" s="407"/>
      <c r="M18" s="407"/>
      <c r="N18" s="407"/>
      <c r="O18" s="407"/>
      <c r="P18" s="407"/>
      <c r="Q18" s="407"/>
      <c r="R18" s="407"/>
      <c r="S18" s="407"/>
      <c r="T18" s="407"/>
    </row>
    <row r="19" spans="1:20" ht="12.75" customHeight="1" x14ac:dyDescent="0.2">
      <c r="A19" s="482"/>
      <c r="B19" s="1461"/>
      <c r="C19" s="1447" t="str">
        <f>PROPER(C111)</f>
        <v>Zinc Coated (C)</v>
      </c>
      <c r="D19" s="1447"/>
      <c r="E19" s="895" t="s">
        <v>658</v>
      </c>
      <c r="F19" s="898"/>
      <c r="G19" s="954"/>
      <c r="H19" s="640"/>
      <c r="I19" s="954"/>
      <c r="J19" s="640"/>
      <c r="K19" s="641"/>
      <c r="L19" s="407"/>
      <c r="M19" s="407"/>
      <c r="N19" s="407"/>
      <c r="O19" s="407"/>
      <c r="P19" s="407"/>
      <c r="Q19" s="407"/>
      <c r="R19" s="407"/>
      <c r="S19" s="407"/>
      <c r="T19" s="407"/>
    </row>
    <row r="20" spans="1:20" ht="12.75" customHeight="1" x14ac:dyDescent="0.2">
      <c r="A20" s="482"/>
      <c r="B20" s="1461"/>
      <c r="C20" s="1447"/>
      <c r="D20" s="1447"/>
      <c r="E20" s="895" t="s">
        <v>659</v>
      </c>
      <c r="F20" s="900"/>
      <c r="G20" s="955"/>
      <c r="H20" s="955"/>
      <c r="I20" s="955"/>
      <c r="J20" s="955"/>
      <c r="K20" s="901"/>
      <c r="L20" s="407"/>
      <c r="M20" s="407"/>
      <c r="N20" s="407"/>
      <c r="O20" s="407"/>
      <c r="P20" s="407"/>
      <c r="Q20" s="407"/>
      <c r="R20" s="407"/>
      <c r="S20" s="407"/>
      <c r="T20" s="407"/>
    </row>
    <row r="21" spans="1:20" ht="12.75" customHeight="1" x14ac:dyDescent="0.2">
      <c r="A21" s="482"/>
      <c r="B21" s="1461"/>
      <c r="C21" s="1447" t="str">
        <f>PROPER("ZINC COATED ")&amp;"w/ BPI (C) "</f>
        <v xml:space="preserve">Zinc Coated w/ BPI (C) </v>
      </c>
      <c r="D21" s="1447"/>
      <c r="E21" s="895" t="s">
        <v>658</v>
      </c>
      <c r="F21" s="898"/>
      <c r="G21" s="954"/>
      <c r="H21" s="640"/>
      <c r="I21" s="954"/>
      <c r="J21" s="640"/>
      <c r="K21" s="641"/>
      <c r="L21" s="407"/>
      <c r="M21" s="407"/>
      <c r="N21" s="407"/>
      <c r="O21" s="407"/>
      <c r="P21" s="407"/>
      <c r="Q21" s="407"/>
      <c r="R21" s="407"/>
      <c r="S21" s="407"/>
      <c r="T21" s="407"/>
    </row>
    <row r="22" spans="1:20" ht="12.75" customHeight="1" x14ac:dyDescent="0.2">
      <c r="A22" s="482"/>
      <c r="B22" s="1461"/>
      <c r="C22" s="1447"/>
      <c r="D22" s="1447"/>
      <c r="E22" s="895" t="s">
        <v>659</v>
      </c>
      <c r="F22" s="900"/>
      <c r="G22" s="955"/>
      <c r="H22" s="955"/>
      <c r="I22" s="955"/>
      <c r="J22" s="955"/>
      <c r="K22" s="901"/>
      <c r="L22" s="407"/>
      <c r="M22" s="407"/>
      <c r="N22" s="407"/>
      <c r="O22" s="407"/>
      <c r="P22" s="407"/>
      <c r="Q22" s="407"/>
      <c r="R22" s="407"/>
      <c r="S22" s="407"/>
      <c r="T22" s="407"/>
    </row>
    <row r="23" spans="1:20" ht="12.75" customHeight="1" x14ac:dyDescent="0.2">
      <c r="A23" s="482"/>
      <c r="B23" s="1461"/>
      <c r="C23" s="1447" t="str">
        <f>PROPER(C115)</f>
        <v>Alum. Coated Type 2 (C)</v>
      </c>
      <c r="D23" s="1447"/>
      <c r="E23" s="895" t="s">
        <v>658</v>
      </c>
      <c r="F23" s="898"/>
      <c r="G23" s="954"/>
      <c r="H23" s="640"/>
      <c r="I23" s="954"/>
      <c r="J23" s="640"/>
      <c r="K23" s="641"/>
      <c r="L23" s="407"/>
      <c r="M23" s="407"/>
      <c r="N23" s="407"/>
      <c r="O23" s="407"/>
      <c r="P23" s="407"/>
      <c r="Q23" s="407"/>
      <c r="R23" s="407"/>
      <c r="S23" s="407"/>
      <c r="T23" s="407"/>
    </row>
    <row r="24" spans="1:20" ht="12.75" customHeight="1" x14ac:dyDescent="0.2">
      <c r="A24" s="482"/>
      <c r="B24" s="1461"/>
      <c r="C24" s="1447"/>
      <c r="D24" s="1447"/>
      <c r="E24" s="895" t="s">
        <v>659</v>
      </c>
      <c r="F24" s="900"/>
      <c r="G24" s="955"/>
      <c r="H24" s="955"/>
      <c r="I24" s="955"/>
      <c r="J24" s="955"/>
      <c r="K24" s="901"/>
      <c r="L24" s="407"/>
      <c r="M24" s="407"/>
      <c r="N24" s="407"/>
      <c r="O24" s="407"/>
      <c r="P24" s="407"/>
      <c r="Q24" s="407"/>
      <c r="R24" s="407"/>
      <c r="S24" s="407"/>
      <c r="T24" s="407"/>
    </row>
    <row r="25" spans="1:20" ht="12.75" customHeight="1" x14ac:dyDescent="0.2">
      <c r="A25" s="482"/>
      <c r="B25" s="1461"/>
      <c r="C25" s="1447" t="str">
        <f>PROPER("ALUM. COATED TYPE 2 ")&amp;"w/ BPI (C) "</f>
        <v xml:space="preserve">Alum. Coated Type 2 w/ BPI (C) </v>
      </c>
      <c r="D25" s="1447"/>
      <c r="E25" s="895" t="s">
        <v>658</v>
      </c>
      <c r="F25" s="898"/>
      <c r="G25" s="640"/>
      <c r="H25" s="640"/>
      <c r="I25" s="640"/>
      <c r="J25" s="640"/>
      <c r="K25" s="899"/>
      <c r="L25" s="407"/>
      <c r="M25" s="407"/>
      <c r="N25" s="407"/>
      <c r="O25" s="407"/>
      <c r="P25" s="407"/>
      <c r="Q25" s="407"/>
      <c r="R25" s="407"/>
      <c r="S25" s="407"/>
      <c r="T25" s="407"/>
    </row>
    <row r="26" spans="1:20" ht="12.75" customHeight="1" x14ac:dyDescent="0.2">
      <c r="A26" s="482"/>
      <c r="B26" s="1461"/>
      <c r="C26" s="1447"/>
      <c r="D26" s="1447"/>
      <c r="E26" s="895" t="s">
        <v>659</v>
      </c>
      <c r="F26" s="900"/>
      <c r="G26" s="955"/>
      <c r="H26" s="955"/>
      <c r="I26" s="955"/>
      <c r="J26" s="955"/>
      <c r="K26" s="901"/>
      <c r="L26" s="407"/>
      <c r="M26" s="407"/>
      <c r="N26" s="407"/>
      <c r="O26" s="407"/>
      <c r="P26" s="407"/>
      <c r="Q26" s="407"/>
      <c r="R26" s="407"/>
      <c r="S26" s="407"/>
      <c r="T26" s="407"/>
    </row>
    <row r="27" spans="1:20" ht="12.75" customHeight="1" x14ac:dyDescent="0.2">
      <c r="A27" s="482"/>
      <c r="B27" s="1461"/>
      <c r="C27" s="1447" t="str">
        <f>PROPER(C119)</f>
        <v>Polymer Precoated Galvanized (C)</v>
      </c>
      <c r="D27" s="1447"/>
      <c r="E27" s="895" t="s">
        <v>658</v>
      </c>
      <c r="F27" s="898"/>
      <c r="G27" s="640"/>
      <c r="H27" s="640"/>
      <c r="I27" s="640"/>
      <c r="J27" s="640"/>
      <c r="K27" s="899"/>
      <c r="L27" s="407"/>
      <c r="M27" s="407"/>
      <c r="N27" s="407"/>
      <c r="O27" s="407"/>
      <c r="P27" s="407"/>
      <c r="Q27" s="407"/>
      <c r="R27" s="407"/>
      <c r="S27" s="407"/>
      <c r="T27" s="407"/>
    </row>
    <row r="28" spans="1:20" ht="12.75" customHeight="1" x14ac:dyDescent="0.2">
      <c r="A28" s="482"/>
      <c r="B28" s="1461"/>
      <c r="C28" s="1447"/>
      <c r="D28" s="1447"/>
      <c r="E28" s="895" t="s">
        <v>659</v>
      </c>
      <c r="F28" s="900"/>
      <c r="G28" s="955"/>
      <c r="H28" s="955"/>
      <c r="I28" s="955"/>
      <c r="J28" s="955"/>
      <c r="K28" s="901"/>
      <c r="L28" s="407"/>
      <c r="M28" s="407"/>
      <c r="N28" s="407"/>
      <c r="O28" s="407"/>
      <c r="P28" s="407"/>
      <c r="Q28" s="407"/>
      <c r="R28" s="407"/>
      <c r="S28" s="407"/>
      <c r="T28" s="407"/>
    </row>
    <row r="29" spans="1:20" ht="12.75" customHeight="1" x14ac:dyDescent="0.2">
      <c r="A29" s="482"/>
      <c r="B29" s="1461"/>
      <c r="C29" s="1447" t="str">
        <f>PROPER("POLYMER PRECOATED GALVANIZED ")&amp;"w/ BPI (C) "</f>
        <v xml:space="preserve">Polymer Precoated Galvanized w/ BPI (C) </v>
      </c>
      <c r="D29" s="1447"/>
      <c r="E29" s="895" t="s">
        <v>658</v>
      </c>
      <c r="F29" s="898"/>
      <c r="G29" s="954"/>
      <c r="H29" s="640"/>
      <c r="I29" s="954"/>
      <c r="J29" s="640"/>
      <c r="K29" s="641"/>
      <c r="L29" s="407"/>
      <c r="M29" s="407"/>
      <c r="N29" s="407"/>
      <c r="O29" s="407"/>
      <c r="P29" s="407"/>
      <c r="Q29" s="407"/>
      <c r="R29" s="407"/>
      <c r="S29" s="407"/>
      <c r="T29" s="407"/>
    </row>
    <row r="30" spans="1:20" ht="12.75" customHeight="1" x14ac:dyDescent="0.2">
      <c r="A30" s="482"/>
      <c r="B30" s="1461"/>
      <c r="C30" s="1447"/>
      <c r="D30" s="1447"/>
      <c r="E30" s="895" t="s">
        <v>659</v>
      </c>
      <c r="F30" s="900"/>
      <c r="G30" s="955"/>
      <c r="H30" s="955"/>
      <c r="I30" s="955"/>
      <c r="J30" s="955"/>
      <c r="K30" s="901"/>
      <c r="L30" s="407"/>
      <c r="M30" s="407"/>
      <c r="N30" s="407"/>
      <c r="O30" s="407"/>
      <c r="P30" s="407"/>
      <c r="Q30" s="407"/>
      <c r="R30" s="407"/>
      <c r="S30" s="407"/>
      <c r="T30" s="407"/>
    </row>
    <row r="31" spans="1:20" ht="12.75" customHeight="1" x14ac:dyDescent="0.2">
      <c r="A31" s="482"/>
      <c r="B31" s="1461"/>
      <c r="C31" s="1447" t="str">
        <f>PROPER(C123)</f>
        <v xml:space="preserve">Polymer Precoated Galvanized Corrugated Steel Pipe Type 1A (S) </v>
      </c>
      <c r="D31" s="1447"/>
      <c r="E31" s="895" t="s">
        <v>658</v>
      </c>
      <c r="F31" s="898"/>
      <c r="G31" s="640"/>
      <c r="H31" s="640"/>
      <c r="I31" s="640"/>
      <c r="J31" s="640"/>
      <c r="K31" s="899"/>
      <c r="L31" s="407"/>
      <c r="M31" s="407"/>
      <c r="N31" s="407"/>
      <c r="O31" s="407"/>
      <c r="P31" s="407"/>
      <c r="Q31" s="407"/>
      <c r="R31" s="407"/>
      <c r="S31" s="407"/>
      <c r="T31" s="407"/>
    </row>
    <row r="32" spans="1:20" ht="12.75" customHeight="1" x14ac:dyDescent="0.2">
      <c r="A32" s="482"/>
      <c r="B32" s="1461"/>
      <c r="C32" s="1447"/>
      <c r="D32" s="1447"/>
      <c r="E32" s="895" t="s">
        <v>659</v>
      </c>
      <c r="F32" s="900"/>
      <c r="G32" s="955"/>
      <c r="H32" s="955"/>
      <c r="I32" s="955"/>
      <c r="J32" s="955"/>
      <c r="K32" s="901"/>
      <c r="L32" s="407"/>
      <c r="M32" s="407"/>
      <c r="N32" s="407"/>
      <c r="O32" s="407"/>
      <c r="P32" s="407"/>
      <c r="Q32" s="407"/>
      <c r="R32" s="407"/>
      <c r="S32" s="407"/>
      <c r="T32" s="407"/>
    </row>
    <row r="33" spans="1:20" ht="12.75" customHeight="1" x14ac:dyDescent="0.2">
      <c r="A33" s="482"/>
      <c r="B33" s="1461"/>
      <c r="C33" s="1447" t="str">
        <f>PROPER("FIBER BONDED BITUMINOUS COATED ")&amp;"w/ BPI (C) "</f>
        <v xml:space="preserve">Fiber Bonded Bituminous Coated w/ BPI (C) </v>
      </c>
      <c r="D33" s="1447"/>
      <c r="E33" s="895" t="s">
        <v>658</v>
      </c>
      <c r="F33" s="898"/>
      <c r="G33" s="954"/>
      <c r="H33" s="640"/>
      <c r="I33" s="954"/>
      <c r="J33" s="640"/>
      <c r="K33" s="641"/>
      <c r="L33" s="407"/>
      <c r="M33" s="407"/>
      <c r="N33" s="407"/>
      <c r="O33" s="407"/>
      <c r="P33" s="407"/>
      <c r="Q33" s="407"/>
      <c r="R33" s="407"/>
      <c r="S33" s="407"/>
      <c r="T33" s="407"/>
    </row>
    <row r="34" spans="1:20" ht="12.75" customHeight="1" x14ac:dyDescent="0.2">
      <c r="A34" s="482"/>
      <c r="B34" s="1461"/>
      <c r="C34" s="1447"/>
      <c r="D34" s="1447"/>
      <c r="E34" s="895" t="s">
        <v>659</v>
      </c>
      <c r="F34" s="900"/>
      <c r="G34" s="955"/>
      <c r="H34" s="955"/>
      <c r="I34" s="955"/>
      <c r="J34" s="955"/>
      <c r="K34" s="901"/>
      <c r="L34" s="407"/>
      <c r="M34" s="407"/>
      <c r="N34" s="407"/>
      <c r="O34" s="407"/>
      <c r="P34" s="407"/>
      <c r="Q34" s="407"/>
      <c r="R34" s="407"/>
      <c r="S34" s="407"/>
      <c r="T34" s="407"/>
    </row>
    <row r="35" spans="1:20" ht="12.75" customHeight="1" x14ac:dyDescent="0.2">
      <c r="A35" s="482"/>
      <c r="B35" s="903"/>
      <c r="C35" s="1447" t="str">
        <f>PROPER(C127)</f>
        <v>Corrugated Alum. Alloy Pipe (C)</v>
      </c>
      <c r="D35" s="1447"/>
      <c r="E35" s="895" t="s">
        <v>658</v>
      </c>
      <c r="F35" s="898"/>
      <c r="G35" s="954"/>
      <c r="H35" s="640"/>
      <c r="I35" s="954"/>
      <c r="J35" s="640"/>
      <c r="K35" s="641"/>
      <c r="L35" s="407"/>
      <c r="M35" s="407"/>
      <c r="N35" s="407"/>
      <c r="O35" s="407"/>
      <c r="P35" s="407"/>
      <c r="Q35" s="407"/>
      <c r="R35" s="407"/>
      <c r="S35" s="407"/>
      <c r="T35" s="407"/>
    </row>
    <row r="36" spans="1:20" ht="12.75" customHeight="1" x14ac:dyDescent="0.2">
      <c r="A36" s="482"/>
      <c r="B36" s="888"/>
      <c r="C36" s="1447"/>
      <c r="D36" s="1447"/>
      <c r="E36" s="895" t="s">
        <v>659</v>
      </c>
      <c r="F36" s="900"/>
      <c r="G36" s="955"/>
      <c r="H36" s="955"/>
      <c r="I36" s="955"/>
      <c r="J36" s="955"/>
      <c r="K36" s="901"/>
      <c r="L36" s="407"/>
      <c r="M36" s="407"/>
      <c r="N36" s="407"/>
      <c r="O36" s="407"/>
      <c r="P36" s="407"/>
      <c r="Q36" s="407"/>
      <c r="R36" s="407"/>
      <c r="S36" s="407"/>
      <c r="T36" s="407"/>
    </row>
    <row r="37" spans="1:20" ht="12.75" customHeight="1" x14ac:dyDescent="0.2">
      <c r="A37" s="482"/>
      <c r="B37" s="888"/>
      <c r="C37" s="1447" t="str">
        <f>PROPER("CORRUGATED ALUM. ALLOY PIPE ")&amp;"w/ BPI (C) "</f>
        <v xml:space="preserve">Corrugated Alum. Alloy Pipe w/ BPI (C) </v>
      </c>
      <c r="D37" s="1447"/>
      <c r="E37" s="895" t="s">
        <v>658</v>
      </c>
      <c r="F37" s="898"/>
      <c r="G37" s="640"/>
      <c r="H37" s="640"/>
      <c r="I37" s="640"/>
      <c r="J37" s="640"/>
      <c r="K37" s="899"/>
      <c r="L37" s="407"/>
      <c r="M37" s="407"/>
      <c r="N37" s="407"/>
      <c r="O37" s="407"/>
      <c r="P37" s="407"/>
      <c r="Q37" s="407"/>
      <c r="R37" s="407"/>
      <c r="S37" s="407"/>
      <c r="T37" s="407"/>
    </row>
    <row r="38" spans="1:20" ht="12.75" customHeight="1" x14ac:dyDescent="0.2">
      <c r="A38" s="482"/>
      <c r="B38" s="888"/>
      <c r="C38" s="1447"/>
      <c r="D38" s="1447"/>
      <c r="E38" s="895" t="s">
        <v>659</v>
      </c>
      <c r="F38" s="900"/>
      <c r="G38" s="955"/>
      <c r="H38" s="955"/>
      <c r="I38" s="955"/>
      <c r="J38" s="955"/>
      <c r="K38" s="901"/>
      <c r="L38" s="407"/>
      <c r="M38" s="407"/>
      <c r="N38" s="407"/>
      <c r="O38" s="407"/>
      <c r="P38" s="407"/>
      <c r="Q38" s="407"/>
      <c r="R38" s="407"/>
      <c r="S38" s="407"/>
      <c r="T38" s="407"/>
    </row>
    <row r="39" spans="1:20" ht="12.75" customHeight="1" x14ac:dyDescent="0.2">
      <c r="A39" s="482"/>
      <c r="B39" s="888"/>
      <c r="C39" s="1447" t="str">
        <f>PROPER(C131)</f>
        <v>Str. Plate Aluminum Alloy Plate (C)</v>
      </c>
      <c r="D39" s="1447"/>
      <c r="E39" s="895" t="s">
        <v>658</v>
      </c>
      <c r="F39" s="898"/>
      <c r="G39" s="954"/>
      <c r="H39" s="640"/>
      <c r="I39" s="954"/>
      <c r="J39" s="640"/>
      <c r="K39" s="641"/>
      <c r="L39" s="407"/>
      <c r="M39" s="407"/>
      <c r="N39" s="407"/>
      <c r="O39" s="407"/>
      <c r="P39" s="407"/>
      <c r="Q39" s="407"/>
      <c r="R39" s="407"/>
      <c r="S39" s="407"/>
      <c r="T39" s="407"/>
    </row>
    <row r="40" spans="1:20" ht="12.75" customHeight="1" x14ac:dyDescent="0.2">
      <c r="A40" s="482"/>
      <c r="B40" s="888"/>
      <c r="C40" s="1447"/>
      <c r="D40" s="1447"/>
      <c r="E40" s="895" t="s">
        <v>659</v>
      </c>
      <c r="F40" s="900"/>
      <c r="G40" s="955"/>
      <c r="H40" s="955"/>
      <c r="I40" s="955"/>
      <c r="J40" s="955"/>
      <c r="K40" s="901"/>
      <c r="L40" s="407"/>
      <c r="M40" s="407"/>
      <c r="N40" s="407"/>
      <c r="O40" s="407"/>
      <c r="P40" s="407"/>
      <c r="Q40" s="407"/>
      <c r="R40" s="407"/>
      <c r="S40" s="407"/>
      <c r="T40" s="407"/>
    </row>
    <row r="41" spans="1:20" ht="12.75" customHeight="1" x14ac:dyDescent="0.2">
      <c r="A41" s="482"/>
      <c r="B41" s="888"/>
      <c r="C41" s="1447" t="str">
        <f>PROPER("STR. PLATE ALUMINUM ALLOY PLATE ")&amp;"w/ CFP (C) "</f>
        <v xml:space="preserve">Str. Plate Aluminum Alloy Plate w/ CFP (C) </v>
      </c>
      <c r="D41" s="1447"/>
      <c r="E41" s="895" t="s">
        <v>658</v>
      </c>
      <c r="F41" s="898"/>
      <c r="G41" s="954"/>
      <c r="H41" s="640"/>
      <c r="I41" s="954"/>
      <c r="J41" s="640"/>
      <c r="K41" s="641"/>
      <c r="L41" s="407"/>
      <c r="M41" s="407"/>
      <c r="N41" s="407"/>
      <c r="O41" s="407"/>
      <c r="P41" s="407"/>
      <c r="Q41" s="407"/>
      <c r="R41" s="407"/>
      <c r="S41" s="407"/>
      <c r="T41" s="407"/>
    </row>
    <row r="42" spans="1:20" ht="12.75" customHeight="1" x14ac:dyDescent="0.2">
      <c r="A42" s="482"/>
      <c r="B42" s="888"/>
      <c r="C42" s="1447"/>
      <c r="D42" s="1447"/>
      <c r="E42" s="895" t="s">
        <v>659</v>
      </c>
      <c r="F42" s="900"/>
      <c r="G42" s="955"/>
      <c r="H42" s="955"/>
      <c r="I42" s="955"/>
      <c r="J42" s="955"/>
      <c r="K42" s="901"/>
      <c r="L42" s="407"/>
      <c r="M42" s="407"/>
      <c r="N42" s="407"/>
      <c r="O42" s="407"/>
      <c r="P42" s="407"/>
      <c r="Q42" s="407"/>
      <c r="R42" s="407"/>
      <c r="S42" s="407"/>
      <c r="T42" s="407"/>
    </row>
    <row r="43" spans="1:20" ht="12.75" customHeight="1" x14ac:dyDescent="0.2">
      <c r="A43" s="482"/>
      <c r="B43" s="888"/>
      <c r="C43" s="1447" t="str">
        <f>PROPER(C135)</f>
        <v>Str. Plate Steel Pipe (C)</v>
      </c>
      <c r="D43" s="1447"/>
      <c r="E43" s="895" t="s">
        <v>658</v>
      </c>
      <c r="F43" s="898"/>
      <c r="G43" s="954"/>
      <c r="H43" s="640"/>
      <c r="I43" s="954"/>
      <c r="J43" s="640"/>
      <c r="K43" s="641"/>
      <c r="L43" s="407"/>
      <c r="M43" s="407"/>
      <c r="N43" s="407"/>
      <c r="O43" s="407"/>
      <c r="P43" s="407"/>
      <c r="Q43" s="407"/>
      <c r="R43" s="407"/>
      <c r="S43" s="407"/>
      <c r="T43" s="407"/>
    </row>
    <row r="44" spans="1:20" ht="12.75" customHeight="1" x14ac:dyDescent="0.2">
      <c r="A44" s="482"/>
      <c r="B44" s="888"/>
      <c r="C44" s="1447"/>
      <c r="D44" s="1447"/>
      <c r="E44" s="895" t="s">
        <v>660</v>
      </c>
      <c r="F44" s="900"/>
      <c r="G44" s="955"/>
      <c r="H44" s="955"/>
      <c r="I44" s="955"/>
      <c r="J44" s="955"/>
      <c r="K44" s="901"/>
      <c r="L44" s="407"/>
      <c r="M44" s="407"/>
      <c r="N44" s="407"/>
      <c r="O44" s="407"/>
      <c r="P44" s="407"/>
      <c r="Q44" s="407"/>
      <c r="R44" s="407"/>
      <c r="S44" s="407"/>
      <c r="T44" s="407"/>
    </row>
    <row r="45" spans="1:20" ht="12.75" customHeight="1" x14ac:dyDescent="0.2">
      <c r="A45" s="482"/>
      <c r="B45" s="888"/>
      <c r="C45" s="1447" t="str">
        <f>PROPER("STR. PLATE STEEL PIPE ")&amp;"w/ CFP (C) "</f>
        <v xml:space="preserve">Str. Plate Steel Pipe w/ CFP (C) </v>
      </c>
      <c r="D45" s="1447"/>
      <c r="E45" s="895" t="s">
        <v>658</v>
      </c>
      <c r="F45" s="898"/>
      <c r="G45" s="954"/>
      <c r="H45" s="640"/>
      <c r="I45" s="954"/>
      <c r="J45" s="640"/>
      <c r="K45" s="641"/>
      <c r="L45" s="407"/>
      <c r="M45" s="407"/>
      <c r="N45" s="407"/>
      <c r="O45" s="407"/>
      <c r="P45" s="407"/>
      <c r="Q45" s="407"/>
      <c r="R45" s="407"/>
      <c r="S45" s="407"/>
      <c r="T45" s="407"/>
    </row>
    <row r="46" spans="1:20" ht="12.75" customHeight="1" thickBot="1" x14ac:dyDescent="0.25">
      <c r="A46" s="482"/>
      <c r="B46" s="904"/>
      <c r="C46" s="1448"/>
      <c r="D46" s="1448"/>
      <c r="E46" s="905" t="s">
        <v>660</v>
      </c>
      <c r="F46" s="1015"/>
      <c r="G46" s="1016"/>
      <c r="H46" s="1016"/>
      <c r="I46" s="1016"/>
      <c r="J46" s="1016"/>
      <c r="K46" s="1017"/>
      <c r="L46" s="407"/>
      <c r="M46" s="407"/>
      <c r="N46" s="407"/>
      <c r="O46" s="407"/>
      <c r="P46" s="407"/>
      <c r="Q46" s="407"/>
      <c r="R46" s="407"/>
      <c r="S46" s="407"/>
      <c r="T46" s="407"/>
    </row>
    <row r="47" spans="1:20" ht="12.75" customHeight="1" x14ac:dyDescent="0.2">
      <c r="A47" s="482"/>
      <c r="B47" s="411"/>
      <c r="C47" s="951" t="s">
        <v>586</v>
      </c>
      <c r="D47" s="894"/>
      <c r="E47" s="949"/>
      <c r="F47" s="878"/>
      <c r="G47" s="411"/>
      <c r="H47" s="411"/>
      <c r="I47" s="653"/>
      <c r="J47" s="411"/>
      <c r="K47" s="411"/>
      <c r="L47" s="407"/>
      <c r="M47" s="407"/>
      <c r="N47" s="407"/>
      <c r="O47" s="407"/>
      <c r="P47" s="407"/>
      <c r="Q47" s="407"/>
      <c r="R47" s="407"/>
      <c r="S47" s="407"/>
      <c r="T47" s="407"/>
    </row>
    <row r="48" spans="1:20" ht="12.75" customHeight="1" x14ac:dyDescent="0.2">
      <c r="A48" s="482"/>
      <c r="B48" s="411"/>
      <c r="C48" s="896" t="s">
        <v>587</v>
      </c>
      <c r="D48" s="491" t="str">
        <f>PROPER(J110)</f>
        <v>Reinforced Concrete Pipe</v>
      </c>
      <c r="E48" s="949"/>
      <c r="F48" s="896" t="s">
        <v>592</v>
      </c>
      <c r="G48" s="491" t="str">
        <f t="shared" ref="G48:G53" si="0">PROPER(J116)</f>
        <v>Bituminous</v>
      </c>
      <c r="H48" s="411"/>
      <c r="I48" s="902" t="s">
        <v>598</v>
      </c>
      <c r="J48" s="491" t="str">
        <f t="shared" ref="J48:J53" si="1">PROPER(J122)</f>
        <v>Circular Pipe</v>
      </c>
      <c r="K48" s="411"/>
      <c r="L48" s="407"/>
      <c r="M48" s="407"/>
      <c r="N48" s="407"/>
      <c r="O48" s="407"/>
      <c r="P48" s="407"/>
      <c r="Q48" s="407"/>
      <c r="R48" s="407"/>
      <c r="S48" s="407"/>
      <c r="T48" s="407"/>
    </row>
    <row r="49" spans="1:20" ht="12.75" customHeight="1" x14ac:dyDescent="0.2">
      <c r="A49" s="482"/>
      <c r="B49" s="411"/>
      <c r="C49" s="896" t="s">
        <v>588</v>
      </c>
      <c r="D49" s="1443" t="str">
        <f>PROPER(J111)</f>
        <v>Reinforced Concrete Horizontal Elliptical Pipe</v>
      </c>
      <c r="E49" s="1444"/>
      <c r="F49" s="896" t="s">
        <v>593</v>
      </c>
      <c r="G49" s="491" t="str">
        <f t="shared" si="0"/>
        <v>Corrugation</v>
      </c>
      <c r="H49" s="411"/>
      <c r="I49" s="902" t="s">
        <v>599</v>
      </c>
      <c r="J49" s="491" t="str">
        <f t="shared" si="1"/>
        <v>Deformed Pipe</v>
      </c>
      <c r="K49" s="411"/>
      <c r="L49" s="407"/>
      <c r="M49" s="407"/>
      <c r="N49" s="407"/>
      <c r="O49" s="407"/>
      <c r="P49" s="407"/>
      <c r="Q49" s="407"/>
      <c r="R49" s="407"/>
      <c r="S49" s="407"/>
      <c r="T49" s="407"/>
    </row>
    <row r="50" spans="1:20" ht="12.75" customHeight="1" x14ac:dyDescent="0.2">
      <c r="A50" s="482"/>
      <c r="B50" s="411"/>
      <c r="C50" s="430"/>
      <c r="D50" s="1444"/>
      <c r="E50" s="1444"/>
      <c r="F50" s="896" t="s">
        <v>594</v>
      </c>
      <c r="G50" s="491" t="str">
        <f t="shared" si="0"/>
        <v>Bituminous Paved Invert</v>
      </c>
      <c r="H50" s="411"/>
      <c r="I50" s="902" t="s">
        <v>600</v>
      </c>
      <c r="J50" s="491" t="str">
        <f t="shared" si="1"/>
        <v>Smooth Pipe Material</v>
      </c>
      <c r="K50" s="411"/>
      <c r="L50" s="407"/>
      <c r="M50" s="407"/>
      <c r="N50" s="407"/>
      <c r="O50" s="407"/>
      <c r="P50" s="407"/>
      <c r="Q50" s="407"/>
      <c r="R50" s="407"/>
      <c r="S50" s="407"/>
      <c r="T50" s="407"/>
    </row>
    <row r="51" spans="1:20" ht="12.75" customHeight="1" x14ac:dyDescent="0.2">
      <c r="A51" s="482"/>
      <c r="B51" s="411"/>
      <c r="C51" s="896" t="s">
        <v>589</v>
      </c>
      <c r="D51" s="491" t="str">
        <f>PROPER(J113)</f>
        <v>Polyethylene</v>
      </c>
      <c r="E51" s="949"/>
      <c r="F51" s="902" t="s">
        <v>595</v>
      </c>
      <c r="G51" s="491" t="str">
        <f t="shared" si="0"/>
        <v>Aluminum</v>
      </c>
      <c r="H51" s="411"/>
      <c r="I51" s="902" t="s">
        <v>601</v>
      </c>
      <c r="J51" s="491" t="str">
        <f t="shared" si="1"/>
        <v>Corrugated Pipe Material</v>
      </c>
      <c r="K51" s="411"/>
      <c r="L51" s="407"/>
      <c r="M51" s="407"/>
      <c r="N51" s="407"/>
      <c r="O51" s="407"/>
      <c r="P51" s="407"/>
      <c r="Q51" s="407"/>
      <c r="R51" s="407"/>
      <c r="S51" s="407"/>
      <c r="T51" s="407"/>
    </row>
    <row r="52" spans="1:20" ht="12.75" customHeight="1" x14ac:dyDescent="0.2">
      <c r="A52" s="482"/>
      <c r="B52" s="411"/>
      <c r="C52" s="896" t="s">
        <v>590</v>
      </c>
      <c r="D52" s="491" t="str">
        <f>PROPER(J114)</f>
        <v>Dimension Ratio</v>
      </c>
      <c r="E52" s="949"/>
      <c r="F52" s="902" t="s">
        <v>596</v>
      </c>
      <c r="G52" s="491" t="str">
        <f t="shared" si="0"/>
        <v>Structural</v>
      </c>
      <c r="H52" s="411"/>
      <c r="I52" s="902" t="s">
        <v>602</v>
      </c>
      <c r="J52" s="491" t="str">
        <f t="shared" si="1"/>
        <v>Acceptable For Use</v>
      </c>
      <c r="K52" s="411"/>
      <c r="L52" s="407"/>
      <c r="M52" s="407"/>
      <c r="N52" s="407"/>
      <c r="O52" s="407"/>
      <c r="P52" s="407"/>
      <c r="Q52" s="407"/>
      <c r="R52" s="407"/>
      <c r="S52" s="407"/>
      <c r="T52" s="407"/>
    </row>
    <row r="53" spans="1:20" ht="12.75" customHeight="1" x14ac:dyDescent="0.2">
      <c r="A53" s="482"/>
      <c r="B53" s="411"/>
      <c r="C53" s="896" t="s">
        <v>591</v>
      </c>
      <c r="D53" s="491" t="str">
        <f>PROPER(J115)</f>
        <v>Polyvinyl Chloride</v>
      </c>
      <c r="E53" s="949"/>
      <c r="F53" s="902" t="s">
        <v>597</v>
      </c>
      <c r="G53" s="491" t="str">
        <f t="shared" si="0"/>
        <v>Concrete Field Paving</v>
      </c>
      <c r="H53" s="411"/>
      <c r="I53" s="902" t="s">
        <v>603</v>
      </c>
      <c r="J53" s="491" t="str">
        <f t="shared" si="1"/>
        <v>Lock Seam Pipe Required</v>
      </c>
      <c r="K53" s="411"/>
      <c r="L53" s="407"/>
      <c r="M53" s="407"/>
      <c r="N53" s="407"/>
      <c r="O53" s="407"/>
      <c r="P53" s="407"/>
      <c r="Q53" s="407"/>
      <c r="R53" s="407"/>
      <c r="S53" s="407"/>
      <c r="T53" s="407"/>
    </row>
    <row r="54" spans="1:20" ht="12.75" customHeight="1" x14ac:dyDescent="0.2">
      <c r="A54" s="482"/>
      <c r="B54" s="411"/>
      <c r="C54" s="407" t="s">
        <v>58</v>
      </c>
      <c r="D54" s="407"/>
      <c r="E54" s="949"/>
      <c r="F54" s="878"/>
      <c r="G54" s="411"/>
      <c r="H54" s="411"/>
      <c r="I54" s="653"/>
      <c r="J54" s="411"/>
      <c r="K54" s="411"/>
      <c r="L54" s="407"/>
      <c r="M54" s="407"/>
      <c r="N54" s="407"/>
      <c r="O54" s="407"/>
      <c r="P54" s="407"/>
      <c r="Q54" s="407"/>
      <c r="R54" s="407"/>
      <c r="S54" s="407"/>
      <c r="T54" s="407"/>
    </row>
    <row r="55" spans="1:20" ht="12.75" customHeight="1" x14ac:dyDescent="0.2">
      <c r="A55" s="482"/>
      <c r="B55" s="411"/>
      <c r="C55" s="491" t="str">
        <f>"  * "&amp;PROPER(J128)</f>
        <v xml:space="preserve">  * Refer To Standard Drawing 715-Phcl-18 Or 19 For Nominal Diameter Appropriate For Pay Item Diameter.</v>
      </c>
      <c r="D55" s="407"/>
      <c r="E55" s="949"/>
      <c r="F55" s="878"/>
      <c r="G55" s="411"/>
      <c r="H55" s="411"/>
      <c r="I55" s="653"/>
      <c r="J55" s="411"/>
      <c r="K55" s="411"/>
      <c r="L55" s="407"/>
      <c r="M55" s="407"/>
      <c r="N55" s="407"/>
      <c r="O55" s="407"/>
      <c r="P55" s="407"/>
      <c r="Q55" s="407"/>
      <c r="R55" s="407"/>
      <c r="S55" s="407"/>
      <c r="T55" s="407"/>
    </row>
    <row r="56" spans="1:20" ht="12.75" customHeight="1" x14ac:dyDescent="0.2">
      <c r="A56" s="482"/>
      <c r="B56" s="411"/>
      <c r="C56" s="950" t="str">
        <f>"** "&amp;PROPER(J131)</f>
        <v>** Tabulated Thickness Refers To Top &amp; Side Plates.  Bottom Plates Shall Be Of Next Greater Available Thickness.</v>
      </c>
      <c r="D56" s="407"/>
      <c r="E56" s="949"/>
      <c r="F56" s="878"/>
      <c r="G56" s="411"/>
      <c r="H56" s="411"/>
      <c r="I56" s="653"/>
      <c r="J56" s="411"/>
      <c r="K56" s="411"/>
      <c r="L56" s="407"/>
      <c r="M56" s="407"/>
      <c r="N56" s="407"/>
      <c r="O56" s="407"/>
      <c r="P56" s="407"/>
      <c r="Q56" s="407"/>
      <c r="R56" s="407"/>
      <c r="S56" s="407"/>
      <c r="T56" s="407"/>
    </row>
    <row r="57" spans="1:20" ht="6.75" customHeight="1" x14ac:dyDescent="0.2">
      <c r="A57" s="482"/>
      <c r="B57" s="411"/>
      <c r="E57" s="949"/>
      <c r="F57" s="878"/>
      <c r="G57" s="411"/>
      <c r="H57" s="411"/>
      <c r="I57" s="653"/>
      <c r="J57" s="411"/>
      <c r="K57" s="411"/>
      <c r="L57" s="407"/>
      <c r="M57" s="407"/>
      <c r="N57" s="407"/>
      <c r="O57" s="407"/>
      <c r="P57" s="407"/>
      <c r="Q57" s="407"/>
      <c r="R57" s="407"/>
      <c r="S57" s="407"/>
      <c r="T57" s="407"/>
    </row>
    <row r="58" spans="1:20" ht="12.75" customHeight="1" x14ac:dyDescent="0.2">
      <c r="A58" s="482"/>
      <c r="B58" s="411"/>
      <c r="E58" s="949"/>
      <c r="F58" s="878"/>
      <c r="G58" s="411"/>
      <c r="H58" s="411"/>
      <c r="I58" s="653"/>
      <c r="J58" s="411"/>
      <c r="K58" s="411"/>
      <c r="L58" s="407"/>
      <c r="M58" s="407"/>
      <c r="N58" s="407"/>
      <c r="O58" s="407"/>
      <c r="P58" s="407"/>
      <c r="Q58" s="407"/>
      <c r="R58" s="407"/>
      <c r="S58" s="407"/>
      <c r="T58" s="407"/>
    </row>
    <row r="59" spans="1:20" ht="12.75" customHeight="1" x14ac:dyDescent="0.2">
      <c r="A59" s="482"/>
      <c r="B59" s="411"/>
      <c r="E59" s="949"/>
      <c r="F59" s="878"/>
      <c r="G59" s="411"/>
      <c r="H59" s="411"/>
      <c r="I59" s="653"/>
      <c r="J59" s="411"/>
      <c r="K59" s="411"/>
      <c r="L59" s="407"/>
      <c r="M59" s="407"/>
      <c r="N59" s="407"/>
      <c r="O59" s="407"/>
      <c r="P59" s="407"/>
      <c r="Q59" s="407"/>
      <c r="R59" s="407"/>
      <c r="S59" s="407"/>
      <c r="T59" s="407"/>
    </row>
    <row r="60" spans="1:20" ht="12.75" customHeight="1" x14ac:dyDescent="0.2">
      <c r="A60" s="482"/>
      <c r="B60" s="411"/>
      <c r="E60" s="949"/>
      <c r="F60" s="878"/>
      <c r="G60" s="411"/>
      <c r="H60" s="411"/>
      <c r="I60" s="653"/>
      <c r="J60" s="411"/>
      <c r="K60" s="411"/>
      <c r="L60" s="407"/>
      <c r="M60" s="407"/>
      <c r="N60" s="407"/>
      <c r="O60" s="407"/>
      <c r="P60" s="407"/>
      <c r="Q60" s="407"/>
      <c r="R60" s="407"/>
      <c r="S60" s="407"/>
      <c r="T60" s="407"/>
    </row>
    <row r="61" spans="1:20" ht="12.75" customHeight="1" x14ac:dyDescent="0.2">
      <c r="A61" s="482"/>
      <c r="B61" s="411"/>
      <c r="E61" s="949"/>
      <c r="F61" s="878"/>
      <c r="G61" s="411"/>
      <c r="H61" s="411"/>
      <c r="I61" s="653"/>
      <c r="J61" s="411"/>
      <c r="K61" s="411"/>
      <c r="L61" s="407"/>
      <c r="M61" s="407"/>
      <c r="N61" s="407"/>
      <c r="O61" s="407"/>
      <c r="P61" s="407"/>
      <c r="Q61" s="407"/>
      <c r="R61" s="407"/>
      <c r="S61" s="407"/>
      <c r="T61" s="407"/>
    </row>
    <row r="62" spans="1:20" ht="12.75" customHeight="1" x14ac:dyDescent="0.2">
      <c r="A62" s="482"/>
      <c r="B62" s="411"/>
      <c r="E62" s="949"/>
      <c r="F62" s="878"/>
      <c r="G62" s="411"/>
      <c r="H62" s="411"/>
      <c r="I62" s="653"/>
      <c r="J62" s="411"/>
      <c r="K62" s="411"/>
      <c r="L62" s="407"/>
      <c r="M62" s="407"/>
      <c r="N62" s="407"/>
      <c r="O62" s="407"/>
      <c r="P62" s="407"/>
      <c r="Q62" s="407"/>
      <c r="R62" s="407"/>
      <c r="S62" s="407"/>
      <c r="T62" s="407"/>
    </row>
    <row r="63" spans="1:20" ht="12.75" customHeight="1" x14ac:dyDescent="0.2">
      <c r="A63" s="482"/>
      <c r="B63" s="411"/>
      <c r="E63" s="949"/>
      <c r="F63" s="878"/>
      <c r="G63" s="411"/>
      <c r="H63" s="411"/>
      <c r="I63" s="653"/>
      <c r="J63" s="411"/>
      <c r="K63" s="411"/>
      <c r="L63" s="407"/>
      <c r="M63" s="407"/>
      <c r="N63" s="407"/>
      <c r="O63" s="407"/>
      <c r="P63" s="407"/>
      <c r="Q63" s="407"/>
      <c r="R63" s="407"/>
      <c r="S63" s="407"/>
      <c r="T63" s="407"/>
    </row>
    <row r="64" spans="1:20" ht="12.75" customHeight="1" x14ac:dyDescent="0.2">
      <c r="A64" s="482"/>
      <c r="B64" s="411"/>
      <c r="E64" s="949"/>
      <c r="F64" s="878"/>
      <c r="G64" s="411"/>
      <c r="H64" s="411"/>
      <c r="I64" s="653"/>
      <c r="J64" s="411"/>
      <c r="K64" s="411"/>
      <c r="L64" s="407"/>
      <c r="M64" s="407"/>
      <c r="N64" s="407"/>
      <c r="O64" s="407"/>
      <c r="P64" s="407"/>
      <c r="Q64" s="407"/>
      <c r="R64" s="407"/>
      <c r="S64" s="407"/>
      <c r="T64" s="407"/>
    </row>
    <row r="65" spans="1:20" ht="12.75" customHeight="1" x14ac:dyDescent="0.2">
      <c r="A65" s="482"/>
      <c r="B65" s="411"/>
      <c r="E65" s="949"/>
      <c r="F65" s="878"/>
      <c r="G65" s="411"/>
      <c r="H65" s="411"/>
      <c r="I65" s="653"/>
      <c r="J65" s="411"/>
      <c r="K65" s="411"/>
      <c r="L65" s="407"/>
      <c r="M65" s="407"/>
      <c r="N65" s="407"/>
      <c r="O65" s="407"/>
      <c r="P65" s="407"/>
      <c r="Q65" s="407"/>
      <c r="R65" s="407"/>
      <c r="S65" s="407"/>
      <c r="T65" s="407"/>
    </row>
    <row r="66" spans="1:20" ht="12.75" customHeight="1" x14ac:dyDescent="0.2">
      <c r="A66" s="482"/>
      <c r="B66" s="411"/>
      <c r="C66" s="902"/>
      <c r="E66" s="949"/>
      <c r="F66" s="878"/>
      <c r="G66" s="411"/>
      <c r="H66" s="411"/>
      <c r="I66" s="653"/>
      <c r="J66" s="411"/>
      <c r="K66" s="411"/>
      <c r="L66" s="407"/>
      <c r="M66" s="407"/>
      <c r="N66" s="407"/>
      <c r="O66" s="407"/>
      <c r="P66" s="407"/>
      <c r="Q66" s="407"/>
      <c r="R66" s="407"/>
      <c r="S66" s="407"/>
      <c r="T66" s="407"/>
    </row>
    <row r="67" spans="1:20" ht="12.75" customHeight="1" x14ac:dyDescent="0.2">
      <c r="A67" s="482"/>
      <c r="B67" s="411"/>
      <c r="C67" s="430"/>
      <c r="D67" s="424"/>
      <c r="E67" s="949"/>
      <c r="F67" s="878"/>
      <c r="G67" s="411"/>
      <c r="H67" s="411"/>
      <c r="I67" s="653"/>
      <c r="J67" s="411"/>
      <c r="K67" s="411"/>
      <c r="L67" s="407"/>
      <c r="M67" s="407"/>
      <c r="N67" s="407"/>
      <c r="O67" s="407"/>
      <c r="P67" s="407"/>
      <c r="Q67" s="407"/>
      <c r="R67" s="407"/>
      <c r="S67" s="407"/>
      <c r="T67" s="407"/>
    </row>
    <row r="68" spans="1:20" ht="12.75" customHeight="1" x14ac:dyDescent="0.2">
      <c r="A68" s="482"/>
      <c r="B68" s="411"/>
      <c r="C68" s="902"/>
      <c r="D68" s="424"/>
      <c r="E68" s="949"/>
      <c r="F68" s="878"/>
      <c r="G68" s="411"/>
      <c r="H68" s="411"/>
      <c r="I68" s="653"/>
      <c r="J68" s="411"/>
      <c r="K68" s="411"/>
      <c r="L68" s="407"/>
      <c r="M68" s="407"/>
      <c r="N68" s="407"/>
      <c r="O68" s="407"/>
      <c r="P68" s="407"/>
      <c r="Q68" s="407"/>
      <c r="R68" s="407"/>
      <c r="S68" s="407"/>
      <c r="T68" s="407"/>
    </row>
    <row r="69" spans="1:20" ht="12.75" customHeight="1" x14ac:dyDescent="0.2">
      <c r="A69" s="482"/>
      <c r="B69" s="411"/>
      <c r="C69" s="902"/>
      <c r="D69" s="424"/>
      <c r="E69" s="949"/>
      <c r="F69" s="878"/>
      <c r="G69" s="411"/>
      <c r="H69" s="411"/>
      <c r="I69" s="653"/>
      <c r="J69" s="411"/>
      <c r="K69" s="411"/>
      <c r="L69" s="407"/>
      <c r="M69" s="407"/>
      <c r="N69" s="407"/>
      <c r="O69" s="407"/>
      <c r="P69" s="407"/>
      <c r="Q69" s="407"/>
      <c r="R69" s="407"/>
      <c r="S69" s="407"/>
      <c r="T69" s="407"/>
    </row>
    <row r="70" spans="1:20" ht="12.75" customHeight="1" x14ac:dyDescent="0.2">
      <c r="A70" s="482"/>
      <c r="B70" s="411"/>
      <c r="C70" s="902"/>
      <c r="E70" s="949"/>
      <c r="F70" s="878"/>
      <c r="G70" s="411"/>
      <c r="H70" s="411"/>
      <c r="I70" s="653"/>
      <c r="J70" s="411"/>
      <c r="K70" s="411"/>
      <c r="L70" s="407"/>
      <c r="M70" s="407"/>
      <c r="N70" s="407"/>
      <c r="O70" s="407"/>
      <c r="P70" s="407"/>
      <c r="Q70" s="407"/>
      <c r="R70" s="407"/>
      <c r="S70" s="407"/>
      <c r="T70" s="407"/>
    </row>
    <row r="71" spans="1:20" ht="12.75" customHeight="1" x14ac:dyDescent="0.2">
      <c r="A71" s="482"/>
      <c r="B71" s="411"/>
      <c r="C71" s="897"/>
      <c r="D71" s="897"/>
      <c r="E71" s="949"/>
      <c r="F71" s="878"/>
      <c r="G71" s="411"/>
      <c r="H71" s="411"/>
      <c r="I71" s="653"/>
      <c r="J71" s="411"/>
      <c r="K71" s="411"/>
      <c r="L71" s="407"/>
      <c r="M71" s="407"/>
      <c r="N71" s="407"/>
      <c r="O71" s="407"/>
      <c r="P71" s="407"/>
      <c r="Q71" s="407"/>
      <c r="R71" s="407"/>
      <c r="S71" s="407"/>
      <c r="T71" s="407"/>
    </row>
    <row r="72" spans="1:20" ht="12.75" customHeight="1" x14ac:dyDescent="0.2">
      <c r="A72" s="482"/>
      <c r="B72" s="411"/>
      <c r="C72" s="897"/>
      <c r="D72" s="897"/>
      <c r="E72" s="949"/>
      <c r="F72" s="878"/>
      <c r="G72" s="411"/>
      <c r="H72" s="411"/>
      <c r="I72" s="653"/>
      <c r="J72" s="411"/>
      <c r="K72" s="411"/>
      <c r="L72" s="407"/>
      <c r="M72" s="407"/>
      <c r="N72" s="407"/>
      <c r="O72" s="407"/>
      <c r="P72" s="407"/>
      <c r="Q72" s="407"/>
      <c r="R72" s="407"/>
      <c r="S72" s="407"/>
      <c r="T72" s="407"/>
    </row>
    <row r="73" spans="1:20" ht="12.75" customHeight="1" x14ac:dyDescent="0.2">
      <c r="A73" s="482"/>
      <c r="B73" s="411"/>
      <c r="C73" s="897"/>
      <c r="D73" s="897"/>
      <c r="E73" s="949"/>
      <c r="F73" s="878"/>
      <c r="G73" s="411"/>
      <c r="H73" s="411"/>
      <c r="I73" s="653"/>
      <c r="J73" s="411"/>
      <c r="K73" s="411"/>
      <c r="L73" s="407"/>
      <c r="M73" s="407"/>
      <c r="N73" s="407"/>
      <c r="O73" s="407"/>
      <c r="P73" s="407"/>
      <c r="Q73" s="407"/>
      <c r="R73" s="407"/>
      <c r="S73" s="407"/>
      <c r="T73" s="407"/>
    </row>
    <row r="74" spans="1:20" ht="12.75" customHeight="1" x14ac:dyDescent="0.2">
      <c r="A74" s="482"/>
      <c r="B74" s="411"/>
      <c r="C74" s="897"/>
      <c r="D74" s="897"/>
      <c r="E74" s="949"/>
      <c r="F74" s="878"/>
      <c r="G74" s="411"/>
      <c r="H74" s="411"/>
      <c r="I74" s="653"/>
      <c r="J74" s="411"/>
      <c r="K74" s="411"/>
      <c r="L74" s="407"/>
      <c r="M74" s="407"/>
      <c r="N74" s="407"/>
      <c r="O74" s="407"/>
      <c r="P74" s="407"/>
      <c r="Q74" s="407"/>
      <c r="R74" s="407"/>
      <c r="S74" s="407"/>
      <c r="T74" s="407"/>
    </row>
    <row r="75" spans="1:20" ht="12.75" customHeight="1" x14ac:dyDescent="0.2">
      <c r="A75" s="482"/>
      <c r="B75" s="411"/>
      <c r="C75" s="897"/>
      <c r="D75" s="897"/>
      <c r="E75" s="949"/>
      <c r="F75" s="878"/>
      <c r="G75" s="411"/>
      <c r="H75" s="411"/>
      <c r="I75" s="653"/>
      <c r="J75" s="411"/>
      <c r="K75" s="411"/>
      <c r="L75" s="407"/>
      <c r="M75" s="407"/>
      <c r="N75" s="407"/>
      <c r="O75" s="407"/>
      <c r="P75" s="407"/>
      <c r="Q75" s="407"/>
      <c r="R75" s="407"/>
      <c r="S75" s="407"/>
      <c r="T75" s="407"/>
    </row>
    <row r="76" spans="1:20" ht="12.75" customHeight="1" x14ac:dyDescent="0.2">
      <c r="A76" s="482"/>
      <c r="B76" s="411"/>
      <c r="C76" s="897"/>
      <c r="D76" s="897"/>
      <c r="E76" s="949"/>
      <c r="F76" s="878"/>
      <c r="G76" s="411"/>
      <c r="H76" s="411"/>
      <c r="I76" s="653"/>
      <c r="J76" s="411"/>
      <c r="K76" s="411"/>
      <c r="L76" s="407"/>
      <c r="M76" s="407"/>
      <c r="N76" s="407"/>
      <c r="O76" s="407"/>
      <c r="P76" s="407"/>
      <c r="Q76" s="407"/>
      <c r="R76" s="407"/>
      <c r="S76" s="407"/>
      <c r="T76" s="407"/>
    </row>
    <row r="77" spans="1:20" ht="12.75" customHeight="1" x14ac:dyDescent="0.2">
      <c r="A77" s="482"/>
      <c r="B77" s="411"/>
      <c r="C77" s="897"/>
      <c r="D77" s="897"/>
      <c r="E77" s="949"/>
      <c r="F77" s="878"/>
      <c r="G77" s="411"/>
      <c r="H77" s="411"/>
      <c r="I77" s="653"/>
      <c r="J77" s="411"/>
      <c r="K77" s="411"/>
      <c r="L77" s="407"/>
      <c r="M77" s="407"/>
      <c r="N77" s="407"/>
      <c r="O77" s="407"/>
      <c r="P77" s="407"/>
      <c r="Q77" s="407"/>
      <c r="R77" s="407"/>
      <c r="S77" s="407"/>
      <c r="T77" s="407"/>
    </row>
    <row r="78" spans="1:20" ht="12.75" customHeight="1" x14ac:dyDescent="0.2">
      <c r="A78" s="482"/>
      <c r="B78" s="411"/>
      <c r="C78" s="897"/>
      <c r="D78" s="897"/>
      <c r="E78" s="949"/>
      <c r="F78" s="878"/>
      <c r="G78" s="411"/>
      <c r="H78" s="411"/>
      <c r="I78" s="653"/>
      <c r="J78" s="411"/>
      <c r="K78" s="411"/>
      <c r="L78" s="407"/>
      <c r="M78" s="407"/>
      <c r="N78" s="407"/>
      <c r="O78" s="407"/>
      <c r="P78" s="407"/>
      <c r="Q78" s="407"/>
      <c r="R78" s="407"/>
      <c r="S78" s="407"/>
      <c r="T78" s="407"/>
    </row>
    <row r="79" spans="1:20" ht="12.75" customHeight="1" x14ac:dyDescent="0.2">
      <c r="A79" s="482"/>
      <c r="B79" s="411"/>
      <c r="C79" s="897"/>
      <c r="D79" s="897"/>
      <c r="E79" s="949"/>
      <c r="F79" s="878"/>
      <c r="G79" s="411"/>
      <c r="H79" s="411"/>
      <c r="I79" s="653"/>
      <c r="J79" s="411"/>
      <c r="K79" s="411"/>
      <c r="L79" s="407"/>
      <c r="M79" s="407"/>
      <c r="N79" s="407"/>
      <c r="O79" s="407"/>
      <c r="P79" s="407"/>
      <c r="Q79" s="407"/>
      <c r="R79" s="407"/>
      <c r="S79" s="407"/>
      <c r="T79" s="407"/>
    </row>
    <row r="80" spans="1:20" ht="12.75" customHeight="1" x14ac:dyDescent="0.2">
      <c r="A80" s="482"/>
      <c r="B80" s="411"/>
      <c r="C80" s="897"/>
      <c r="D80" s="897"/>
      <c r="E80" s="949"/>
      <c r="F80" s="878"/>
      <c r="G80" s="411"/>
      <c r="H80" s="411"/>
      <c r="I80" s="653"/>
      <c r="J80" s="411"/>
      <c r="K80" s="411"/>
      <c r="L80" s="407"/>
      <c r="M80" s="407"/>
      <c r="N80" s="407"/>
      <c r="O80" s="407"/>
      <c r="P80" s="407"/>
      <c r="Q80" s="407"/>
      <c r="R80" s="407"/>
      <c r="S80" s="407"/>
      <c r="T80" s="407"/>
    </row>
    <row r="81" spans="1:90" ht="12.75" customHeight="1" x14ac:dyDescent="0.2">
      <c r="A81" s="482"/>
      <c r="B81" s="411"/>
      <c r="C81" s="897"/>
      <c r="D81" s="897"/>
      <c r="E81" s="949"/>
      <c r="F81" s="878"/>
      <c r="G81" s="411"/>
      <c r="H81" s="411"/>
      <c r="I81" s="653"/>
      <c r="J81" s="411"/>
      <c r="K81" s="411"/>
      <c r="L81" s="407"/>
      <c r="M81" s="407"/>
      <c r="N81" s="407"/>
      <c r="O81" s="407"/>
      <c r="P81" s="407"/>
      <c r="Q81" s="407"/>
      <c r="R81" s="407"/>
      <c r="S81" s="407"/>
      <c r="T81" s="407"/>
    </row>
    <row r="82" spans="1:90" ht="12.75" customHeight="1" x14ac:dyDescent="0.2">
      <c r="A82" s="482"/>
      <c r="B82" s="411"/>
      <c r="C82" s="897"/>
      <c r="D82" s="897"/>
      <c r="E82" s="949"/>
      <c r="F82" s="878"/>
      <c r="G82" s="411"/>
      <c r="H82" s="411"/>
      <c r="I82" s="653"/>
      <c r="J82" s="411"/>
      <c r="K82" s="411"/>
      <c r="L82" s="407"/>
      <c r="M82" s="407"/>
      <c r="N82" s="407"/>
      <c r="O82" s="407"/>
      <c r="P82" s="407"/>
      <c r="Q82" s="407"/>
      <c r="R82" s="407"/>
      <c r="S82" s="407"/>
      <c r="T82" s="407"/>
    </row>
    <row r="83" spans="1:90" ht="12.75" customHeight="1" x14ac:dyDescent="0.2">
      <c r="A83" s="482"/>
      <c r="B83" s="411"/>
      <c r="C83" s="897"/>
      <c r="D83" s="897"/>
      <c r="E83" s="949"/>
      <c r="F83" s="878"/>
      <c r="G83" s="411"/>
      <c r="H83" s="411"/>
      <c r="I83" s="653"/>
      <c r="J83" s="411"/>
      <c r="K83" s="411"/>
      <c r="L83" s="407"/>
      <c r="M83" s="407"/>
      <c r="N83" s="407"/>
      <c r="O83" s="407"/>
      <c r="P83" s="407"/>
      <c r="Q83" s="407"/>
      <c r="R83" s="407"/>
      <c r="S83" s="407"/>
      <c r="T83" s="407"/>
    </row>
    <row r="84" spans="1:90" ht="12.75" customHeight="1" x14ac:dyDescent="0.2">
      <c r="A84" s="482"/>
      <c r="B84" s="411"/>
      <c r="C84" s="897"/>
      <c r="D84" s="897"/>
      <c r="E84" s="949"/>
      <c r="F84" s="878"/>
      <c r="G84" s="411"/>
      <c r="H84" s="411"/>
      <c r="I84" s="653"/>
      <c r="J84" s="411"/>
      <c r="K84" s="411"/>
      <c r="L84" s="407"/>
      <c r="M84" s="407"/>
      <c r="N84" s="407"/>
      <c r="O84" s="407"/>
      <c r="P84" s="407"/>
      <c r="Q84" s="407"/>
      <c r="R84" s="407"/>
      <c r="S84" s="407"/>
      <c r="T84" s="407"/>
    </row>
    <row r="85" spans="1:90" ht="12.75" customHeight="1" x14ac:dyDescent="0.2">
      <c r="A85" s="482"/>
      <c r="B85" s="411"/>
      <c r="C85" s="897"/>
      <c r="D85" s="897"/>
      <c r="E85" s="949"/>
      <c r="F85" s="878"/>
      <c r="G85" s="411"/>
      <c r="H85" s="411"/>
      <c r="I85" s="653"/>
      <c r="J85" s="411"/>
      <c r="K85" s="411"/>
      <c r="L85" s="407"/>
      <c r="M85" s="407"/>
      <c r="N85" s="407"/>
      <c r="O85" s="407"/>
      <c r="P85" s="407"/>
      <c r="Q85" s="407"/>
      <c r="R85" s="407"/>
      <c r="S85" s="407"/>
      <c r="T85" s="407"/>
    </row>
    <row r="86" spans="1:90" ht="12.75" customHeight="1" x14ac:dyDescent="0.2">
      <c r="A86" s="482"/>
      <c r="B86" s="411"/>
      <c r="C86" s="897"/>
      <c r="D86" s="897"/>
      <c r="E86" s="949"/>
      <c r="F86" s="878"/>
      <c r="G86" s="411"/>
      <c r="H86" s="411"/>
      <c r="I86" s="653"/>
      <c r="J86" s="411"/>
      <c r="K86" s="411"/>
      <c r="L86" s="407"/>
      <c r="M86" s="407"/>
      <c r="N86" s="407"/>
      <c r="O86" s="407"/>
      <c r="P86" s="407"/>
      <c r="Q86" s="407"/>
      <c r="R86" s="407"/>
      <c r="S86" s="407"/>
      <c r="T86" s="407"/>
    </row>
    <row r="87" spans="1:90" ht="12.75" customHeight="1" x14ac:dyDescent="0.2">
      <c r="A87" s="482"/>
      <c r="B87" s="411"/>
      <c r="C87" s="411"/>
      <c r="D87" s="411"/>
      <c r="E87" s="411"/>
      <c r="F87" s="411"/>
      <c r="G87" s="411"/>
      <c r="H87" s="411"/>
      <c r="I87" s="411"/>
      <c r="J87" s="411"/>
      <c r="K87" s="411"/>
      <c r="L87" s="407"/>
      <c r="M87" s="407"/>
      <c r="N87" s="407"/>
      <c r="O87" s="407"/>
      <c r="P87" s="407"/>
      <c r="Q87" s="407"/>
      <c r="R87" s="407"/>
      <c r="S87" s="407"/>
      <c r="T87" s="407"/>
    </row>
    <row r="88" spans="1:90" x14ac:dyDescent="0.2">
      <c r="A88" s="407"/>
      <c r="B88" s="653"/>
      <c r="C88" s="407"/>
      <c r="D88" s="407"/>
      <c r="E88" s="407"/>
      <c r="F88" s="407"/>
      <c r="G88" s="407"/>
      <c r="H88" s="407"/>
      <c r="I88" s="411"/>
      <c r="J88" s="411"/>
      <c r="K88" s="407"/>
      <c r="L88" s="407"/>
      <c r="M88" s="407"/>
      <c r="N88" s="407"/>
      <c r="O88" s="407"/>
      <c r="P88" s="407"/>
      <c r="Q88" s="407"/>
      <c r="R88" s="407"/>
      <c r="S88" s="407"/>
      <c r="T88" s="407"/>
    </row>
    <row r="89" spans="1:90" x14ac:dyDescent="0.2">
      <c r="A89" s="407"/>
      <c r="B89" s="653"/>
      <c r="C89" s="407"/>
      <c r="D89" s="407"/>
      <c r="E89" s="407"/>
      <c r="F89" s="407"/>
      <c r="G89" s="407"/>
      <c r="H89" s="407"/>
      <c r="I89" s="407"/>
      <c r="J89" s="407"/>
      <c r="K89" s="407"/>
      <c r="L89" s="407"/>
      <c r="M89" s="407"/>
      <c r="N89" s="407"/>
      <c r="O89" s="407"/>
      <c r="P89" s="407"/>
      <c r="Q89" s="407"/>
      <c r="R89" s="407"/>
      <c r="S89" s="407"/>
      <c r="T89" s="407"/>
    </row>
    <row r="90" spans="1:90" x14ac:dyDescent="0.2">
      <c r="A90" s="407"/>
      <c r="B90" s="653"/>
      <c r="C90" s="407"/>
      <c r="D90" s="407"/>
      <c r="E90" s="407"/>
      <c r="F90" s="407"/>
      <c r="G90" s="407"/>
      <c r="H90" s="407"/>
      <c r="I90" s="407"/>
      <c r="J90" s="407"/>
      <c r="K90" s="407"/>
      <c r="L90" s="407"/>
      <c r="M90" s="407"/>
      <c r="N90" s="407"/>
      <c r="O90" s="407"/>
      <c r="P90" s="407"/>
      <c r="Q90" s="407"/>
      <c r="R90" s="407"/>
      <c r="S90" s="407"/>
      <c r="T90" s="407"/>
    </row>
    <row r="91" spans="1:90" x14ac:dyDescent="0.2">
      <c r="A91" s="407"/>
      <c r="B91" s="653"/>
      <c r="C91" s="407"/>
      <c r="D91" s="407"/>
      <c r="E91" s="407"/>
      <c r="F91" s="407"/>
      <c r="G91" s="407"/>
      <c r="H91" s="407"/>
      <c r="I91" s="407"/>
      <c r="J91" s="407"/>
      <c r="K91" s="407"/>
      <c r="L91" s="407"/>
      <c r="M91" s="407"/>
      <c r="N91" s="407"/>
      <c r="O91" s="407"/>
      <c r="P91" s="407"/>
      <c r="Q91" s="407"/>
      <c r="R91" s="407"/>
      <c r="S91" s="407"/>
      <c r="T91" s="407"/>
    </row>
    <row r="92" spans="1:90" x14ac:dyDescent="0.2">
      <c r="A92" s="407"/>
      <c r="B92" s="653"/>
      <c r="C92" s="407"/>
      <c r="D92" s="407"/>
      <c r="E92" s="407"/>
      <c r="F92" s="407"/>
      <c r="G92" s="407"/>
      <c r="H92" s="407"/>
      <c r="I92" s="407"/>
      <c r="J92" s="407"/>
      <c r="K92" s="407"/>
      <c r="L92" s="407"/>
      <c r="M92" s="407"/>
      <c r="N92" s="407"/>
      <c r="O92" s="407"/>
      <c r="P92" s="407"/>
      <c r="Q92" s="407"/>
      <c r="R92" s="407"/>
      <c r="S92" s="407"/>
      <c r="T92" s="407"/>
    </row>
    <row r="93" spans="1:90" ht="7.5" customHeight="1" thickBot="1" x14ac:dyDescent="0.25">
      <c r="A93" s="482"/>
      <c r="B93" s="411"/>
      <c r="C93" s="482"/>
      <c r="D93" s="482"/>
      <c r="E93" s="482"/>
      <c r="F93" s="482"/>
      <c r="G93" s="482"/>
      <c r="H93" s="407"/>
      <c r="I93" s="407"/>
      <c r="J93" s="407"/>
      <c r="K93" s="407"/>
      <c r="L93" s="407"/>
      <c r="M93" s="407"/>
      <c r="N93" s="407"/>
      <c r="O93" s="407"/>
      <c r="P93" s="407"/>
      <c r="Q93" s="407"/>
      <c r="R93" s="407"/>
      <c r="S93" s="407"/>
      <c r="T93" s="407"/>
    </row>
    <row r="94" spans="1:90" ht="32.25" customHeight="1" thickBot="1" x14ac:dyDescent="0.25">
      <c r="A94" s="411"/>
      <c r="B94" s="1449" t="s">
        <v>606</v>
      </c>
      <c r="C94" s="1450"/>
      <c r="D94" s="1450"/>
      <c r="E94" s="1450"/>
      <c r="F94" s="1450"/>
      <c r="G94" s="1451"/>
      <c r="H94" s="455"/>
      <c r="I94" s="455"/>
      <c r="J94" s="455"/>
      <c r="K94" s="407"/>
      <c r="L94" s="407"/>
      <c r="M94" s="407"/>
      <c r="N94" s="407"/>
      <c r="O94" s="407"/>
      <c r="P94" s="407"/>
      <c r="Q94" s="407"/>
      <c r="R94" s="407"/>
      <c r="S94" s="407"/>
      <c r="T94" s="407"/>
    </row>
    <row r="95" spans="1:90" s="868" customFormat="1" ht="15" customHeight="1" x14ac:dyDescent="0.2">
      <c r="A95" s="411"/>
      <c r="B95" s="909"/>
      <c r="C95" s="910"/>
      <c r="D95" s="910"/>
      <c r="E95" s="911"/>
      <c r="F95" s="1452" t="s">
        <v>607</v>
      </c>
      <c r="G95" s="1453"/>
      <c r="H95" s="912"/>
      <c r="I95" s="455"/>
      <c r="J95" s="455"/>
      <c r="K95" s="653"/>
      <c r="L95" s="653"/>
      <c r="M95" s="653"/>
      <c r="N95" s="653"/>
      <c r="O95" s="653"/>
      <c r="P95" s="653"/>
      <c r="Q95" s="653"/>
      <c r="R95" s="653"/>
      <c r="S95" s="653"/>
      <c r="T95" s="653"/>
    </row>
    <row r="96" spans="1:90" ht="15" customHeight="1" thickBot="1" x14ac:dyDescent="0.25">
      <c r="A96" s="482"/>
      <c r="B96" s="913"/>
      <c r="C96" s="914"/>
      <c r="D96" s="914"/>
      <c r="E96" s="915"/>
      <c r="F96" s="916">
        <v>11</v>
      </c>
      <c r="G96" s="917">
        <v>12</v>
      </c>
      <c r="H96" s="912"/>
      <c r="I96" s="912"/>
      <c r="J96" s="918"/>
      <c r="K96" s="870"/>
      <c r="L96" s="870"/>
      <c r="M96" s="870"/>
      <c r="N96" s="653"/>
      <c r="O96" s="407"/>
      <c r="P96" s="407"/>
      <c r="Q96" s="407"/>
      <c r="R96" s="407"/>
      <c r="S96" s="407"/>
      <c r="T96" s="407"/>
      <c r="AS96" s="868"/>
      <c r="AT96" s="868"/>
      <c r="AU96" s="868"/>
      <c r="AV96" s="868"/>
      <c r="AW96" s="868"/>
      <c r="AX96" s="868"/>
      <c r="AY96" s="868"/>
      <c r="AZ96" s="868"/>
      <c r="BA96" s="868"/>
      <c r="BB96" s="868"/>
      <c r="BC96" s="868"/>
      <c r="BD96" s="868"/>
      <c r="BE96" s="868"/>
      <c r="BF96" s="868"/>
      <c r="BG96" s="868"/>
      <c r="BH96" s="868"/>
      <c r="BI96" s="868"/>
      <c r="BJ96" s="868"/>
      <c r="BK96" s="868"/>
      <c r="BL96" s="868"/>
      <c r="BM96" s="868"/>
      <c r="BN96" s="868"/>
      <c r="BO96" s="868"/>
      <c r="BP96" s="868"/>
      <c r="BQ96" s="868"/>
      <c r="BR96" s="868"/>
      <c r="BS96" s="868"/>
      <c r="BT96" s="868"/>
      <c r="BU96" s="868"/>
      <c r="BV96" s="868"/>
      <c r="BW96" s="868"/>
      <c r="BX96" s="868"/>
      <c r="BY96" s="868"/>
      <c r="BZ96" s="868"/>
      <c r="CA96" s="868"/>
      <c r="CB96" s="868"/>
      <c r="CC96" s="868"/>
      <c r="CD96" s="868"/>
      <c r="CE96" s="868"/>
      <c r="CF96" s="868"/>
      <c r="CG96" s="868"/>
      <c r="CH96" s="868"/>
      <c r="CI96" s="868"/>
      <c r="CJ96" s="868"/>
      <c r="CK96" s="868"/>
      <c r="CL96" s="868"/>
    </row>
    <row r="97" spans="1:90" ht="15" customHeight="1" x14ac:dyDescent="0.2">
      <c r="A97" s="482"/>
      <c r="B97" s="919"/>
      <c r="C97" s="1456" t="s">
        <v>608</v>
      </c>
      <c r="D97" s="1456"/>
      <c r="E97" s="1457"/>
      <c r="F97" s="920" t="s">
        <v>580</v>
      </c>
      <c r="G97" s="921" t="s">
        <v>580</v>
      </c>
      <c r="H97" s="922"/>
      <c r="I97" s="922"/>
      <c r="J97" s="923"/>
      <c r="K97" s="871"/>
      <c r="L97" s="871"/>
      <c r="M97" s="871"/>
      <c r="N97" s="653"/>
      <c r="O97" s="407"/>
      <c r="P97" s="407"/>
      <c r="Q97" s="407"/>
      <c r="R97" s="407"/>
      <c r="S97" s="407"/>
      <c r="T97" s="407"/>
      <c r="AS97" s="868"/>
      <c r="AT97" s="868"/>
      <c r="AU97" s="868"/>
      <c r="AV97" s="868"/>
      <c r="AW97" s="868"/>
      <c r="AX97" s="868"/>
      <c r="AY97" s="868"/>
      <c r="AZ97" s="868"/>
      <c r="BA97" s="868"/>
      <c r="BB97" s="868"/>
      <c r="BC97" s="868"/>
      <c r="BD97" s="868"/>
      <c r="BE97" s="868"/>
      <c r="BF97" s="868"/>
      <c r="BG97" s="868"/>
      <c r="BH97" s="868"/>
      <c r="BI97" s="868"/>
      <c r="BJ97" s="868"/>
      <c r="BK97" s="868"/>
      <c r="BL97" s="868"/>
      <c r="BM97" s="868"/>
      <c r="BN97" s="868"/>
      <c r="BO97" s="868"/>
      <c r="BP97" s="868"/>
      <c r="BQ97" s="868"/>
      <c r="BR97" s="868"/>
      <c r="BS97" s="868"/>
      <c r="BT97" s="868"/>
      <c r="BU97" s="868"/>
      <c r="BV97" s="868"/>
      <c r="BW97" s="868"/>
      <c r="BX97" s="868"/>
      <c r="BY97" s="868"/>
      <c r="BZ97" s="868"/>
      <c r="CA97" s="868"/>
      <c r="CB97" s="868"/>
      <c r="CC97" s="868"/>
      <c r="CD97" s="868"/>
      <c r="CE97" s="868"/>
      <c r="CF97" s="868"/>
      <c r="CG97" s="868"/>
      <c r="CH97" s="868"/>
      <c r="CI97" s="868"/>
      <c r="CJ97" s="868"/>
      <c r="CK97" s="868"/>
      <c r="CL97" s="868"/>
    </row>
    <row r="98" spans="1:90" ht="15" customHeight="1" x14ac:dyDescent="0.2">
      <c r="A98" s="482"/>
      <c r="B98" s="919"/>
      <c r="C98" s="1458" t="s">
        <v>609</v>
      </c>
      <c r="D98" s="1458"/>
      <c r="E98" s="1459"/>
      <c r="F98" s="924">
        <v>18</v>
      </c>
      <c r="G98" s="925">
        <v>18</v>
      </c>
      <c r="H98" s="926"/>
      <c r="I98" s="922"/>
      <c r="J98" s="927"/>
      <c r="K98" s="872"/>
      <c r="L98" s="872"/>
      <c r="M98" s="871"/>
      <c r="N98" s="653"/>
      <c r="O98" s="407"/>
      <c r="P98" s="407"/>
      <c r="Q98" s="407"/>
      <c r="R98" s="407"/>
      <c r="S98" s="407"/>
      <c r="T98" s="407"/>
      <c r="AS98" s="868"/>
      <c r="AT98" s="868"/>
      <c r="AU98" s="868"/>
      <c r="AV98" s="868"/>
      <c r="AW98" s="868"/>
      <c r="AX98" s="868"/>
      <c r="AY98" s="868"/>
      <c r="AZ98" s="868"/>
      <c r="BA98" s="868"/>
      <c r="BB98" s="868"/>
      <c r="BC98" s="868"/>
      <c r="BD98" s="868"/>
      <c r="BE98" s="868"/>
      <c r="BF98" s="868"/>
      <c r="BG98" s="868"/>
      <c r="BH98" s="868"/>
      <c r="BI98" s="868"/>
      <c r="BJ98" s="868"/>
      <c r="BK98" s="868"/>
      <c r="BL98" s="868"/>
      <c r="BM98" s="868"/>
      <c r="BN98" s="868"/>
      <c r="BO98" s="868"/>
      <c r="BP98" s="868"/>
      <c r="BQ98" s="868"/>
      <c r="BR98" s="868"/>
      <c r="BS98" s="868"/>
      <c r="BT98" s="868"/>
      <c r="BU98" s="868"/>
      <c r="BV98" s="868"/>
      <c r="BW98" s="868"/>
      <c r="BX98" s="868"/>
      <c r="BY98" s="868"/>
      <c r="BZ98" s="868"/>
      <c r="CA98" s="868"/>
      <c r="CB98" s="868"/>
      <c r="CC98" s="868"/>
      <c r="CD98" s="868"/>
      <c r="CE98" s="868"/>
      <c r="CF98" s="868"/>
      <c r="CG98" s="868"/>
      <c r="CH98" s="868"/>
      <c r="CI98" s="868"/>
      <c r="CJ98" s="868"/>
      <c r="CK98" s="868"/>
      <c r="CL98" s="868"/>
    </row>
    <row r="99" spans="1:90" ht="15" customHeight="1" x14ac:dyDescent="0.2">
      <c r="A99" s="482"/>
      <c r="B99" s="919"/>
      <c r="C99" s="1458" t="s">
        <v>610</v>
      </c>
      <c r="D99" s="1458"/>
      <c r="E99" s="1459"/>
      <c r="F99" s="924"/>
      <c r="G99" s="925"/>
      <c r="H99" s="926"/>
      <c r="I99" s="922"/>
      <c r="J99" s="928"/>
      <c r="K99" s="872"/>
      <c r="L99" s="872"/>
      <c r="M99" s="871"/>
      <c r="N99" s="653"/>
      <c r="O99" s="407"/>
      <c r="P99" s="407"/>
      <c r="Q99" s="407"/>
      <c r="R99" s="407"/>
      <c r="S99" s="407"/>
      <c r="T99" s="407"/>
      <c r="AS99" s="868"/>
      <c r="AT99" s="868"/>
      <c r="AU99" s="868"/>
      <c r="AV99" s="868"/>
      <c r="AW99" s="868"/>
      <c r="AX99" s="868"/>
      <c r="AY99" s="868"/>
      <c r="AZ99" s="868"/>
      <c r="BA99" s="868"/>
      <c r="BB99" s="868"/>
      <c r="BC99" s="868"/>
      <c r="BD99" s="868"/>
      <c r="BE99" s="868"/>
      <c r="BF99" s="868"/>
      <c r="BG99" s="868"/>
      <c r="BH99" s="868"/>
      <c r="BI99" s="868"/>
      <c r="BJ99" s="868"/>
      <c r="BK99" s="868"/>
      <c r="BL99" s="868"/>
      <c r="BM99" s="868"/>
      <c r="BN99" s="868"/>
      <c r="BO99" s="868"/>
      <c r="BP99" s="868"/>
      <c r="BQ99" s="868"/>
      <c r="BR99" s="868"/>
      <c r="BS99" s="868"/>
      <c r="BT99" s="868"/>
      <c r="BU99" s="868"/>
      <c r="BV99" s="868"/>
      <c r="BW99" s="868"/>
      <c r="BX99" s="868"/>
      <c r="BY99" s="868"/>
      <c r="BZ99" s="868"/>
      <c r="CA99" s="868"/>
      <c r="CB99" s="868"/>
      <c r="CC99" s="868"/>
      <c r="CD99" s="868"/>
      <c r="CE99" s="868"/>
      <c r="CF99" s="868"/>
      <c r="CG99" s="868"/>
      <c r="CH99" s="868"/>
      <c r="CI99" s="868"/>
      <c r="CJ99" s="868"/>
      <c r="CK99" s="868"/>
      <c r="CL99" s="868"/>
    </row>
    <row r="100" spans="1:90" ht="15" customHeight="1" x14ac:dyDescent="0.2">
      <c r="A100" s="482" t="s">
        <v>581</v>
      </c>
      <c r="B100" s="919"/>
      <c r="C100" s="1445" t="s">
        <v>611</v>
      </c>
      <c r="D100" s="1445" t="s">
        <v>612</v>
      </c>
      <c r="E100" s="1446"/>
      <c r="F100" s="924"/>
      <c r="G100" s="925"/>
      <c r="H100" s="929"/>
      <c r="I100" s="922"/>
      <c r="J100" s="928"/>
      <c r="K100" s="874"/>
      <c r="L100" s="872"/>
      <c r="M100" s="871"/>
      <c r="N100" s="653"/>
      <c r="O100" s="407"/>
      <c r="P100" s="407"/>
      <c r="Q100" s="407"/>
      <c r="R100" s="407"/>
      <c r="S100" s="407"/>
      <c r="T100" s="407"/>
      <c r="AS100" s="868"/>
      <c r="AT100" s="868"/>
      <c r="AU100" s="868"/>
      <c r="AV100" s="868"/>
      <c r="AW100" s="868"/>
      <c r="AX100" s="868"/>
      <c r="AY100" s="868"/>
      <c r="AZ100" s="868"/>
      <c r="BA100" s="868"/>
      <c r="BB100" s="868"/>
      <c r="BC100" s="868"/>
      <c r="BD100" s="868"/>
      <c r="BE100" s="868"/>
      <c r="BF100" s="868"/>
      <c r="BG100" s="868"/>
      <c r="BH100" s="868"/>
      <c r="BI100" s="868"/>
      <c r="BJ100" s="868"/>
      <c r="BK100" s="868"/>
      <c r="BL100" s="868"/>
      <c r="BM100" s="868"/>
      <c r="BN100" s="868"/>
      <c r="BO100" s="868"/>
      <c r="BP100" s="868"/>
      <c r="BQ100" s="868"/>
      <c r="BR100" s="868"/>
      <c r="BS100" s="868"/>
      <c r="BT100" s="868"/>
      <c r="BU100" s="868"/>
      <c r="BV100" s="868"/>
      <c r="BW100" s="868"/>
      <c r="BX100" s="868"/>
      <c r="BY100" s="868"/>
      <c r="BZ100" s="868"/>
      <c r="CA100" s="868"/>
      <c r="CB100" s="868"/>
      <c r="CC100" s="868"/>
      <c r="CD100" s="868"/>
      <c r="CE100" s="868"/>
      <c r="CF100" s="868"/>
      <c r="CG100" s="868"/>
      <c r="CH100" s="868"/>
      <c r="CI100" s="868"/>
      <c r="CJ100" s="868"/>
      <c r="CK100" s="868"/>
      <c r="CL100" s="868"/>
    </row>
    <row r="101" spans="1:90" ht="14.25" x14ac:dyDescent="0.2">
      <c r="A101" s="482"/>
      <c r="B101" s="919"/>
      <c r="C101" s="1445"/>
      <c r="D101" s="1445" t="s">
        <v>657</v>
      </c>
      <c r="E101" s="1446"/>
      <c r="F101" s="924"/>
      <c r="G101" s="925"/>
      <c r="H101" s="929"/>
      <c r="I101" s="929"/>
      <c r="J101" s="930"/>
      <c r="K101" s="411"/>
      <c r="L101" s="411"/>
      <c r="M101" s="411"/>
      <c r="N101" s="653"/>
      <c r="O101" s="407"/>
      <c r="P101" s="407"/>
      <c r="Q101" s="407"/>
      <c r="R101" s="407"/>
      <c r="S101" s="407"/>
      <c r="T101" s="407"/>
      <c r="AS101" s="868"/>
      <c r="AT101" s="868"/>
      <c r="AU101" s="868"/>
      <c r="AV101" s="868"/>
      <c r="AW101" s="868"/>
      <c r="AX101" s="868"/>
      <c r="AY101" s="868"/>
      <c r="AZ101" s="868"/>
      <c r="BA101" s="868"/>
      <c r="BB101" s="868"/>
      <c r="BC101" s="868"/>
      <c r="BD101" s="868"/>
      <c r="BE101" s="868"/>
      <c r="BF101" s="868"/>
      <c r="BG101" s="868"/>
      <c r="BH101" s="868"/>
      <c r="BI101" s="868"/>
      <c r="BJ101" s="868"/>
      <c r="BK101" s="868"/>
      <c r="BL101" s="868"/>
      <c r="BM101" s="868"/>
      <c r="BN101" s="868"/>
      <c r="BO101" s="868"/>
      <c r="BP101" s="868"/>
      <c r="BQ101" s="868"/>
      <c r="BR101" s="868"/>
      <c r="BS101" s="868"/>
      <c r="BT101" s="868"/>
      <c r="BU101" s="868"/>
      <c r="BV101" s="868"/>
      <c r="BW101" s="868"/>
      <c r="BX101" s="868"/>
      <c r="BY101" s="868"/>
      <c r="BZ101" s="868"/>
      <c r="CA101" s="868"/>
      <c r="CB101" s="868"/>
      <c r="CC101" s="868"/>
      <c r="CD101" s="868"/>
      <c r="CE101" s="868"/>
      <c r="CF101" s="868"/>
      <c r="CG101" s="868"/>
      <c r="CH101" s="868"/>
      <c r="CI101" s="868"/>
      <c r="CJ101" s="868"/>
      <c r="CK101" s="868"/>
      <c r="CL101" s="868"/>
    </row>
    <row r="102" spans="1:90" ht="15" customHeight="1" x14ac:dyDescent="0.2">
      <c r="A102" s="482"/>
      <c r="B102" s="919"/>
      <c r="C102" s="1445" t="s">
        <v>613</v>
      </c>
      <c r="D102" s="1445"/>
      <c r="E102" s="1446"/>
      <c r="F102" s="822"/>
      <c r="G102" s="821"/>
      <c r="H102" s="929"/>
      <c r="I102" s="929"/>
      <c r="J102" s="494"/>
      <c r="K102" s="411"/>
      <c r="L102" s="411"/>
      <c r="M102" s="411"/>
      <c r="N102" s="653"/>
      <c r="O102" s="407"/>
      <c r="P102" s="407"/>
      <c r="Q102" s="407"/>
      <c r="R102" s="407"/>
      <c r="S102" s="407"/>
      <c r="T102" s="407"/>
      <c r="AS102" s="868"/>
      <c r="AT102" s="868"/>
      <c r="AU102" s="868"/>
      <c r="AV102" s="868"/>
      <c r="AW102" s="868"/>
      <c r="AX102" s="868"/>
      <c r="AY102" s="868"/>
      <c r="AZ102" s="868"/>
      <c r="BA102" s="868"/>
      <c r="BB102" s="868"/>
      <c r="BC102" s="868"/>
      <c r="BD102" s="868"/>
      <c r="BE102" s="868"/>
      <c r="BF102" s="868"/>
      <c r="BG102" s="868"/>
      <c r="BH102" s="868"/>
      <c r="BI102" s="868"/>
      <c r="BJ102" s="868"/>
      <c r="BK102" s="868"/>
      <c r="BL102" s="868"/>
      <c r="BM102" s="868"/>
      <c r="BN102" s="868"/>
      <c r="BO102" s="868"/>
      <c r="BP102" s="868"/>
      <c r="BQ102" s="868"/>
      <c r="BR102" s="868"/>
      <c r="BS102" s="868"/>
      <c r="BT102" s="868"/>
      <c r="BU102" s="868"/>
      <c r="BV102" s="868"/>
      <c r="BW102" s="868"/>
      <c r="BX102" s="868"/>
      <c r="BY102" s="868"/>
      <c r="BZ102" s="868"/>
      <c r="CA102" s="868"/>
      <c r="CB102" s="868"/>
      <c r="CC102" s="868"/>
      <c r="CD102" s="868"/>
      <c r="CE102" s="868"/>
      <c r="CF102" s="868"/>
      <c r="CG102" s="868"/>
      <c r="CH102" s="868"/>
      <c r="CI102" s="868"/>
      <c r="CJ102" s="868"/>
      <c r="CK102" s="868"/>
      <c r="CL102" s="868"/>
    </row>
    <row r="103" spans="1:90" ht="15" customHeight="1" x14ac:dyDescent="0.2">
      <c r="A103" s="482"/>
      <c r="B103" s="919"/>
      <c r="C103" s="1445" t="s">
        <v>614</v>
      </c>
      <c r="D103" s="1445"/>
      <c r="E103" s="1446"/>
      <c r="F103" s="931"/>
      <c r="G103" s="821"/>
      <c r="H103" s="929"/>
      <c r="I103" s="929"/>
      <c r="J103" s="494"/>
      <c r="K103" s="411"/>
      <c r="L103" s="411"/>
      <c r="M103" s="411"/>
      <c r="N103" s="653"/>
      <c r="O103" s="407"/>
      <c r="P103" s="407"/>
      <c r="Q103" s="407"/>
      <c r="R103" s="407"/>
      <c r="S103" s="407"/>
      <c r="T103" s="407"/>
      <c r="AS103" s="868"/>
      <c r="AT103" s="868"/>
      <c r="AU103" s="868"/>
      <c r="AV103" s="868"/>
      <c r="AW103" s="868"/>
      <c r="AX103" s="868"/>
      <c r="AY103" s="868"/>
      <c r="AZ103" s="868"/>
      <c r="BA103" s="868"/>
      <c r="BB103" s="868"/>
      <c r="BC103" s="868"/>
      <c r="BD103" s="868"/>
      <c r="BE103" s="868"/>
      <c r="BF103" s="868"/>
      <c r="BG103" s="868"/>
      <c r="BH103" s="868"/>
      <c r="BI103" s="868"/>
      <c r="BJ103" s="868"/>
      <c r="BK103" s="868"/>
      <c r="BL103" s="868"/>
      <c r="BM103" s="868"/>
      <c r="BN103" s="868"/>
      <c r="BO103" s="868"/>
      <c r="BP103" s="868"/>
      <c r="BQ103" s="868"/>
      <c r="BR103" s="868"/>
      <c r="BS103" s="868"/>
      <c r="BT103" s="868"/>
      <c r="BU103" s="868"/>
      <c r="BV103" s="868"/>
      <c r="BW103" s="868"/>
      <c r="BX103" s="868"/>
      <c r="BY103" s="868"/>
      <c r="BZ103" s="868"/>
      <c r="CA103" s="868"/>
      <c r="CB103" s="868"/>
      <c r="CC103" s="868"/>
      <c r="CD103" s="868"/>
      <c r="CE103" s="868"/>
      <c r="CF103" s="868"/>
      <c r="CG103" s="868"/>
      <c r="CH103" s="868"/>
      <c r="CI103" s="868"/>
      <c r="CJ103" s="868"/>
      <c r="CK103" s="868"/>
      <c r="CL103" s="868"/>
    </row>
    <row r="104" spans="1:90" ht="15" customHeight="1" x14ac:dyDescent="0.2">
      <c r="A104" s="482"/>
      <c r="B104" s="919"/>
      <c r="C104" s="1445" t="s">
        <v>615</v>
      </c>
      <c r="D104" s="1445"/>
      <c r="E104" s="1446"/>
      <c r="F104" s="931"/>
      <c r="G104" s="821"/>
      <c r="H104" s="932"/>
      <c r="I104" s="929"/>
      <c r="J104" s="494"/>
      <c r="K104" s="411"/>
      <c r="L104" s="411"/>
      <c r="M104" s="411"/>
      <c r="N104" s="653"/>
      <c r="O104" s="407"/>
      <c r="P104" s="407"/>
      <c r="Q104" s="407"/>
      <c r="R104" s="407"/>
      <c r="S104" s="407"/>
      <c r="T104" s="407"/>
      <c r="AS104" s="868"/>
      <c r="AT104" s="868"/>
      <c r="AU104" s="868"/>
      <c r="AV104" s="868"/>
      <c r="AW104" s="868"/>
      <c r="AX104" s="868"/>
      <c r="AY104" s="868"/>
      <c r="AZ104" s="868"/>
      <c r="BA104" s="868"/>
      <c r="BB104" s="868"/>
      <c r="BC104" s="868"/>
      <c r="BD104" s="868"/>
      <c r="BE104" s="868"/>
      <c r="BF104" s="868"/>
      <c r="BG104" s="868"/>
      <c r="BH104" s="868"/>
      <c r="BI104" s="868"/>
      <c r="BJ104" s="868"/>
      <c r="BK104" s="868"/>
      <c r="BL104" s="868"/>
      <c r="BM104" s="868"/>
      <c r="BN104" s="868"/>
      <c r="BO104" s="868"/>
      <c r="BP104" s="868"/>
      <c r="BQ104" s="868"/>
      <c r="BR104" s="868"/>
      <c r="BS104" s="868"/>
      <c r="BT104" s="868"/>
      <c r="BU104" s="868"/>
      <c r="BV104" s="868"/>
      <c r="BW104" s="868"/>
      <c r="BX104" s="868"/>
      <c r="BY104" s="868"/>
      <c r="BZ104" s="868"/>
      <c r="CA104" s="868"/>
      <c r="CB104" s="868"/>
      <c r="CC104" s="868"/>
      <c r="CD104" s="868"/>
      <c r="CE104" s="868"/>
      <c r="CF104" s="868"/>
      <c r="CG104" s="868"/>
      <c r="CH104" s="868"/>
      <c r="CI104" s="868"/>
      <c r="CJ104" s="868"/>
      <c r="CK104" s="868"/>
      <c r="CL104" s="868"/>
    </row>
    <row r="105" spans="1:90" ht="15" customHeight="1" x14ac:dyDescent="0.2">
      <c r="A105" s="482"/>
      <c r="B105" s="919"/>
      <c r="C105" s="1445" t="s">
        <v>616</v>
      </c>
      <c r="D105" s="1445"/>
      <c r="E105" s="1446"/>
      <c r="F105" s="822"/>
      <c r="G105" s="821"/>
      <c r="H105" s="932"/>
      <c r="I105" s="932"/>
      <c r="J105" s="494"/>
      <c r="K105" s="411"/>
      <c r="L105" s="411"/>
      <c r="M105" s="411"/>
      <c r="N105" s="653"/>
      <c r="O105" s="407"/>
      <c r="P105" s="407"/>
      <c r="Q105" s="407"/>
      <c r="R105" s="407"/>
      <c r="S105" s="407"/>
      <c r="T105" s="407"/>
      <c r="AS105" s="868"/>
      <c r="AT105" s="868"/>
      <c r="AU105" s="868"/>
      <c r="AV105" s="868"/>
      <c r="AW105" s="868"/>
      <c r="AX105" s="868"/>
      <c r="AY105" s="868"/>
      <c r="AZ105" s="868"/>
      <c r="BA105" s="868"/>
      <c r="BB105" s="868"/>
      <c r="BC105" s="868"/>
      <c r="BD105" s="868"/>
      <c r="BE105" s="868"/>
      <c r="BF105" s="868"/>
      <c r="BG105" s="868"/>
      <c r="BH105" s="868"/>
      <c r="BI105" s="868"/>
      <c r="BJ105" s="868"/>
      <c r="BK105" s="868"/>
      <c r="BL105" s="868"/>
      <c r="BM105" s="868"/>
      <c r="BN105" s="868"/>
      <c r="BO105" s="868"/>
      <c r="BP105" s="868"/>
      <c r="BQ105" s="868"/>
      <c r="BR105" s="868"/>
      <c r="BS105" s="868"/>
      <c r="BT105" s="868"/>
      <c r="BU105" s="868"/>
      <c r="BV105" s="868"/>
      <c r="BW105" s="868"/>
      <c r="BX105" s="868"/>
      <c r="BY105" s="868"/>
      <c r="BZ105" s="868"/>
      <c r="CA105" s="868"/>
      <c r="CB105" s="868"/>
      <c r="CC105" s="868"/>
      <c r="CD105" s="868"/>
      <c r="CE105" s="868"/>
      <c r="CF105" s="868"/>
      <c r="CG105" s="868"/>
      <c r="CH105" s="868"/>
      <c r="CI105" s="868"/>
      <c r="CJ105" s="868"/>
      <c r="CK105" s="868"/>
      <c r="CL105" s="868"/>
    </row>
    <row r="106" spans="1:90" ht="15" customHeight="1" x14ac:dyDescent="0.2">
      <c r="A106" s="482"/>
      <c r="B106" s="919"/>
      <c r="C106" s="1445" t="s">
        <v>617</v>
      </c>
      <c r="D106" s="1445"/>
      <c r="E106" s="1446"/>
      <c r="F106" s="931"/>
      <c r="G106" s="821"/>
      <c r="H106" s="932"/>
      <c r="I106" s="932"/>
      <c r="J106" s="494"/>
      <c r="K106" s="411"/>
      <c r="L106" s="411"/>
      <c r="M106" s="411"/>
      <c r="N106" s="653"/>
      <c r="O106" s="407"/>
      <c r="P106" s="407"/>
      <c r="Q106" s="407"/>
      <c r="R106" s="407"/>
      <c r="S106" s="407"/>
      <c r="T106" s="407"/>
      <c r="AS106" s="868"/>
      <c r="AT106" s="868"/>
      <c r="AU106" s="868"/>
      <c r="AV106" s="868"/>
      <c r="AW106" s="868"/>
      <c r="AX106" s="868"/>
      <c r="AY106" s="868"/>
      <c r="AZ106" s="868"/>
      <c r="BA106" s="868"/>
      <c r="BB106" s="868"/>
      <c r="BC106" s="868"/>
      <c r="BD106" s="868"/>
      <c r="BE106" s="868"/>
      <c r="BF106" s="868"/>
      <c r="BG106" s="868"/>
      <c r="BH106" s="868"/>
      <c r="BI106" s="868"/>
      <c r="BJ106" s="868"/>
      <c r="BK106" s="868"/>
      <c r="BL106" s="868"/>
      <c r="BM106" s="868"/>
      <c r="BN106" s="868"/>
      <c r="BO106" s="868"/>
      <c r="BP106" s="868"/>
      <c r="BQ106" s="868"/>
      <c r="BR106" s="868"/>
      <c r="BS106" s="868"/>
      <c r="BT106" s="868"/>
      <c r="BU106" s="868"/>
      <c r="BV106" s="868"/>
      <c r="BW106" s="868"/>
      <c r="BX106" s="868"/>
      <c r="BY106" s="868"/>
      <c r="BZ106" s="868"/>
      <c r="CA106" s="868"/>
      <c r="CB106" s="868"/>
      <c r="CC106" s="868"/>
      <c r="CD106" s="868"/>
      <c r="CE106" s="868"/>
      <c r="CF106" s="868"/>
      <c r="CG106" s="868"/>
      <c r="CH106" s="868"/>
      <c r="CI106" s="868"/>
      <c r="CJ106" s="868"/>
      <c r="CK106" s="868"/>
      <c r="CL106" s="868"/>
    </row>
    <row r="107" spans="1:90" ht="15" customHeight="1" x14ac:dyDescent="0.2">
      <c r="A107" s="482"/>
      <c r="B107" s="919"/>
      <c r="C107" s="1445" t="s">
        <v>618</v>
      </c>
      <c r="D107" s="1445"/>
      <c r="E107" s="1446"/>
      <c r="F107" s="931"/>
      <c r="G107" s="821"/>
      <c r="H107" s="932"/>
      <c r="I107" s="932"/>
      <c r="J107" s="494"/>
      <c r="K107" s="411"/>
      <c r="L107" s="411"/>
      <c r="M107" s="411"/>
      <c r="N107" s="653"/>
      <c r="O107" s="407"/>
      <c r="P107" s="407"/>
      <c r="Q107" s="407"/>
      <c r="R107" s="407"/>
      <c r="S107" s="407"/>
      <c r="T107" s="407"/>
      <c r="AS107" s="868"/>
      <c r="AT107" s="868"/>
      <c r="AU107" s="868"/>
      <c r="AV107" s="868"/>
      <c r="AW107" s="868"/>
      <c r="AX107" s="868"/>
      <c r="AY107" s="868"/>
      <c r="AZ107" s="868"/>
      <c r="BA107" s="868"/>
      <c r="BB107" s="868"/>
      <c r="BC107" s="868"/>
      <c r="BD107" s="868"/>
      <c r="BE107" s="868"/>
      <c r="BF107" s="868"/>
      <c r="BG107" s="868"/>
      <c r="BH107" s="868"/>
      <c r="BI107" s="868"/>
      <c r="BJ107" s="868"/>
      <c r="BK107" s="868"/>
      <c r="BL107" s="868"/>
      <c r="BM107" s="868"/>
      <c r="BN107" s="868"/>
      <c r="BO107" s="868"/>
      <c r="BP107" s="868"/>
      <c r="BQ107" s="868"/>
      <c r="BR107" s="868"/>
      <c r="BS107" s="868"/>
      <c r="BT107" s="868"/>
      <c r="BU107" s="868"/>
      <c r="BV107" s="868"/>
      <c r="BW107" s="868"/>
      <c r="BX107" s="868"/>
      <c r="BY107" s="868"/>
      <c r="BZ107" s="868"/>
      <c r="CA107" s="868"/>
      <c r="CB107" s="868"/>
      <c r="CC107" s="868"/>
      <c r="CD107" s="868"/>
      <c r="CE107" s="868"/>
      <c r="CF107" s="868"/>
      <c r="CG107" s="868"/>
      <c r="CH107" s="868"/>
      <c r="CI107" s="868"/>
      <c r="CJ107" s="868"/>
      <c r="CK107" s="868"/>
      <c r="CL107" s="868"/>
    </row>
    <row r="108" spans="1:90" ht="15" customHeight="1" x14ac:dyDescent="0.2">
      <c r="A108" s="482"/>
      <c r="B108" s="825"/>
      <c r="C108" s="1445" t="s">
        <v>619</v>
      </c>
      <c r="D108" s="1445"/>
      <c r="E108" s="1446"/>
      <c r="F108" s="822"/>
      <c r="G108" s="821"/>
      <c r="H108" s="932"/>
      <c r="I108" s="932"/>
      <c r="J108" s="494"/>
      <c r="K108" s="894"/>
      <c r="L108" s="411"/>
      <c r="M108" s="411"/>
      <c r="N108" s="653"/>
      <c r="O108" s="407"/>
      <c r="P108" s="407"/>
      <c r="Q108" s="407"/>
      <c r="R108" s="407"/>
      <c r="S108" s="407"/>
      <c r="T108" s="407"/>
      <c r="AS108" s="868"/>
      <c r="AT108" s="868"/>
      <c r="AU108" s="868"/>
      <c r="AV108" s="868"/>
      <c r="AW108" s="868"/>
      <c r="AX108" s="868"/>
      <c r="AY108" s="868"/>
      <c r="AZ108" s="868"/>
      <c r="BA108" s="868"/>
      <c r="BB108" s="868"/>
      <c r="BC108" s="868"/>
      <c r="BD108" s="868"/>
      <c r="BE108" s="868"/>
      <c r="BF108" s="868"/>
      <c r="BG108" s="868"/>
      <c r="BH108" s="868"/>
      <c r="BI108" s="868"/>
      <c r="BJ108" s="868"/>
      <c r="BK108" s="868"/>
      <c r="BL108" s="868"/>
      <c r="BM108" s="868"/>
      <c r="BN108" s="868"/>
      <c r="BO108" s="868"/>
      <c r="BP108" s="868"/>
      <c r="BQ108" s="868"/>
      <c r="BR108" s="868"/>
      <c r="BS108" s="868"/>
      <c r="BT108" s="868"/>
      <c r="BU108" s="868"/>
      <c r="BV108" s="868"/>
      <c r="BW108" s="868"/>
      <c r="BX108" s="868"/>
      <c r="BY108" s="868"/>
      <c r="BZ108" s="868"/>
      <c r="CA108" s="868"/>
      <c r="CB108" s="868"/>
      <c r="CC108" s="868"/>
      <c r="CD108" s="868"/>
      <c r="CE108" s="868"/>
      <c r="CF108" s="868"/>
      <c r="CG108" s="868"/>
      <c r="CH108" s="868"/>
      <c r="CI108" s="868"/>
      <c r="CJ108" s="868"/>
      <c r="CK108" s="868"/>
      <c r="CL108" s="868"/>
    </row>
    <row r="109" spans="1:90" ht="15" customHeight="1" x14ac:dyDescent="0.2">
      <c r="A109" s="482"/>
      <c r="B109" s="1455" t="s">
        <v>620</v>
      </c>
      <c r="C109" s="1438" t="s">
        <v>621</v>
      </c>
      <c r="D109" s="1438"/>
      <c r="E109" s="933"/>
      <c r="F109" s="822"/>
      <c r="G109" s="821"/>
      <c r="H109" s="932"/>
      <c r="I109" s="934" t="s">
        <v>586</v>
      </c>
      <c r="J109" s="935"/>
      <c r="K109" s="411"/>
      <c r="L109" s="411"/>
      <c r="M109" s="411"/>
      <c r="N109" s="653"/>
      <c r="O109" s="407"/>
      <c r="P109" s="407"/>
      <c r="Q109" s="407"/>
      <c r="R109" s="407"/>
      <c r="S109" s="407"/>
      <c r="T109" s="407"/>
      <c r="AS109" s="868"/>
      <c r="AT109" s="868"/>
      <c r="AU109" s="868"/>
      <c r="AV109" s="868"/>
      <c r="AW109" s="868"/>
      <c r="AX109" s="868"/>
      <c r="AY109" s="868"/>
      <c r="AZ109" s="868"/>
      <c r="BA109" s="868"/>
      <c r="BB109" s="868"/>
      <c r="BC109" s="868"/>
      <c r="BD109" s="868"/>
      <c r="BE109" s="868"/>
      <c r="BF109" s="868"/>
      <c r="BG109" s="868"/>
      <c r="BH109" s="868"/>
      <c r="BI109" s="868"/>
      <c r="BJ109" s="868"/>
      <c r="BK109" s="868"/>
      <c r="BL109" s="868"/>
      <c r="BM109" s="868"/>
      <c r="BN109" s="868"/>
      <c r="BO109" s="868"/>
      <c r="BP109" s="868"/>
      <c r="BQ109" s="868"/>
      <c r="BR109" s="868"/>
      <c r="BS109" s="868"/>
      <c r="BT109" s="868"/>
      <c r="BU109" s="868"/>
      <c r="BV109" s="868"/>
      <c r="BW109" s="868"/>
      <c r="BX109" s="868"/>
      <c r="BY109" s="868"/>
      <c r="BZ109" s="868"/>
      <c r="CA109" s="868"/>
      <c r="CB109" s="868"/>
      <c r="CC109" s="868"/>
      <c r="CD109" s="868"/>
      <c r="CE109" s="868"/>
      <c r="CF109" s="868"/>
      <c r="CG109" s="868"/>
      <c r="CH109" s="868"/>
      <c r="CI109" s="868"/>
      <c r="CJ109" s="868"/>
      <c r="CK109" s="868"/>
      <c r="CL109" s="868"/>
    </row>
    <row r="110" spans="1:90" ht="15" customHeight="1" x14ac:dyDescent="0.2">
      <c r="A110" s="482"/>
      <c r="B110" s="1455"/>
      <c r="C110" s="1438"/>
      <c r="D110" s="1438"/>
      <c r="E110" s="933"/>
      <c r="F110" s="822"/>
      <c r="G110" s="821"/>
      <c r="H110" s="932"/>
      <c r="I110" s="936" t="s">
        <v>587</v>
      </c>
      <c r="J110" s="937" t="s">
        <v>622</v>
      </c>
      <c r="K110" s="875"/>
      <c r="L110" s="411"/>
      <c r="M110" s="411"/>
      <c r="N110" s="653"/>
      <c r="O110" s="407"/>
      <c r="P110" s="407"/>
      <c r="Q110" s="407"/>
      <c r="R110" s="407"/>
      <c r="S110" s="407"/>
      <c r="T110" s="407"/>
      <c r="AS110" s="868"/>
      <c r="AT110" s="868"/>
      <c r="AU110" s="868"/>
      <c r="AV110" s="868"/>
      <c r="AW110" s="868"/>
      <c r="AX110" s="868"/>
      <c r="AY110" s="868"/>
      <c r="AZ110" s="868"/>
      <c r="BA110" s="868"/>
      <c r="BB110" s="868"/>
      <c r="BC110" s="868"/>
      <c r="BD110" s="868"/>
      <c r="BE110" s="868"/>
      <c r="BF110" s="868"/>
      <c r="BG110" s="868"/>
      <c r="BH110" s="868"/>
      <c r="BI110" s="868"/>
      <c r="BJ110" s="868"/>
      <c r="BK110" s="868"/>
      <c r="BL110" s="868"/>
      <c r="BM110" s="868"/>
      <c r="BN110" s="868"/>
      <c r="BO110" s="868"/>
      <c r="BP110" s="868"/>
      <c r="BQ110" s="868"/>
      <c r="BR110" s="868"/>
      <c r="BS110" s="868"/>
      <c r="BT110" s="868"/>
      <c r="BU110" s="868"/>
      <c r="BV110" s="868"/>
      <c r="BW110" s="868"/>
      <c r="BX110" s="868"/>
      <c r="BY110" s="868"/>
      <c r="BZ110" s="868"/>
      <c r="CA110" s="868"/>
      <c r="CB110" s="868"/>
      <c r="CC110" s="868"/>
      <c r="CD110" s="868"/>
      <c r="CE110" s="868"/>
      <c r="CF110" s="868"/>
      <c r="CG110" s="868"/>
      <c r="CH110" s="868"/>
      <c r="CI110" s="868"/>
      <c r="CJ110" s="868"/>
      <c r="CK110" s="868"/>
      <c r="CL110" s="868"/>
    </row>
    <row r="111" spans="1:90" ht="15" customHeight="1" x14ac:dyDescent="0.2">
      <c r="A111" s="482"/>
      <c r="B111" s="1455"/>
      <c r="C111" s="1438" t="s">
        <v>623</v>
      </c>
      <c r="D111" s="1438"/>
      <c r="E111" s="933"/>
      <c r="F111" s="938"/>
      <c r="G111" s="821"/>
      <c r="H111" s="932"/>
      <c r="I111" s="936" t="s">
        <v>588</v>
      </c>
      <c r="J111" s="939" t="s">
        <v>624</v>
      </c>
      <c r="K111" s="875"/>
      <c r="L111" s="411"/>
      <c r="M111" s="411"/>
      <c r="N111" s="653"/>
      <c r="O111" s="407"/>
      <c r="P111" s="407"/>
      <c r="Q111" s="407"/>
      <c r="R111" s="407"/>
      <c r="S111" s="407"/>
      <c r="T111" s="407"/>
      <c r="AS111" s="868"/>
      <c r="AT111" s="868"/>
      <c r="AU111" s="868"/>
      <c r="AV111" s="868"/>
      <c r="AW111" s="868"/>
      <c r="AX111" s="868"/>
      <c r="AY111" s="868"/>
      <c r="AZ111" s="868"/>
      <c r="BA111" s="868"/>
      <c r="BB111" s="868"/>
      <c r="BC111" s="868"/>
      <c r="BD111" s="868"/>
      <c r="BE111" s="868"/>
      <c r="BF111" s="868"/>
      <c r="BG111" s="868"/>
      <c r="BH111" s="868"/>
      <c r="BI111" s="868"/>
      <c r="BJ111" s="868"/>
      <c r="BK111" s="868"/>
      <c r="BL111" s="868"/>
      <c r="BM111" s="868"/>
      <c r="BN111" s="868"/>
      <c r="BO111" s="868"/>
      <c r="BP111" s="868"/>
      <c r="BQ111" s="868"/>
      <c r="BR111" s="868"/>
      <c r="BS111" s="868"/>
      <c r="BT111" s="868"/>
      <c r="BU111" s="868"/>
      <c r="BV111" s="868"/>
      <c r="BW111" s="868"/>
      <c r="BX111" s="868"/>
      <c r="BY111" s="868"/>
      <c r="BZ111" s="868"/>
      <c r="CA111" s="868"/>
      <c r="CB111" s="868"/>
      <c r="CC111" s="868"/>
      <c r="CD111" s="868"/>
      <c r="CE111" s="868"/>
      <c r="CF111" s="868"/>
      <c r="CG111" s="868"/>
      <c r="CH111" s="868"/>
      <c r="CI111" s="868"/>
      <c r="CJ111" s="868"/>
      <c r="CK111" s="868"/>
      <c r="CL111" s="868"/>
    </row>
    <row r="112" spans="1:90" ht="15" customHeight="1" x14ac:dyDescent="0.2">
      <c r="A112" s="482"/>
      <c r="B112" s="1455"/>
      <c r="C112" s="1438"/>
      <c r="D112" s="1438"/>
      <c r="E112" s="933"/>
      <c r="F112" s="938"/>
      <c r="G112" s="821"/>
      <c r="H112" s="932"/>
      <c r="I112" s="940"/>
      <c r="J112" s="941"/>
      <c r="K112" s="616"/>
      <c r="L112" s="411"/>
      <c r="M112" s="411"/>
      <c r="N112" s="653"/>
      <c r="O112" s="407"/>
      <c r="P112" s="407"/>
      <c r="Q112" s="407"/>
      <c r="R112" s="407"/>
      <c r="S112" s="407"/>
      <c r="T112" s="407"/>
      <c r="AS112" s="868"/>
      <c r="AT112" s="868"/>
      <c r="AU112" s="868"/>
      <c r="AV112" s="868"/>
      <c r="AW112" s="868"/>
      <c r="AX112" s="868"/>
      <c r="AY112" s="868"/>
      <c r="AZ112" s="868"/>
      <c r="BA112" s="868"/>
      <c r="BB112" s="868"/>
      <c r="BC112" s="868"/>
      <c r="BD112" s="868"/>
      <c r="BE112" s="868"/>
      <c r="BF112" s="868"/>
      <c r="BG112" s="868"/>
      <c r="BH112" s="868"/>
      <c r="BI112" s="868"/>
      <c r="BJ112" s="868"/>
      <c r="BK112" s="868"/>
      <c r="BL112" s="868"/>
      <c r="BM112" s="868"/>
      <c r="BN112" s="868"/>
      <c r="BO112" s="868"/>
      <c r="BP112" s="868"/>
      <c r="BQ112" s="868"/>
      <c r="BR112" s="868"/>
      <c r="BS112" s="868"/>
      <c r="BT112" s="868"/>
      <c r="BU112" s="868"/>
      <c r="BV112" s="868"/>
      <c r="BW112" s="868"/>
      <c r="BX112" s="868"/>
      <c r="BY112" s="868"/>
      <c r="BZ112" s="868"/>
      <c r="CA112" s="868"/>
      <c r="CB112" s="868"/>
      <c r="CC112" s="868"/>
      <c r="CD112" s="868"/>
      <c r="CE112" s="868"/>
      <c r="CF112" s="868"/>
      <c r="CG112" s="868"/>
      <c r="CH112" s="868"/>
      <c r="CI112" s="868"/>
      <c r="CJ112" s="868"/>
      <c r="CK112" s="868"/>
      <c r="CL112" s="868"/>
    </row>
    <row r="113" spans="1:90" ht="15" customHeight="1" x14ac:dyDescent="0.2">
      <c r="A113" s="482"/>
      <c r="B113" s="1455"/>
      <c r="C113" s="1438" t="s">
        <v>625</v>
      </c>
      <c r="D113" s="1438"/>
      <c r="E113" s="933"/>
      <c r="F113" s="938"/>
      <c r="G113" s="821"/>
      <c r="H113" s="932"/>
      <c r="I113" s="936" t="s">
        <v>589</v>
      </c>
      <c r="J113" s="939" t="s">
        <v>626</v>
      </c>
      <c r="K113" s="637"/>
      <c r="L113" s="411"/>
      <c r="M113" s="411"/>
      <c r="N113" s="653"/>
      <c r="O113" s="407"/>
      <c r="P113" s="407"/>
      <c r="Q113" s="407"/>
      <c r="R113" s="407"/>
      <c r="S113" s="407"/>
      <c r="T113" s="407"/>
      <c r="AS113" s="868"/>
      <c r="AT113" s="868"/>
      <c r="AU113" s="868"/>
      <c r="AV113" s="868"/>
      <c r="AW113" s="868"/>
      <c r="AX113" s="868"/>
      <c r="AY113" s="868"/>
      <c r="AZ113" s="868"/>
      <c r="BA113" s="868"/>
      <c r="BB113" s="868"/>
      <c r="BC113" s="868"/>
      <c r="BD113" s="868"/>
      <c r="BE113" s="868"/>
      <c r="BF113" s="868"/>
      <c r="BG113" s="868"/>
      <c r="BH113" s="868"/>
      <c r="BI113" s="868"/>
      <c r="BJ113" s="868"/>
      <c r="BK113" s="868"/>
      <c r="BL113" s="868"/>
      <c r="BM113" s="868"/>
      <c r="BN113" s="868"/>
      <c r="BO113" s="868"/>
      <c r="BP113" s="868"/>
      <c r="BQ113" s="868"/>
      <c r="BR113" s="868"/>
      <c r="BS113" s="868"/>
      <c r="BT113" s="868"/>
      <c r="BU113" s="868"/>
      <c r="BV113" s="868"/>
      <c r="BW113" s="868"/>
      <c r="BX113" s="868"/>
      <c r="BY113" s="868"/>
      <c r="BZ113" s="868"/>
      <c r="CA113" s="868"/>
      <c r="CB113" s="868"/>
      <c r="CC113" s="868"/>
      <c r="CD113" s="868"/>
      <c r="CE113" s="868"/>
      <c r="CF113" s="868"/>
      <c r="CG113" s="868"/>
      <c r="CH113" s="868"/>
      <c r="CI113" s="868"/>
      <c r="CJ113" s="868"/>
      <c r="CK113" s="868"/>
      <c r="CL113" s="868"/>
    </row>
    <row r="114" spans="1:90" ht="15" customHeight="1" x14ac:dyDescent="0.2">
      <c r="A114" s="482"/>
      <c r="B114" s="1455"/>
      <c r="C114" s="1438"/>
      <c r="D114" s="1438"/>
      <c r="E114" s="933"/>
      <c r="F114" s="938"/>
      <c r="G114" s="821"/>
      <c r="H114" s="932"/>
      <c r="I114" s="936" t="s">
        <v>590</v>
      </c>
      <c r="J114" s="937" t="s">
        <v>627</v>
      </c>
      <c r="K114" s="637"/>
      <c r="L114" s="411"/>
      <c r="M114" s="411"/>
      <c r="N114" s="653"/>
      <c r="O114" s="407"/>
      <c r="P114" s="407"/>
      <c r="Q114" s="407"/>
      <c r="R114" s="407"/>
      <c r="S114" s="407"/>
      <c r="T114" s="407"/>
      <c r="AS114" s="868"/>
      <c r="AT114" s="868"/>
      <c r="AU114" s="868"/>
      <c r="AV114" s="868"/>
      <c r="AW114" s="868"/>
      <c r="AX114" s="868"/>
      <c r="AY114" s="868"/>
      <c r="AZ114" s="868"/>
      <c r="BA114" s="868"/>
      <c r="BB114" s="868"/>
      <c r="BC114" s="868"/>
      <c r="BD114" s="868"/>
      <c r="BE114" s="868"/>
      <c r="BF114" s="868"/>
      <c r="BG114" s="868"/>
      <c r="BH114" s="868"/>
      <c r="BI114" s="868"/>
      <c r="BJ114" s="868"/>
      <c r="BK114" s="868"/>
      <c r="BL114" s="868"/>
      <c r="BM114" s="868"/>
      <c r="BN114" s="868"/>
      <c r="BO114" s="868"/>
      <c r="BP114" s="868"/>
      <c r="BQ114" s="868"/>
      <c r="BR114" s="868"/>
      <c r="BS114" s="868"/>
      <c r="BT114" s="868"/>
      <c r="BU114" s="868"/>
      <c r="BV114" s="868"/>
      <c r="BW114" s="868"/>
      <c r="BX114" s="868"/>
      <c r="BY114" s="868"/>
      <c r="BZ114" s="868"/>
      <c r="CA114" s="868"/>
      <c r="CB114" s="868"/>
      <c r="CC114" s="868"/>
      <c r="CD114" s="868"/>
      <c r="CE114" s="868"/>
      <c r="CF114" s="868"/>
      <c r="CG114" s="868"/>
      <c r="CH114" s="868"/>
      <c r="CI114" s="868"/>
      <c r="CJ114" s="868"/>
      <c r="CK114" s="868"/>
      <c r="CL114" s="868"/>
    </row>
    <row r="115" spans="1:90" ht="15" customHeight="1" x14ac:dyDescent="0.2">
      <c r="A115" s="482"/>
      <c r="B115" s="1455"/>
      <c r="C115" s="1438" t="s">
        <v>628</v>
      </c>
      <c r="D115" s="1438"/>
      <c r="E115" s="933"/>
      <c r="F115" s="938"/>
      <c r="G115" s="821"/>
      <c r="H115" s="932"/>
      <c r="I115" s="936" t="s">
        <v>591</v>
      </c>
      <c r="J115" s="937" t="s">
        <v>629</v>
      </c>
      <c r="K115" s="637"/>
      <c r="L115" s="411"/>
      <c r="M115" s="411"/>
      <c r="N115" s="653"/>
      <c r="O115" s="407"/>
      <c r="P115" s="407"/>
      <c r="Q115" s="407"/>
      <c r="R115" s="407"/>
      <c r="S115" s="407"/>
      <c r="T115" s="407"/>
      <c r="AS115" s="868"/>
      <c r="AT115" s="868"/>
      <c r="AU115" s="868"/>
      <c r="AV115" s="868"/>
      <c r="AW115" s="868"/>
      <c r="AX115" s="868"/>
      <c r="AY115" s="868"/>
      <c r="AZ115" s="868"/>
      <c r="BA115" s="868"/>
      <c r="BB115" s="868"/>
      <c r="BC115" s="868"/>
      <c r="BD115" s="868"/>
      <c r="BE115" s="868"/>
      <c r="BF115" s="868"/>
      <c r="BG115" s="868"/>
      <c r="BH115" s="868"/>
      <c r="BI115" s="868"/>
      <c r="BJ115" s="868"/>
      <c r="BK115" s="868"/>
      <c r="BL115" s="868"/>
      <c r="BM115" s="868"/>
      <c r="BN115" s="868"/>
      <c r="BO115" s="868"/>
      <c r="BP115" s="868"/>
      <c r="BQ115" s="868"/>
      <c r="BR115" s="868"/>
      <c r="BS115" s="868"/>
      <c r="BT115" s="868"/>
      <c r="BU115" s="868"/>
      <c r="BV115" s="868"/>
      <c r="BW115" s="868"/>
      <c r="BX115" s="868"/>
      <c r="BY115" s="868"/>
      <c r="BZ115" s="868"/>
      <c r="CA115" s="868"/>
      <c r="CB115" s="868"/>
      <c r="CC115" s="868"/>
      <c r="CD115" s="868"/>
      <c r="CE115" s="868"/>
      <c r="CF115" s="868"/>
      <c r="CG115" s="868"/>
      <c r="CH115" s="868"/>
      <c r="CI115" s="868"/>
      <c r="CJ115" s="868"/>
      <c r="CK115" s="868"/>
      <c r="CL115" s="868"/>
    </row>
    <row r="116" spans="1:90" ht="15" customHeight="1" x14ac:dyDescent="0.2">
      <c r="A116" s="482"/>
      <c r="B116" s="1455"/>
      <c r="C116" s="1438"/>
      <c r="D116" s="1438"/>
      <c r="E116" s="933"/>
      <c r="F116" s="938"/>
      <c r="G116" s="821"/>
      <c r="H116" s="932"/>
      <c r="I116" s="936" t="s">
        <v>592</v>
      </c>
      <c r="J116" s="937" t="s">
        <v>630</v>
      </c>
      <c r="K116" s="637"/>
      <c r="L116" s="411"/>
      <c r="M116" s="411"/>
      <c r="N116" s="653"/>
      <c r="O116" s="407"/>
      <c r="P116" s="407"/>
      <c r="Q116" s="407"/>
      <c r="R116" s="407"/>
      <c r="S116" s="407"/>
      <c r="T116" s="407"/>
      <c r="AS116" s="868"/>
      <c r="AT116" s="868"/>
      <c r="AU116" s="868"/>
      <c r="AV116" s="868"/>
      <c r="AW116" s="868"/>
      <c r="AX116" s="868"/>
      <c r="AY116" s="868"/>
      <c r="AZ116" s="868"/>
      <c r="BA116" s="868"/>
      <c r="BB116" s="868"/>
      <c r="BC116" s="868"/>
      <c r="BD116" s="868"/>
      <c r="BE116" s="868"/>
      <c r="BF116" s="868"/>
      <c r="BG116" s="868"/>
      <c r="BH116" s="868"/>
      <c r="BI116" s="868"/>
      <c r="BJ116" s="868"/>
      <c r="BK116" s="868"/>
      <c r="BL116" s="868"/>
      <c r="BM116" s="868"/>
      <c r="BN116" s="868"/>
      <c r="BO116" s="868"/>
      <c r="BP116" s="868"/>
      <c r="BQ116" s="868"/>
      <c r="BR116" s="868"/>
      <c r="BS116" s="868"/>
      <c r="BT116" s="868"/>
      <c r="BU116" s="868"/>
      <c r="BV116" s="868"/>
      <c r="BW116" s="868"/>
      <c r="BX116" s="868"/>
      <c r="BY116" s="868"/>
      <c r="BZ116" s="868"/>
      <c r="CA116" s="868"/>
      <c r="CB116" s="868"/>
      <c r="CC116" s="868"/>
      <c r="CD116" s="868"/>
      <c r="CE116" s="868"/>
      <c r="CF116" s="868"/>
      <c r="CG116" s="868"/>
      <c r="CH116" s="868"/>
      <c r="CI116" s="868"/>
      <c r="CJ116" s="868"/>
      <c r="CK116" s="868"/>
      <c r="CL116" s="868"/>
    </row>
    <row r="117" spans="1:90" ht="15" customHeight="1" x14ac:dyDescent="0.2">
      <c r="A117" s="482"/>
      <c r="B117" s="1455"/>
      <c r="C117" s="1438" t="s">
        <v>631</v>
      </c>
      <c r="D117" s="1438"/>
      <c r="E117" s="933"/>
      <c r="F117" s="938"/>
      <c r="G117" s="821"/>
      <c r="H117" s="932"/>
      <c r="I117" s="936" t="s">
        <v>593</v>
      </c>
      <c r="J117" s="937" t="s">
        <v>632</v>
      </c>
      <c r="K117" s="906"/>
      <c r="L117" s="411"/>
      <c r="M117" s="411"/>
      <c r="N117" s="653"/>
      <c r="O117" s="407"/>
      <c r="P117" s="407"/>
      <c r="Q117" s="407"/>
      <c r="R117" s="407"/>
      <c r="S117" s="407"/>
      <c r="T117" s="407"/>
      <c r="AS117" s="868"/>
      <c r="AT117" s="868"/>
      <c r="AU117" s="868"/>
      <c r="AV117" s="868"/>
      <c r="AW117" s="868"/>
      <c r="AX117" s="868"/>
      <c r="AY117" s="868"/>
      <c r="AZ117" s="868"/>
      <c r="BA117" s="868"/>
      <c r="BB117" s="868"/>
      <c r="BC117" s="868"/>
      <c r="BD117" s="868"/>
      <c r="BE117" s="868"/>
      <c r="BF117" s="868"/>
      <c r="BG117" s="868"/>
      <c r="BH117" s="868"/>
      <c r="BI117" s="868"/>
      <c r="BJ117" s="868"/>
      <c r="BK117" s="868"/>
      <c r="BL117" s="868"/>
      <c r="BM117" s="868"/>
      <c r="BN117" s="868"/>
      <c r="BO117" s="868"/>
    </row>
    <row r="118" spans="1:90" ht="15" customHeight="1" x14ac:dyDescent="0.2">
      <c r="A118" s="482"/>
      <c r="B118" s="1455"/>
      <c r="C118" s="1438"/>
      <c r="D118" s="1438"/>
      <c r="E118" s="933"/>
      <c r="F118" s="938"/>
      <c r="G118" s="821"/>
      <c r="H118" s="932"/>
      <c r="I118" s="936" t="s">
        <v>594</v>
      </c>
      <c r="J118" s="942" t="s">
        <v>633</v>
      </c>
      <c r="K118" s="906"/>
      <c r="L118" s="411"/>
      <c r="M118" s="411"/>
      <c r="N118" s="653"/>
      <c r="O118" s="407"/>
      <c r="P118" s="407"/>
      <c r="Q118" s="407"/>
      <c r="R118" s="407"/>
      <c r="S118" s="407"/>
      <c r="T118" s="407"/>
      <c r="AS118" s="868"/>
      <c r="AT118" s="868"/>
      <c r="AU118" s="868"/>
      <c r="AV118" s="868"/>
      <c r="AW118" s="868"/>
      <c r="AX118" s="868"/>
      <c r="AY118" s="868"/>
      <c r="AZ118" s="868"/>
      <c r="BA118" s="868"/>
      <c r="BB118" s="868"/>
      <c r="BC118" s="868"/>
      <c r="BD118" s="868"/>
      <c r="BE118" s="868"/>
      <c r="BF118" s="868"/>
      <c r="BG118" s="868"/>
      <c r="BH118" s="868"/>
      <c r="BI118" s="868"/>
      <c r="BJ118" s="868"/>
      <c r="BK118" s="868"/>
      <c r="BL118" s="868"/>
      <c r="BM118" s="868"/>
      <c r="BN118" s="868"/>
      <c r="BO118" s="868"/>
    </row>
    <row r="119" spans="1:90" ht="15" customHeight="1" x14ac:dyDescent="0.2">
      <c r="A119" s="482"/>
      <c r="B119" s="1455"/>
      <c r="C119" s="1438" t="s">
        <v>634</v>
      </c>
      <c r="D119" s="1438"/>
      <c r="E119" s="933"/>
      <c r="F119" s="938"/>
      <c r="G119" s="821"/>
      <c r="H119" s="932"/>
      <c r="I119" s="943" t="s">
        <v>595</v>
      </c>
      <c r="J119" s="942" t="s">
        <v>635</v>
      </c>
      <c r="K119" s="906"/>
      <c r="L119" s="411"/>
      <c r="M119" s="411"/>
      <c r="N119" s="653"/>
      <c r="O119" s="407"/>
      <c r="P119" s="407"/>
      <c r="Q119" s="407"/>
      <c r="R119" s="407"/>
      <c r="S119" s="407"/>
      <c r="T119" s="407"/>
      <c r="AS119" s="868"/>
      <c r="AT119" s="868"/>
      <c r="AU119" s="868"/>
      <c r="AV119" s="868"/>
      <c r="AW119" s="868"/>
      <c r="AX119" s="868"/>
      <c r="AY119" s="868"/>
      <c r="AZ119" s="868"/>
      <c r="BA119" s="868"/>
      <c r="BB119" s="868"/>
      <c r="BC119" s="868"/>
      <c r="BD119" s="868"/>
      <c r="BE119" s="868"/>
      <c r="BF119" s="868"/>
      <c r="BG119" s="868"/>
      <c r="BH119" s="868"/>
      <c r="BI119" s="868"/>
      <c r="BJ119" s="868"/>
      <c r="BK119" s="868"/>
      <c r="BL119" s="868"/>
      <c r="BM119" s="868"/>
      <c r="BN119" s="868"/>
      <c r="BO119" s="868"/>
    </row>
    <row r="120" spans="1:90" ht="15" customHeight="1" x14ac:dyDescent="0.2">
      <c r="A120" s="482"/>
      <c r="B120" s="1455"/>
      <c r="C120" s="1438"/>
      <c r="D120" s="1438"/>
      <c r="E120" s="933"/>
      <c r="F120" s="938"/>
      <c r="G120" s="821"/>
      <c r="H120" s="932"/>
      <c r="I120" s="943" t="s">
        <v>596</v>
      </c>
      <c r="J120" s="942" t="s">
        <v>636</v>
      </c>
      <c r="K120" s="906"/>
      <c r="L120" s="411"/>
      <c r="M120" s="411"/>
      <c r="N120" s="653"/>
      <c r="O120" s="407"/>
      <c r="P120" s="407"/>
      <c r="Q120" s="407"/>
      <c r="R120" s="407"/>
      <c r="S120" s="407"/>
      <c r="T120" s="407"/>
    </row>
    <row r="121" spans="1:90" ht="15" customHeight="1" x14ac:dyDescent="0.2">
      <c r="A121" s="482"/>
      <c r="B121" s="1455"/>
      <c r="C121" s="1438" t="s">
        <v>637</v>
      </c>
      <c r="D121" s="1438"/>
      <c r="E121" s="933"/>
      <c r="F121" s="938"/>
      <c r="G121" s="821"/>
      <c r="H121" s="932"/>
      <c r="I121" s="943" t="s">
        <v>597</v>
      </c>
      <c r="J121" s="942" t="s">
        <v>638</v>
      </c>
      <c r="K121" s="906"/>
      <c r="L121" s="411"/>
      <c r="M121" s="411"/>
      <c r="N121" s="653"/>
      <c r="O121" s="407"/>
      <c r="P121" s="407"/>
      <c r="Q121" s="407"/>
      <c r="R121" s="407"/>
      <c r="S121" s="407"/>
      <c r="T121" s="407"/>
    </row>
    <row r="122" spans="1:90" ht="15" customHeight="1" x14ac:dyDescent="0.2">
      <c r="A122" s="482"/>
      <c r="B122" s="1455"/>
      <c r="C122" s="1438"/>
      <c r="D122" s="1438"/>
      <c r="E122" s="933"/>
      <c r="F122" s="938"/>
      <c r="G122" s="821"/>
      <c r="H122" s="929"/>
      <c r="I122" s="943" t="s">
        <v>598</v>
      </c>
      <c r="J122" s="942" t="s">
        <v>639</v>
      </c>
      <c r="K122" s="906"/>
      <c r="L122" s="411"/>
      <c r="M122" s="411"/>
      <c r="N122" s="653"/>
      <c r="O122" s="407"/>
      <c r="P122" s="407"/>
      <c r="Q122" s="407"/>
      <c r="R122" s="407"/>
      <c r="S122" s="407"/>
      <c r="T122" s="407"/>
    </row>
    <row r="123" spans="1:90" ht="15" customHeight="1" x14ac:dyDescent="0.2">
      <c r="A123" s="482"/>
      <c r="B123" s="1455"/>
      <c r="C123" s="1438" t="s">
        <v>640</v>
      </c>
      <c r="D123" s="1438"/>
      <c r="E123" s="933"/>
      <c r="F123" s="938"/>
      <c r="G123" s="821"/>
      <c r="H123" s="494"/>
      <c r="I123" s="943" t="s">
        <v>599</v>
      </c>
      <c r="J123" s="942" t="s">
        <v>641</v>
      </c>
      <c r="K123" s="906"/>
      <c r="L123" s="411"/>
      <c r="M123" s="411"/>
      <c r="N123" s="653"/>
      <c r="O123" s="407"/>
      <c r="P123" s="407"/>
      <c r="Q123" s="407"/>
      <c r="R123" s="407"/>
      <c r="S123" s="407"/>
      <c r="T123" s="407"/>
    </row>
    <row r="124" spans="1:90" ht="15" customHeight="1" x14ac:dyDescent="0.2">
      <c r="A124" s="482"/>
      <c r="B124" s="1455"/>
      <c r="C124" s="1438"/>
      <c r="D124" s="1438"/>
      <c r="E124" s="933"/>
      <c r="F124" s="938"/>
      <c r="G124" s="821"/>
      <c r="H124" s="494"/>
      <c r="I124" s="943" t="s">
        <v>600</v>
      </c>
      <c r="J124" s="942" t="s">
        <v>642</v>
      </c>
      <c r="K124" s="906"/>
      <c r="L124" s="411"/>
      <c r="M124" s="411"/>
      <c r="N124" s="653"/>
      <c r="O124" s="407"/>
      <c r="P124" s="407"/>
      <c r="Q124" s="407"/>
      <c r="R124" s="407"/>
      <c r="S124" s="407"/>
      <c r="T124" s="407"/>
    </row>
    <row r="125" spans="1:90" ht="15" customHeight="1" x14ac:dyDescent="0.2">
      <c r="A125" s="482"/>
      <c r="B125" s="1455"/>
      <c r="C125" s="1438" t="s">
        <v>643</v>
      </c>
      <c r="D125" s="1438"/>
      <c r="E125" s="933"/>
      <c r="F125" s="938"/>
      <c r="G125" s="821"/>
      <c r="H125" s="932"/>
      <c r="I125" s="943" t="s">
        <v>644</v>
      </c>
      <c r="J125" s="942" t="s">
        <v>645</v>
      </c>
      <c r="K125" s="906"/>
      <c r="L125" s="411"/>
      <c r="M125" s="411"/>
      <c r="N125" s="653"/>
      <c r="O125" s="407"/>
      <c r="P125" s="407"/>
      <c r="Q125" s="407"/>
      <c r="R125" s="407"/>
      <c r="S125" s="407"/>
      <c r="T125" s="407"/>
    </row>
    <row r="126" spans="1:90" ht="15" customHeight="1" x14ac:dyDescent="0.2">
      <c r="A126" s="482"/>
      <c r="B126" s="1455"/>
      <c r="C126" s="1438"/>
      <c r="D126" s="1438"/>
      <c r="E126" s="933"/>
      <c r="F126" s="938"/>
      <c r="G126" s="821"/>
      <c r="H126" s="932"/>
      <c r="I126" s="943" t="s">
        <v>602</v>
      </c>
      <c r="J126" s="942" t="s">
        <v>646</v>
      </c>
      <c r="K126" s="906"/>
      <c r="L126" s="411"/>
      <c r="M126" s="411"/>
      <c r="N126" s="653"/>
      <c r="O126" s="407"/>
      <c r="P126" s="407"/>
      <c r="Q126" s="407"/>
      <c r="R126" s="407"/>
      <c r="S126" s="407"/>
      <c r="T126" s="407"/>
    </row>
    <row r="127" spans="1:90" ht="15" customHeight="1" x14ac:dyDescent="0.2">
      <c r="A127" s="482"/>
      <c r="B127" s="662"/>
      <c r="C127" s="1438" t="s">
        <v>647</v>
      </c>
      <c r="D127" s="1438"/>
      <c r="E127" s="933"/>
      <c r="F127" s="938"/>
      <c r="G127" s="821"/>
      <c r="H127" s="932"/>
      <c r="I127" s="943" t="s">
        <v>603</v>
      </c>
      <c r="J127" s="942" t="s">
        <v>648</v>
      </c>
      <c r="K127" s="875"/>
      <c r="L127" s="411"/>
      <c r="M127" s="411"/>
      <c r="N127" s="653"/>
      <c r="O127" s="407"/>
      <c r="P127" s="407"/>
      <c r="Q127" s="407"/>
      <c r="R127" s="407"/>
      <c r="S127" s="407"/>
      <c r="T127" s="407"/>
    </row>
    <row r="128" spans="1:90" ht="15" customHeight="1" x14ac:dyDescent="0.2">
      <c r="A128" s="482"/>
      <c r="B128" s="919"/>
      <c r="C128" s="1438"/>
      <c r="D128" s="1438"/>
      <c r="E128" s="933"/>
      <c r="F128" s="938"/>
      <c r="G128" s="821"/>
      <c r="H128" s="932"/>
      <c r="I128" s="943" t="s">
        <v>604</v>
      </c>
      <c r="J128" s="944" t="s">
        <v>649</v>
      </c>
      <c r="K128" s="875"/>
      <c r="L128" s="411"/>
      <c r="M128" s="411"/>
      <c r="N128" s="653"/>
      <c r="O128" s="407"/>
      <c r="P128" s="407"/>
      <c r="Q128" s="407"/>
      <c r="R128" s="407"/>
      <c r="S128" s="407"/>
      <c r="T128" s="407"/>
    </row>
    <row r="129" spans="1:20" ht="15" customHeight="1" x14ac:dyDescent="0.2">
      <c r="A129" s="482"/>
      <c r="B129" s="919"/>
      <c r="C129" s="1438" t="s">
        <v>650</v>
      </c>
      <c r="D129" s="1438"/>
      <c r="E129" s="933"/>
      <c r="F129" s="938"/>
      <c r="G129" s="821"/>
      <c r="H129" s="932"/>
      <c r="I129" s="940"/>
      <c r="J129" s="941"/>
      <c r="K129" s="875"/>
      <c r="L129" s="411"/>
      <c r="M129" s="411"/>
      <c r="N129" s="653"/>
      <c r="O129" s="407"/>
      <c r="P129" s="407"/>
      <c r="Q129" s="407"/>
      <c r="R129" s="407"/>
      <c r="S129" s="407"/>
      <c r="T129" s="407"/>
    </row>
    <row r="130" spans="1:20" ht="15" customHeight="1" x14ac:dyDescent="0.2">
      <c r="A130" s="482"/>
      <c r="B130" s="919"/>
      <c r="C130" s="1438"/>
      <c r="D130" s="1438"/>
      <c r="E130" s="933"/>
      <c r="F130" s="938"/>
      <c r="G130" s="821"/>
      <c r="H130" s="932"/>
      <c r="I130" s="943"/>
      <c r="J130" s="941"/>
      <c r="K130" s="876"/>
      <c r="L130" s="411"/>
      <c r="M130" s="411"/>
      <c r="N130" s="653"/>
      <c r="O130" s="407"/>
      <c r="P130" s="407"/>
      <c r="Q130" s="407"/>
      <c r="R130" s="407"/>
      <c r="S130" s="407"/>
      <c r="T130" s="407"/>
    </row>
    <row r="131" spans="1:20" ht="15" customHeight="1" x14ac:dyDescent="0.2">
      <c r="A131" s="482"/>
      <c r="B131" s="919"/>
      <c r="C131" s="1438" t="s">
        <v>651</v>
      </c>
      <c r="D131" s="1438"/>
      <c r="E131" s="933"/>
      <c r="F131" s="938"/>
      <c r="G131" s="821"/>
      <c r="H131" s="932"/>
      <c r="I131" s="943" t="s">
        <v>605</v>
      </c>
      <c r="J131" s="944" t="s">
        <v>652</v>
      </c>
      <c r="K131" s="876"/>
      <c r="L131" s="411"/>
      <c r="M131" s="411"/>
      <c r="N131" s="653"/>
      <c r="O131" s="407"/>
      <c r="P131" s="407"/>
      <c r="Q131" s="407"/>
      <c r="R131" s="407"/>
      <c r="S131" s="407"/>
      <c r="T131" s="407"/>
    </row>
    <row r="132" spans="1:20" ht="15" customHeight="1" x14ac:dyDescent="0.2">
      <c r="A132" s="482"/>
      <c r="B132" s="919"/>
      <c r="C132" s="1438"/>
      <c r="D132" s="1438"/>
      <c r="E132" s="933"/>
      <c r="F132" s="938"/>
      <c r="G132" s="821"/>
      <c r="H132" s="932"/>
      <c r="I132" s="455"/>
      <c r="J132" s="945"/>
      <c r="K132" s="876"/>
      <c r="L132" s="411"/>
      <c r="M132" s="411"/>
      <c r="N132" s="653"/>
      <c r="O132" s="407"/>
      <c r="P132" s="407"/>
      <c r="Q132" s="407"/>
      <c r="R132" s="407"/>
      <c r="S132" s="407"/>
      <c r="T132" s="407"/>
    </row>
    <row r="133" spans="1:20" ht="15" customHeight="1" x14ac:dyDescent="0.2">
      <c r="A133" s="482"/>
      <c r="B133" s="919"/>
      <c r="C133" s="1438" t="s">
        <v>653</v>
      </c>
      <c r="D133" s="1438"/>
      <c r="E133" s="933"/>
      <c r="F133" s="938"/>
      <c r="G133" s="821"/>
      <c r="H133" s="932"/>
      <c r="I133" s="483"/>
      <c r="J133" s="945"/>
      <c r="K133" s="876"/>
      <c r="L133" s="411"/>
      <c r="M133" s="411"/>
      <c r="N133" s="653"/>
      <c r="O133" s="407"/>
      <c r="P133" s="407"/>
      <c r="Q133" s="407"/>
      <c r="R133" s="407"/>
      <c r="S133" s="407"/>
      <c r="T133" s="407"/>
    </row>
    <row r="134" spans="1:20" ht="15" customHeight="1" x14ac:dyDescent="0.2">
      <c r="A134" s="482"/>
      <c r="B134" s="919"/>
      <c r="C134" s="1438"/>
      <c r="D134" s="1438"/>
      <c r="E134" s="933"/>
      <c r="F134" s="938"/>
      <c r="G134" s="821"/>
      <c r="H134" s="932"/>
      <c r="I134" s="483"/>
      <c r="J134" s="945"/>
      <c r="K134" s="411"/>
      <c r="L134" s="411"/>
      <c r="M134" s="411"/>
      <c r="N134" s="653"/>
      <c r="O134" s="407"/>
      <c r="P134" s="407"/>
      <c r="Q134" s="407"/>
      <c r="R134" s="407"/>
      <c r="S134" s="407"/>
      <c r="T134" s="407"/>
    </row>
    <row r="135" spans="1:20" ht="15" customHeight="1" x14ac:dyDescent="0.2">
      <c r="A135" s="482"/>
      <c r="B135" s="919"/>
      <c r="C135" s="1438" t="s">
        <v>654</v>
      </c>
      <c r="D135" s="1438"/>
      <c r="E135" s="933"/>
      <c r="F135" s="938"/>
      <c r="G135" s="821"/>
      <c r="H135" s="932"/>
      <c r="I135" s="932"/>
      <c r="J135" s="494"/>
      <c r="K135" s="411"/>
      <c r="L135" s="411"/>
      <c r="M135" s="411"/>
      <c r="N135" s="653"/>
      <c r="O135" s="407"/>
      <c r="P135" s="407"/>
      <c r="Q135" s="407"/>
      <c r="R135" s="407"/>
      <c r="S135" s="407"/>
      <c r="T135" s="407"/>
    </row>
    <row r="136" spans="1:20" ht="15" customHeight="1" x14ac:dyDescent="0.2">
      <c r="A136" s="482"/>
      <c r="B136" s="919"/>
      <c r="C136" s="1438"/>
      <c r="D136" s="1438"/>
      <c r="E136" s="933"/>
      <c r="F136" s="938"/>
      <c r="G136" s="821"/>
      <c r="H136" s="918"/>
      <c r="I136" s="932"/>
      <c r="J136" s="494"/>
      <c r="K136" s="411"/>
      <c r="L136" s="411"/>
      <c r="M136" s="411"/>
      <c r="N136" s="653"/>
      <c r="O136" s="407"/>
      <c r="P136" s="407"/>
      <c r="Q136" s="407"/>
      <c r="R136" s="407"/>
      <c r="S136" s="407"/>
      <c r="T136" s="407"/>
    </row>
    <row r="137" spans="1:20" ht="15" customHeight="1" x14ac:dyDescent="0.2">
      <c r="A137" s="482"/>
      <c r="B137" s="919"/>
      <c r="C137" s="1438" t="s">
        <v>655</v>
      </c>
      <c r="D137" s="1438"/>
      <c r="E137" s="933"/>
      <c r="F137" s="938"/>
      <c r="G137" s="821"/>
      <c r="H137" s="918"/>
      <c r="I137" s="918"/>
      <c r="J137" s="494"/>
      <c r="K137" s="411"/>
      <c r="L137" s="411"/>
      <c r="M137" s="411"/>
      <c r="N137" s="653"/>
      <c r="O137" s="407"/>
      <c r="P137" s="407"/>
      <c r="Q137" s="407"/>
      <c r="R137" s="407"/>
      <c r="S137" s="407"/>
      <c r="T137" s="407"/>
    </row>
    <row r="138" spans="1:20" ht="15" customHeight="1" thickBot="1" x14ac:dyDescent="0.25">
      <c r="A138" s="482"/>
      <c r="B138" s="946"/>
      <c r="C138" s="1439"/>
      <c r="D138" s="1439"/>
      <c r="E138" s="947"/>
      <c r="F138" s="948"/>
      <c r="G138" s="824"/>
      <c r="H138" s="494"/>
      <c r="I138" s="918"/>
      <c r="J138" s="494"/>
      <c r="K138" s="411"/>
      <c r="L138" s="411"/>
      <c r="M138" s="411"/>
      <c r="N138" s="653"/>
      <c r="O138" s="407"/>
      <c r="P138" s="407"/>
      <c r="Q138" s="407"/>
      <c r="R138" s="407"/>
      <c r="S138" s="407"/>
      <c r="T138" s="407"/>
    </row>
    <row r="139" spans="1:20" ht="8.25" customHeight="1" x14ac:dyDescent="0.2">
      <c r="A139" s="482"/>
      <c r="B139" s="411"/>
      <c r="C139" s="411"/>
      <c r="D139" s="411"/>
      <c r="E139" s="411"/>
      <c r="F139" s="411"/>
      <c r="G139" s="411"/>
      <c r="H139" s="411"/>
      <c r="I139" s="411"/>
      <c r="J139" s="411"/>
      <c r="K139" s="411"/>
      <c r="L139" s="411"/>
      <c r="M139" s="411"/>
      <c r="N139" s="653"/>
      <c r="O139" s="407"/>
      <c r="P139" s="407"/>
      <c r="Q139" s="407"/>
      <c r="R139" s="407"/>
      <c r="S139" s="407"/>
      <c r="T139" s="407"/>
    </row>
    <row r="140" spans="1:20" ht="15" customHeight="1" x14ac:dyDescent="0.2">
      <c r="A140" s="482"/>
      <c r="B140" s="411"/>
      <c r="C140" s="482"/>
      <c r="D140" s="877"/>
      <c r="E140" s="877"/>
      <c r="F140" s="877"/>
      <c r="G140" s="878"/>
      <c r="H140" s="407"/>
      <c r="I140" s="411"/>
      <c r="J140" s="411"/>
      <c r="K140" s="407"/>
      <c r="L140" s="407"/>
      <c r="M140" s="407"/>
      <c r="N140" s="407"/>
      <c r="O140" s="407"/>
      <c r="P140" s="407"/>
      <c r="Q140" s="407"/>
      <c r="R140" s="407"/>
      <c r="S140" s="407"/>
      <c r="T140" s="407"/>
    </row>
    <row r="141" spans="1:20" ht="15" customHeight="1" x14ac:dyDescent="0.2">
      <c r="A141" s="407"/>
      <c r="B141" s="653"/>
      <c r="C141" s="407"/>
      <c r="D141" s="412"/>
      <c r="E141" s="412"/>
      <c r="F141" s="412"/>
      <c r="G141" s="873"/>
      <c r="H141" s="407"/>
      <c r="I141" s="407"/>
      <c r="J141" s="407"/>
      <c r="K141" s="407"/>
      <c r="L141" s="407"/>
      <c r="M141" s="407"/>
      <c r="N141" s="407"/>
      <c r="O141" s="407"/>
      <c r="P141" s="407"/>
      <c r="Q141" s="407"/>
      <c r="R141" s="407"/>
      <c r="S141" s="407"/>
      <c r="T141" s="407"/>
    </row>
    <row r="142" spans="1:20" ht="20.100000000000001" customHeight="1" x14ac:dyDescent="0.2">
      <c r="A142" s="407"/>
      <c r="B142" s="653"/>
      <c r="C142" s="873"/>
      <c r="D142" s="879"/>
      <c r="E142" s="879"/>
      <c r="F142" s="879"/>
      <c r="G142" s="879"/>
      <c r="H142" s="407"/>
      <c r="I142" s="407"/>
      <c r="J142" s="407"/>
      <c r="K142" s="407"/>
      <c r="L142" s="407"/>
      <c r="M142" s="407"/>
      <c r="N142" s="407"/>
      <c r="O142" s="407"/>
      <c r="P142" s="407"/>
      <c r="Q142" s="407"/>
      <c r="R142" s="407"/>
      <c r="S142" s="407"/>
      <c r="T142" s="407"/>
    </row>
    <row r="143" spans="1:20" ht="20.100000000000001" customHeight="1" x14ac:dyDescent="0.2">
      <c r="A143" s="407"/>
      <c r="B143" s="653"/>
      <c r="C143" s="407"/>
      <c r="D143" s="407"/>
      <c r="E143" s="407"/>
      <c r="F143" s="407"/>
      <c r="G143" s="407"/>
      <c r="H143" s="411"/>
      <c r="I143" s="407"/>
      <c r="J143" s="407"/>
      <c r="K143" s="411"/>
      <c r="L143" s="411"/>
      <c r="M143" s="411"/>
      <c r="N143" s="653"/>
      <c r="O143" s="407"/>
      <c r="P143" s="407"/>
      <c r="Q143" s="407"/>
      <c r="R143" s="407"/>
      <c r="S143" s="407"/>
      <c r="T143" s="407"/>
    </row>
    <row r="144" spans="1:20" ht="15" customHeight="1" x14ac:dyDescent="0.2">
      <c r="A144" s="407"/>
      <c r="B144" s="653"/>
      <c r="C144" s="407"/>
      <c r="D144" s="407"/>
      <c r="E144" s="407"/>
      <c r="F144" s="407"/>
      <c r="G144" s="407"/>
      <c r="H144" s="411"/>
      <c r="I144" s="411"/>
      <c r="J144" s="411"/>
      <c r="K144" s="411"/>
      <c r="L144" s="411"/>
      <c r="M144" s="411"/>
      <c r="N144" s="407"/>
      <c r="O144" s="407"/>
      <c r="P144" s="407"/>
      <c r="Q144" s="407"/>
      <c r="R144" s="407"/>
      <c r="S144" s="407"/>
      <c r="T144" s="407"/>
    </row>
    <row r="145" spans="1:20" ht="15" customHeight="1" x14ac:dyDescent="0.2">
      <c r="A145" s="407"/>
      <c r="B145" s="653"/>
      <c r="C145" s="407"/>
      <c r="D145" s="407"/>
      <c r="E145" s="407"/>
      <c r="F145" s="407"/>
      <c r="G145" s="407"/>
      <c r="H145" s="411"/>
      <c r="I145" s="411"/>
      <c r="J145" s="411"/>
      <c r="K145" s="411"/>
      <c r="L145" s="411"/>
      <c r="M145" s="411"/>
      <c r="N145" s="407"/>
      <c r="O145" s="407"/>
      <c r="P145" s="407"/>
      <c r="Q145" s="407"/>
      <c r="R145" s="407"/>
      <c r="S145" s="407"/>
      <c r="T145" s="407"/>
    </row>
    <row r="146" spans="1:20" ht="15" customHeight="1" x14ac:dyDescent="0.2">
      <c r="A146" s="407"/>
      <c r="B146" s="653"/>
      <c r="C146" s="407"/>
      <c r="D146" s="407"/>
      <c r="E146" s="407"/>
      <c r="F146" s="407"/>
      <c r="G146" s="407"/>
      <c r="H146" s="411"/>
      <c r="I146" s="411"/>
      <c r="J146" s="411"/>
      <c r="K146" s="411"/>
      <c r="L146" s="411"/>
      <c r="M146" s="411"/>
      <c r="N146" s="407"/>
      <c r="O146" s="407"/>
      <c r="P146" s="407"/>
      <c r="Q146" s="407"/>
      <c r="R146" s="407"/>
      <c r="S146" s="407"/>
      <c r="T146" s="407"/>
    </row>
    <row r="147" spans="1:20" ht="15" customHeight="1" x14ac:dyDescent="0.2">
      <c r="A147" s="407"/>
      <c r="B147" s="653"/>
      <c r="C147" s="407"/>
      <c r="D147" s="407"/>
      <c r="E147" s="407"/>
      <c r="F147" s="407"/>
      <c r="G147" s="407"/>
      <c r="H147" s="411"/>
      <c r="I147" s="411"/>
      <c r="J147" s="411"/>
      <c r="K147" s="411"/>
      <c r="L147" s="411"/>
      <c r="M147" s="411"/>
      <c r="N147" s="407"/>
      <c r="O147" s="407"/>
      <c r="P147" s="407"/>
      <c r="Q147" s="407"/>
      <c r="R147" s="407"/>
      <c r="S147" s="407"/>
      <c r="T147" s="407"/>
    </row>
    <row r="148" spans="1:20" ht="15" customHeight="1" x14ac:dyDescent="0.2">
      <c r="A148" s="407"/>
      <c r="B148" s="653"/>
      <c r="C148" s="407"/>
      <c r="D148" s="407"/>
      <c r="E148" s="407"/>
      <c r="F148" s="407"/>
      <c r="G148" s="407"/>
      <c r="H148" s="411"/>
      <c r="I148" s="411"/>
      <c r="J148" s="411"/>
      <c r="K148" s="411"/>
      <c r="L148" s="411"/>
      <c r="M148" s="411"/>
      <c r="N148" s="407"/>
      <c r="O148" s="407"/>
      <c r="P148" s="407"/>
      <c r="Q148" s="407"/>
      <c r="R148" s="407"/>
      <c r="S148" s="407"/>
      <c r="T148" s="407"/>
    </row>
    <row r="149" spans="1:20" ht="15" customHeight="1" x14ac:dyDescent="0.2">
      <c r="A149" s="407"/>
      <c r="B149" s="653"/>
      <c r="C149" s="407"/>
      <c r="D149" s="407"/>
      <c r="E149" s="407"/>
      <c r="F149" s="407"/>
      <c r="G149" s="407"/>
      <c r="H149" s="411"/>
      <c r="I149" s="411"/>
      <c r="J149" s="411"/>
      <c r="K149" s="411"/>
      <c r="L149" s="411"/>
      <c r="M149" s="411"/>
      <c r="N149" s="407"/>
      <c r="O149" s="407"/>
      <c r="P149" s="407"/>
      <c r="Q149" s="407"/>
      <c r="R149" s="407"/>
      <c r="S149" s="407"/>
      <c r="T149" s="407"/>
    </row>
    <row r="150" spans="1:20" ht="15" customHeight="1" x14ac:dyDescent="0.2">
      <c r="A150" s="407"/>
      <c r="B150" s="653"/>
      <c r="C150" s="407"/>
      <c r="D150" s="407"/>
      <c r="E150" s="407"/>
      <c r="F150" s="407"/>
      <c r="G150" s="407"/>
      <c r="H150" s="411"/>
      <c r="I150" s="411"/>
      <c r="J150" s="411"/>
      <c r="K150" s="411"/>
      <c r="L150" s="411"/>
      <c r="M150" s="411"/>
      <c r="N150" s="407"/>
      <c r="O150" s="407"/>
      <c r="P150" s="407"/>
      <c r="Q150" s="407"/>
      <c r="R150" s="407"/>
      <c r="S150" s="407"/>
      <c r="T150" s="407"/>
    </row>
    <row r="151" spans="1:20" ht="15" customHeight="1" x14ac:dyDescent="0.2">
      <c r="A151" s="407"/>
      <c r="B151" s="653"/>
      <c r="C151" s="407"/>
      <c r="D151" s="407"/>
      <c r="E151" s="407"/>
      <c r="F151" s="407"/>
      <c r="G151" s="407"/>
      <c r="H151" s="411"/>
      <c r="I151" s="411"/>
      <c r="J151" s="411"/>
      <c r="K151" s="411"/>
      <c r="L151" s="411"/>
      <c r="M151" s="411"/>
      <c r="N151" s="407"/>
      <c r="O151" s="407"/>
      <c r="P151" s="407"/>
      <c r="Q151" s="407"/>
      <c r="R151" s="407"/>
      <c r="S151" s="407"/>
      <c r="T151" s="407"/>
    </row>
    <row r="152" spans="1:20" ht="15" customHeight="1" x14ac:dyDescent="0.2">
      <c r="A152" s="407"/>
      <c r="B152" s="653"/>
      <c r="C152" s="407"/>
      <c r="D152" s="407"/>
      <c r="E152" s="407"/>
      <c r="F152" s="407"/>
      <c r="G152" s="407"/>
      <c r="H152" s="411"/>
      <c r="I152" s="411"/>
      <c r="J152" s="411"/>
      <c r="K152" s="411"/>
      <c r="L152" s="411"/>
      <c r="M152" s="411"/>
      <c r="N152" s="407"/>
      <c r="O152" s="407"/>
      <c r="P152" s="407"/>
      <c r="Q152" s="407"/>
      <c r="R152" s="407"/>
      <c r="S152" s="407"/>
      <c r="T152" s="407"/>
    </row>
    <row r="153" spans="1:20" ht="15" customHeight="1" x14ac:dyDescent="0.2">
      <c r="A153" s="407"/>
      <c r="B153" s="653"/>
      <c r="C153" s="407"/>
      <c r="D153" s="407"/>
      <c r="E153" s="407"/>
      <c r="F153" s="407"/>
      <c r="G153" s="407"/>
      <c r="H153" s="411"/>
      <c r="I153" s="411"/>
      <c r="J153" s="411"/>
      <c r="K153" s="411"/>
      <c r="L153" s="411"/>
      <c r="M153" s="411"/>
      <c r="N153" s="407"/>
      <c r="O153" s="407"/>
      <c r="P153" s="407"/>
      <c r="Q153" s="407"/>
      <c r="R153" s="407"/>
      <c r="S153" s="407"/>
      <c r="T153" s="407"/>
    </row>
    <row r="154" spans="1:20" ht="15" customHeight="1" x14ac:dyDescent="0.2">
      <c r="A154" s="407"/>
      <c r="B154" s="653"/>
      <c r="C154" s="407"/>
      <c r="D154" s="407"/>
      <c r="E154" s="407"/>
      <c r="F154" s="407"/>
      <c r="G154" s="407"/>
      <c r="H154" s="411"/>
      <c r="I154" s="411"/>
      <c r="J154" s="411"/>
      <c r="K154" s="411"/>
      <c r="L154" s="411"/>
      <c r="M154" s="411"/>
      <c r="N154" s="407"/>
      <c r="O154" s="407"/>
      <c r="P154" s="407"/>
      <c r="Q154" s="407"/>
      <c r="R154" s="407"/>
      <c r="S154" s="407"/>
      <c r="T154" s="407"/>
    </row>
    <row r="155" spans="1:20" ht="15" customHeight="1" x14ac:dyDescent="0.2">
      <c r="A155" s="407"/>
      <c r="B155" s="653"/>
      <c r="C155" s="407"/>
      <c r="D155" s="407"/>
      <c r="E155" s="407"/>
      <c r="F155" s="407"/>
      <c r="G155" s="407"/>
      <c r="H155" s="411"/>
      <c r="I155" s="411"/>
      <c r="J155" s="411"/>
      <c r="K155" s="411"/>
      <c r="L155" s="411"/>
      <c r="M155" s="411"/>
      <c r="N155" s="407"/>
      <c r="O155" s="407"/>
      <c r="P155" s="407"/>
      <c r="Q155" s="407"/>
      <c r="R155" s="407"/>
      <c r="S155" s="407"/>
      <c r="T155" s="407"/>
    </row>
    <row r="156" spans="1:20" ht="15" customHeight="1" x14ac:dyDescent="0.2">
      <c r="A156" s="407"/>
      <c r="B156" s="653"/>
      <c r="C156" s="407"/>
      <c r="D156" s="407"/>
      <c r="E156" s="407"/>
      <c r="F156" s="407"/>
      <c r="G156" s="407"/>
      <c r="H156" s="411"/>
      <c r="I156" s="411"/>
      <c r="J156" s="411"/>
      <c r="K156" s="411"/>
      <c r="L156" s="411"/>
      <c r="M156" s="411"/>
      <c r="N156" s="407"/>
      <c r="O156" s="407"/>
      <c r="P156" s="407"/>
      <c r="Q156" s="407"/>
      <c r="R156" s="407"/>
      <c r="S156" s="407"/>
      <c r="T156" s="407"/>
    </row>
    <row r="157" spans="1:20" ht="15" customHeight="1" x14ac:dyDescent="0.2">
      <c r="A157" s="407"/>
      <c r="B157" s="653"/>
      <c r="C157" s="407"/>
      <c r="D157" s="407"/>
      <c r="E157" s="407"/>
      <c r="F157" s="407"/>
      <c r="G157" s="407"/>
      <c r="H157" s="411"/>
      <c r="I157" s="411"/>
      <c r="J157" s="411"/>
      <c r="K157" s="411"/>
      <c r="L157" s="411"/>
      <c r="M157" s="411"/>
      <c r="N157" s="407"/>
      <c r="O157" s="407"/>
      <c r="P157" s="407"/>
      <c r="Q157" s="407"/>
      <c r="R157" s="407"/>
      <c r="S157" s="407"/>
      <c r="T157" s="407"/>
    </row>
    <row r="158" spans="1:20" ht="15" customHeight="1" x14ac:dyDescent="0.2">
      <c r="A158" s="407"/>
      <c r="B158" s="653"/>
      <c r="C158" s="407"/>
      <c r="D158" s="407"/>
      <c r="E158" s="407"/>
      <c r="F158" s="407"/>
      <c r="G158" s="407"/>
      <c r="H158" s="411"/>
      <c r="I158" s="411"/>
      <c r="J158" s="411"/>
      <c r="K158" s="411"/>
      <c r="L158" s="411"/>
      <c r="M158" s="411"/>
      <c r="N158" s="407"/>
      <c r="O158" s="407"/>
      <c r="P158" s="407"/>
      <c r="Q158" s="407"/>
      <c r="R158" s="407"/>
      <c r="S158" s="407"/>
      <c r="T158" s="407"/>
    </row>
    <row r="159" spans="1:20" ht="15" customHeight="1" x14ac:dyDescent="0.2">
      <c r="A159" s="407"/>
      <c r="B159" s="653"/>
      <c r="C159" s="407"/>
      <c r="D159" s="407"/>
      <c r="E159" s="407"/>
      <c r="F159" s="407"/>
      <c r="G159" s="407"/>
      <c r="H159" s="411"/>
      <c r="I159" s="411"/>
      <c r="J159" s="411"/>
      <c r="K159" s="411"/>
      <c r="L159" s="411"/>
      <c r="M159" s="880"/>
      <c r="N159" s="407"/>
      <c r="O159" s="407"/>
      <c r="P159" s="407"/>
      <c r="Q159" s="407"/>
      <c r="R159" s="407"/>
      <c r="S159" s="407"/>
      <c r="T159" s="407"/>
    </row>
    <row r="160" spans="1:20" ht="18" customHeight="1" x14ac:dyDescent="0.2">
      <c r="A160" s="407"/>
      <c r="B160" s="653"/>
      <c r="C160" s="407"/>
      <c r="D160" s="407"/>
      <c r="E160" s="407"/>
      <c r="F160" s="407"/>
      <c r="G160" s="407"/>
      <c r="H160" s="411"/>
      <c r="I160" s="411"/>
      <c r="J160" s="411"/>
      <c r="K160" s="411"/>
      <c r="L160" s="411"/>
      <c r="M160" s="411"/>
      <c r="N160" s="407"/>
      <c r="O160" s="407"/>
      <c r="P160" s="407"/>
      <c r="Q160" s="407"/>
      <c r="R160" s="407"/>
      <c r="S160" s="407"/>
      <c r="T160" s="407"/>
    </row>
    <row r="161" spans="1:20" ht="18" customHeight="1" x14ac:dyDescent="0.2">
      <c r="A161" s="407"/>
      <c r="B161" s="653"/>
      <c r="C161" s="407"/>
      <c r="D161" s="407"/>
      <c r="E161" s="407"/>
      <c r="F161" s="407"/>
      <c r="G161" s="407"/>
      <c r="H161" s="411"/>
      <c r="I161" s="411"/>
      <c r="J161" s="411"/>
      <c r="K161" s="411"/>
      <c r="L161" s="411"/>
      <c r="M161" s="411"/>
      <c r="N161" s="407"/>
      <c r="O161" s="407"/>
      <c r="P161" s="407"/>
      <c r="Q161" s="407"/>
      <c r="R161" s="407"/>
      <c r="S161" s="407"/>
      <c r="T161" s="407"/>
    </row>
    <row r="162" spans="1:20" ht="18" customHeight="1" x14ac:dyDescent="0.2">
      <c r="A162" s="407"/>
      <c r="B162" s="653"/>
      <c r="C162" s="407"/>
      <c r="D162" s="407"/>
      <c r="E162" s="407"/>
      <c r="F162" s="407"/>
      <c r="G162" s="407"/>
      <c r="H162" s="411"/>
      <c r="I162" s="411"/>
      <c r="J162" s="411"/>
      <c r="K162" s="411"/>
      <c r="L162" s="411"/>
      <c r="M162" s="411"/>
      <c r="N162" s="407"/>
      <c r="O162" s="407"/>
      <c r="P162" s="407"/>
      <c r="Q162" s="407"/>
      <c r="R162" s="407"/>
      <c r="S162" s="407"/>
      <c r="T162" s="407"/>
    </row>
    <row r="163" spans="1:20" ht="18" customHeight="1" x14ac:dyDescent="0.2">
      <c r="A163" s="407"/>
      <c r="B163" s="653"/>
      <c r="C163" s="407"/>
      <c r="D163" s="407"/>
      <c r="E163" s="407"/>
      <c r="F163" s="407"/>
      <c r="G163" s="407"/>
      <c r="H163" s="411"/>
      <c r="I163" s="411"/>
      <c r="J163" s="411"/>
      <c r="K163" s="411"/>
      <c r="L163" s="411"/>
      <c r="M163" s="411"/>
      <c r="N163" s="407"/>
      <c r="O163" s="407"/>
      <c r="P163" s="407"/>
      <c r="Q163" s="407"/>
      <c r="R163" s="407"/>
      <c r="S163" s="407"/>
      <c r="T163" s="407"/>
    </row>
    <row r="164" spans="1:20" ht="18" customHeight="1" x14ac:dyDescent="0.2">
      <c r="A164" s="907"/>
      <c r="B164" s="908"/>
      <c r="C164" s="907"/>
      <c r="D164" s="907"/>
      <c r="E164" s="907"/>
      <c r="F164" s="907"/>
      <c r="G164" s="907"/>
      <c r="H164" s="869"/>
      <c r="I164" s="869"/>
      <c r="J164" s="869"/>
      <c r="K164" s="869"/>
      <c r="L164" s="869"/>
      <c r="M164" s="869"/>
      <c r="N164" s="907"/>
      <c r="O164" s="907"/>
      <c r="P164" s="907"/>
    </row>
    <row r="165" spans="1:20" ht="18" customHeight="1" x14ac:dyDescent="0.2">
      <c r="A165" s="907"/>
      <c r="B165" s="908"/>
      <c r="C165" s="907"/>
      <c r="D165" s="907"/>
      <c r="E165" s="907"/>
      <c r="F165" s="907"/>
      <c r="G165" s="907"/>
      <c r="H165" s="869"/>
      <c r="I165" s="869"/>
      <c r="J165" s="869"/>
      <c r="K165" s="869"/>
      <c r="L165" s="869"/>
      <c r="M165" s="869"/>
      <c r="N165" s="907"/>
      <c r="O165" s="907"/>
      <c r="P165" s="907"/>
    </row>
    <row r="166" spans="1:20" ht="18" customHeight="1" x14ac:dyDescent="0.2">
      <c r="A166" s="907"/>
      <c r="B166" s="908"/>
      <c r="C166" s="907"/>
      <c r="D166" s="907"/>
      <c r="E166" s="907"/>
      <c r="F166" s="907"/>
      <c r="G166" s="907"/>
      <c r="H166" s="907"/>
      <c r="I166" s="869"/>
      <c r="J166" s="869"/>
      <c r="K166" s="907"/>
      <c r="L166" s="907"/>
      <c r="M166" s="907"/>
      <c r="N166" s="907"/>
      <c r="O166" s="907"/>
      <c r="P166" s="907"/>
    </row>
    <row r="167" spans="1:20" ht="18" customHeight="1" x14ac:dyDescent="0.2">
      <c r="A167" s="907"/>
      <c r="B167" s="908"/>
      <c r="C167" s="907"/>
      <c r="D167" s="907"/>
      <c r="E167" s="907"/>
      <c r="F167" s="907"/>
      <c r="G167" s="907"/>
      <c r="H167" s="907"/>
      <c r="I167" s="907"/>
      <c r="J167" s="907"/>
      <c r="K167" s="907"/>
      <c r="L167" s="907"/>
      <c r="M167" s="907"/>
      <c r="N167" s="907"/>
      <c r="O167" s="907"/>
      <c r="P167" s="907"/>
    </row>
    <row r="168" spans="1:20" ht="15" customHeight="1" x14ac:dyDescent="0.2">
      <c r="A168" s="907"/>
      <c r="B168" s="908"/>
      <c r="C168" s="907"/>
      <c r="D168" s="907"/>
      <c r="E168" s="907"/>
      <c r="F168" s="907"/>
      <c r="G168" s="907"/>
      <c r="H168" s="907"/>
      <c r="I168" s="907"/>
      <c r="J168" s="907"/>
      <c r="K168" s="907"/>
      <c r="L168" s="907"/>
      <c r="M168" s="907"/>
      <c r="N168" s="907"/>
      <c r="O168" s="907"/>
      <c r="P168" s="907"/>
    </row>
    <row r="169" spans="1:20" ht="15" customHeight="1" x14ac:dyDescent="0.2">
      <c r="A169" s="907"/>
      <c r="B169" s="908"/>
      <c r="C169" s="907"/>
      <c r="D169" s="907"/>
      <c r="E169" s="907"/>
      <c r="F169" s="907"/>
      <c r="G169" s="907"/>
      <c r="H169" s="907"/>
      <c r="I169" s="907"/>
      <c r="J169" s="907"/>
      <c r="K169" s="907"/>
      <c r="L169" s="907"/>
      <c r="M169" s="907"/>
      <c r="N169" s="907"/>
      <c r="O169" s="907"/>
      <c r="P169" s="907"/>
    </row>
    <row r="170" spans="1:20" ht="15" customHeight="1" x14ac:dyDescent="0.2">
      <c r="A170" s="907"/>
      <c r="B170" s="908"/>
      <c r="C170" s="907"/>
      <c r="D170" s="907"/>
      <c r="E170" s="907"/>
      <c r="F170" s="907"/>
      <c r="G170" s="907"/>
      <c r="H170" s="907"/>
      <c r="I170" s="907"/>
      <c r="J170" s="907"/>
      <c r="K170" s="907"/>
      <c r="L170" s="907"/>
      <c r="M170" s="907"/>
      <c r="N170" s="907"/>
      <c r="O170" s="907"/>
      <c r="P170" s="907"/>
    </row>
    <row r="171" spans="1:20" ht="15" customHeight="1" x14ac:dyDescent="0.2">
      <c r="A171" s="907"/>
      <c r="B171" s="908"/>
      <c r="C171" s="907"/>
      <c r="D171" s="907"/>
      <c r="E171" s="907"/>
      <c r="F171" s="907"/>
      <c r="G171" s="907"/>
      <c r="H171" s="907"/>
      <c r="I171" s="907"/>
      <c r="J171" s="907"/>
      <c r="K171" s="907"/>
      <c r="L171" s="907"/>
      <c r="M171" s="907"/>
      <c r="N171" s="907"/>
      <c r="O171" s="907"/>
      <c r="P171" s="907"/>
    </row>
    <row r="172" spans="1:20" ht="15" customHeight="1" x14ac:dyDescent="0.2">
      <c r="A172" s="907"/>
      <c r="B172" s="908"/>
      <c r="C172" s="907"/>
      <c r="D172" s="907"/>
      <c r="E172" s="907"/>
      <c r="F172" s="907"/>
      <c r="G172" s="907"/>
      <c r="H172" s="907"/>
      <c r="I172" s="907"/>
      <c r="J172" s="907"/>
      <c r="K172" s="907"/>
      <c r="L172" s="907"/>
      <c r="M172" s="907"/>
      <c r="N172" s="907"/>
      <c r="O172" s="907"/>
      <c r="P172" s="907"/>
    </row>
    <row r="173" spans="1:20" ht="15" customHeight="1" x14ac:dyDescent="0.2">
      <c r="A173" s="907"/>
      <c r="B173" s="908"/>
      <c r="C173" s="907"/>
      <c r="D173" s="907"/>
      <c r="E173" s="907"/>
      <c r="F173" s="907"/>
      <c r="G173" s="907"/>
      <c r="H173" s="907"/>
      <c r="I173" s="907"/>
      <c r="J173" s="907"/>
      <c r="K173" s="907"/>
      <c r="L173" s="907"/>
      <c r="M173" s="907"/>
      <c r="N173" s="907"/>
      <c r="O173" s="907"/>
      <c r="P173" s="907"/>
    </row>
  </sheetData>
  <mergeCells count="64">
    <mergeCell ref="C15:E15"/>
    <mergeCell ref="B2:G2"/>
    <mergeCell ref="C5:E5"/>
    <mergeCell ref="C6:E6"/>
    <mergeCell ref="C7:E7"/>
    <mergeCell ref="C8:C9"/>
    <mergeCell ref="D8:E8"/>
    <mergeCell ref="D9:E9"/>
    <mergeCell ref="C10:E10"/>
    <mergeCell ref="C11:E11"/>
    <mergeCell ref="C12:E12"/>
    <mergeCell ref="C13:E13"/>
    <mergeCell ref="C14:E14"/>
    <mergeCell ref="C16:E16"/>
    <mergeCell ref="B17:B34"/>
    <mergeCell ref="C17:D18"/>
    <mergeCell ref="C19:D20"/>
    <mergeCell ref="C21:D22"/>
    <mergeCell ref="C23:D24"/>
    <mergeCell ref="C25:D26"/>
    <mergeCell ref="C27:D28"/>
    <mergeCell ref="C29:D30"/>
    <mergeCell ref="C97:E97"/>
    <mergeCell ref="C98:E98"/>
    <mergeCell ref="C99:E99"/>
    <mergeCell ref="C31:D32"/>
    <mergeCell ref="C33:D34"/>
    <mergeCell ref="C35:D36"/>
    <mergeCell ref="C37:D38"/>
    <mergeCell ref="C39:D40"/>
    <mergeCell ref="C41:D42"/>
    <mergeCell ref="C43:D44"/>
    <mergeCell ref="A1:L1"/>
    <mergeCell ref="C119:D120"/>
    <mergeCell ref="C121:D122"/>
    <mergeCell ref="C123:D124"/>
    <mergeCell ref="C125:D126"/>
    <mergeCell ref="C105:E105"/>
    <mergeCell ref="C106:E106"/>
    <mergeCell ref="C107:E107"/>
    <mergeCell ref="C108:E108"/>
    <mergeCell ref="B109:B126"/>
    <mergeCell ref="C109:D110"/>
    <mergeCell ref="C111:D112"/>
    <mergeCell ref="C113:D114"/>
    <mergeCell ref="C115:D116"/>
    <mergeCell ref="C117:D118"/>
    <mergeCell ref="C102:E102"/>
    <mergeCell ref="C131:D132"/>
    <mergeCell ref="C133:D134"/>
    <mergeCell ref="C135:D136"/>
    <mergeCell ref="C137:D138"/>
    <mergeCell ref="F3:K3"/>
    <mergeCell ref="D49:E50"/>
    <mergeCell ref="C129:D130"/>
    <mergeCell ref="C100:C101"/>
    <mergeCell ref="D100:E100"/>
    <mergeCell ref="D101:E101"/>
    <mergeCell ref="C127:D128"/>
    <mergeCell ref="C103:E103"/>
    <mergeCell ref="C104:E104"/>
    <mergeCell ref="C45:D46"/>
    <mergeCell ref="B94:G94"/>
    <mergeCell ref="F95:G95"/>
  </mergeCells>
  <pageMargins left="0.35" right="0.35" top="0.4" bottom="0.4" header="0" footer="0"/>
  <pageSetup paperSize="119" orientation="portrait" horizontalDpi="400" verticalDpi="400" r:id="rId1"/>
  <headerFooter alignWithMargins="0"/>
  <ignoredErrors>
    <ignoredError sqref="C21 C25 C29 C33 C37 C41" formula="1"/>
  </ignoredErrors>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A1:AH105"/>
  <sheetViews>
    <sheetView showGridLines="0" showZeros="0" zoomScale="75" zoomScaleNormal="75" workbookViewId="0">
      <selection activeCell="J1" sqref="J1:R1"/>
    </sheetView>
  </sheetViews>
  <sheetFormatPr defaultRowHeight="12.75" x14ac:dyDescent="0.2"/>
  <cols>
    <col min="1" max="1" width="1.7109375" style="16" customWidth="1"/>
    <col min="2" max="2" width="7.140625" style="16" customWidth="1"/>
    <col min="3" max="3" width="7.7109375" style="16" customWidth="1"/>
    <col min="4" max="4" width="6.140625" style="16" bestFit="1" customWidth="1"/>
    <col min="5" max="5" width="10.5703125" style="16" customWidth="1"/>
    <col min="6" max="6" width="10.7109375" style="16" customWidth="1"/>
    <col min="7" max="7" width="31.7109375" style="16" bestFit="1" customWidth="1"/>
    <col min="8" max="8" width="1.7109375" style="16" customWidth="1"/>
    <col min="9" max="9" width="12.42578125" style="16" customWidth="1"/>
    <col min="10" max="15" width="7.7109375" style="16" customWidth="1"/>
    <col min="16" max="16" width="16.5703125" style="16" bestFit="1" customWidth="1"/>
    <col min="17" max="17" width="19" style="16" bestFit="1" customWidth="1"/>
    <col min="18" max="18" width="38.140625" style="16" customWidth="1"/>
    <col min="19" max="16384" width="9.140625" style="16"/>
  </cols>
  <sheetData>
    <row r="1" spans="1:34" ht="18" x14ac:dyDescent="0.25">
      <c r="A1" s="1473" t="str">
        <f>UPPER("Obstruction Removal Summary Table")</f>
        <v>OBSTRUCTION REMOVAL SUMMARY TABLE</v>
      </c>
      <c r="B1" s="1225"/>
      <c r="C1" s="1225"/>
      <c r="D1" s="1225"/>
      <c r="E1" s="1225"/>
      <c r="F1" s="1225"/>
      <c r="G1" s="1225"/>
      <c r="H1" s="1225"/>
      <c r="I1" s="482"/>
      <c r="J1" s="1469" t="s">
        <v>448</v>
      </c>
      <c r="K1" s="1469"/>
      <c r="L1" s="1469"/>
      <c r="M1" s="1469"/>
      <c r="N1" s="1469"/>
      <c r="O1" s="1469"/>
      <c r="P1" s="1469"/>
      <c r="Q1" s="1469"/>
      <c r="R1" s="1469"/>
      <c r="S1" s="407"/>
      <c r="T1" s="407"/>
      <c r="U1" s="407"/>
      <c r="V1" s="407"/>
      <c r="W1" s="407"/>
      <c r="X1" s="407"/>
      <c r="Y1" s="407"/>
      <c r="Z1" s="407"/>
      <c r="AA1" s="407"/>
      <c r="AB1" s="407"/>
      <c r="AC1" s="407"/>
      <c r="AD1" s="407"/>
      <c r="AE1" s="407"/>
      <c r="AF1" s="407"/>
      <c r="AG1" s="407"/>
      <c r="AH1" s="407"/>
    </row>
    <row r="2" spans="1:34" ht="13.5" thickBot="1" x14ac:dyDescent="0.25">
      <c r="A2" s="407"/>
      <c r="B2" s="1488"/>
      <c r="C2" s="1489"/>
      <c r="D2" s="1489"/>
      <c r="E2" s="1489"/>
      <c r="F2" s="1489"/>
      <c r="G2" s="1490"/>
      <c r="H2" s="451"/>
      <c r="I2" s="407"/>
      <c r="J2" s="483">
        <v>4</v>
      </c>
      <c r="K2" s="484">
        <v>8</v>
      </c>
      <c r="L2" s="484">
        <v>12</v>
      </c>
      <c r="M2" s="484">
        <v>24</v>
      </c>
      <c r="N2" s="484">
        <v>36</v>
      </c>
      <c r="O2" s="484">
        <v>60</v>
      </c>
      <c r="P2" s="407" t="s">
        <v>344</v>
      </c>
      <c r="R2" s="407"/>
      <c r="T2" s="407"/>
      <c r="U2" s="407"/>
      <c r="V2" s="407"/>
      <c r="W2" s="407"/>
      <c r="X2" s="407"/>
      <c r="Y2" s="407"/>
      <c r="Z2" s="407"/>
      <c r="AA2" s="407"/>
      <c r="AB2" s="407"/>
      <c r="AC2" s="407"/>
      <c r="AD2" s="407"/>
      <c r="AE2" s="407"/>
      <c r="AF2" s="407"/>
      <c r="AG2" s="407"/>
      <c r="AH2" s="407"/>
    </row>
    <row r="3" spans="1:34" ht="23.25" thickBot="1" x14ac:dyDescent="0.25">
      <c r="A3" s="407"/>
      <c r="B3" s="1474" t="s">
        <v>0</v>
      </c>
      <c r="C3" s="1475"/>
      <c r="D3" s="1478" t="s">
        <v>61</v>
      </c>
      <c r="E3" s="511" t="s">
        <v>445</v>
      </c>
      <c r="F3" s="508" t="s">
        <v>446</v>
      </c>
      <c r="G3" s="1480" t="s">
        <v>87</v>
      </c>
      <c r="H3" s="407"/>
      <c r="I3" s="407"/>
      <c r="J3" s="484">
        <v>8</v>
      </c>
      <c r="K3" s="483">
        <v>12</v>
      </c>
      <c r="L3" s="483">
        <v>24</v>
      </c>
      <c r="M3" s="483">
        <v>36</v>
      </c>
      <c r="N3" s="483">
        <v>60</v>
      </c>
      <c r="O3" s="483"/>
      <c r="P3" s="485" t="s">
        <v>165</v>
      </c>
      <c r="R3" s="407"/>
      <c r="T3" s="407"/>
      <c r="U3" s="407"/>
      <c r="V3" s="407"/>
      <c r="W3" s="407"/>
      <c r="X3" s="407"/>
      <c r="Y3" s="407"/>
      <c r="Z3" s="407"/>
      <c r="AA3" s="407"/>
      <c r="AB3" s="407"/>
      <c r="AC3" s="407"/>
      <c r="AD3" s="407"/>
      <c r="AE3" s="407"/>
      <c r="AF3" s="407"/>
      <c r="AG3" s="407"/>
      <c r="AH3" s="407"/>
    </row>
    <row r="4" spans="1:34" ht="12.75" customHeight="1" thickBot="1" x14ac:dyDescent="0.25">
      <c r="A4" s="407"/>
      <c r="B4" s="1476"/>
      <c r="C4" s="1477"/>
      <c r="D4" s="1479"/>
      <c r="E4" s="514" t="s">
        <v>444</v>
      </c>
      <c r="F4" s="515" t="s">
        <v>444</v>
      </c>
      <c r="G4" s="1481"/>
      <c r="H4" s="486"/>
      <c r="I4" s="486"/>
      <c r="J4" s="487">
        <v>6</v>
      </c>
      <c r="K4" s="488">
        <v>10</v>
      </c>
      <c r="L4" s="488">
        <v>18</v>
      </c>
      <c r="M4" s="488">
        <v>30</v>
      </c>
      <c r="N4" s="488">
        <v>48</v>
      </c>
      <c r="O4" s="488">
        <v>60</v>
      </c>
      <c r="P4" s="521" t="str">
        <f>K54</f>
        <v>Stump, Remove</v>
      </c>
      <c r="Q4" s="522" t="str">
        <f>K55</f>
        <v>Headwall, Remove</v>
      </c>
      <c r="R4" s="407"/>
      <c r="T4" s="407"/>
      <c r="U4" s="407"/>
      <c r="V4" s="407"/>
      <c r="W4" s="407"/>
      <c r="X4" s="407"/>
      <c r="Y4" s="407"/>
      <c r="Z4" s="407"/>
      <c r="AA4" s="407"/>
      <c r="AB4" s="407"/>
      <c r="AC4" s="407"/>
      <c r="AD4" s="407"/>
      <c r="AE4" s="407"/>
      <c r="AF4" s="407"/>
      <c r="AG4" s="407"/>
      <c r="AH4" s="407"/>
    </row>
    <row r="5" spans="1:34" ht="12.75" customHeight="1" x14ac:dyDescent="0.2">
      <c r="A5" s="407"/>
      <c r="B5" s="1471"/>
      <c r="C5" s="1472"/>
      <c r="D5" s="489"/>
      <c r="E5" s="512"/>
      <c r="F5" s="509" t="str">
        <f>IF(AND(E5&gt;=$J$2,E5&lt;=$J$3),$J$4,IF(AND(E5&gt;$K$2,E5&lt;=$K$3),$K$4,IF(AND(E5&gt;$L$2,E5&lt;=$L$3),$L$4,IF(AND(E5&gt;$M$2,E5&lt;=$M$3),$M$4,IF(AND(E5&gt;$N$2,E5&lt;=$N$3),$N$4,IF(E5&gt;$O$2,$O$4,""))))))</f>
        <v/>
      </c>
      <c r="G5" s="490"/>
      <c r="H5" s="491"/>
      <c r="I5" s="411"/>
      <c r="J5" s="493">
        <f t="shared" ref="J5:O6" si="0">IF($F5=J$4,1,0)</f>
        <v>0</v>
      </c>
      <c r="K5" s="493">
        <f t="shared" si="0"/>
        <v>0</v>
      </c>
      <c r="L5" s="493">
        <f t="shared" si="0"/>
        <v>0</v>
      </c>
      <c r="M5" s="493">
        <f t="shared" si="0"/>
        <v>0</v>
      </c>
      <c r="N5" s="493">
        <f t="shared" si="0"/>
        <v>0</v>
      </c>
      <c r="O5" s="493">
        <f t="shared" si="0"/>
        <v>0</v>
      </c>
      <c r="P5" s="622">
        <f t="shared" ref="P5:P49" si="1">IF(G5=$K$54,1,0)</f>
        <v>0</v>
      </c>
      <c r="Q5" s="622">
        <f t="shared" ref="Q5:Q49" si="2">IF(G5=$K$55,1,0)</f>
        <v>0</v>
      </c>
      <c r="R5" s="407"/>
      <c r="T5" s="407"/>
      <c r="U5" s="407"/>
      <c r="V5" s="407"/>
      <c r="W5" s="407"/>
      <c r="X5" s="407"/>
      <c r="Y5" s="407"/>
      <c r="Z5" s="407"/>
      <c r="AA5" s="407"/>
      <c r="AB5" s="407"/>
      <c r="AC5" s="407"/>
      <c r="AD5" s="407"/>
      <c r="AE5" s="407"/>
      <c r="AF5" s="407"/>
      <c r="AG5" s="407"/>
      <c r="AH5" s="407"/>
    </row>
    <row r="6" spans="1:34" ht="12.75" customHeight="1" x14ac:dyDescent="0.2">
      <c r="A6" s="407"/>
      <c r="B6" s="1471"/>
      <c r="C6" s="1472"/>
      <c r="D6" s="489"/>
      <c r="E6" s="512"/>
      <c r="F6" s="509" t="str">
        <f>IF(AND(E6&gt;=$J$2,E6&lt;=$J$3),$J$4,IF(AND(E6&gt;$K$2,E6&lt;=$K$3),$K$4,IF(AND(E6&gt;$L$2,E6&lt;=$L$3),$L$4,IF(AND(E6&gt;$M$2,E6&lt;=$M$3),$M$4,IF(AND(E6&gt;$N$2,E6&lt;=$N$3),$N$4,IF(E6&gt;$O$2,$O$4,""))))))</f>
        <v/>
      </c>
      <c r="G6" s="490"/>
      <c r="H6" s="491"/>
      <c r="I6" s="411"/>
      <c r="J6" s="520">
        <f t="shared" si="0"/>
        <v>0</v>
      </c>
      <c r="K6" s="520">
        <f t="shared" si="0"/>
        <v>0</v>
      </c>
      <c r="L6" s="520">
        <f t="shared" si="0"/>
        <v>0</v>
      </c>
      <c r="M6" s="520">
        <f t="shared" si="0"/>
        <v>0</v>
      </c>
      <c r="N6" s="520">
        <f t="shared" si="0"/>
        <v>0</v>
      </c>
      <c r="O6" s="520">
        <f t="shared" si="0"/>
        <v>0</v>
      </c>
      <c r="P6" s="622">
        <f t="shared" si="1"/>
        <v>0</v>
      </c>
      <c r="Q6" s="622">
        <f t="shared" si="2"/>
        <v>0</v>
      </c>
      <c r="R6" s="407"/>
      <c r="T6" s="407"/>
      <c r="U6" s="407"/>
      <c r="V6" s="407"/>
      <c r="W6" s="407"/>
      <c r="X6" s="407"/>
      <c r="Y6" s="407"/>
      <c r="Z6" s="407"/>
      <c r="AA6" s="407"/>
      <c r="AB6" s="407"/>
      <c r="AC6" s="407"/>
      <c r="AD6" s="407"/>
      <c r="AE6" s="407"/>
      <c r="AF6" s="407"/>
      <c r="AG6" s="407"/>
      <c r="AH6" s="407"/>
    </row>
    <row r="7" spans="1:34" ht="12.75" customHeight="1" x14ac:dyDescent="0.2">
      <c r="A7" s="407"/>
      <c r="B7" s="1471"/>
      <c r="C7" s="1472"/>
      <c r="D7" s="489"/>
      <c r="E7" s="512"/>
      <c r="F7" s="509" t="str">
        <f t="shared" ref="F7:F48" si="3">IF(AND(E7&gt;=$J$2,E7&lt;=$J$3),$J$4,IF(AND(E7&gt;$K$2,E7&lt;=$K$3),$K$4,IF(AND(E7&gt;$L$2,E7&lt;=$L$3),$L$4,IF(AND(E7&gt;$M$2,E7&lt;=$M$3),$M$4,IF(AND(E7&gt;$N$2,E7&lt;=$N$3),$N$4,IF(E7&gt;$O$2,$O$4,""))))))</f>
        <v/>
      </c>
      <c r="G7" s="490"/>
      <c r="H7" s="491"/>
      <c r="I7" s="411"/>
      <c r="J7" s="520">
        <f t="shared" ref="J7:O47" si="4">IF($F7=J$4,1,0)</f>
        <v>0</v>
      </c>
      <c r="K7" s="520">
        <f t="shared" si="4"/>
        <v>0</v>
      </c>
      <c r="L7" s="520">
        <f t="shared" si="4"/>
        <v>0</v>
      </c>
      <c r="M7" s="520">
        <f t="shared" si="4"/>
        <v>0</v>
      </c>
      <c r="N7" s="520">
        <f t="shared" si="4"/>
        <v>0</v>
      </c>
      <c r="O7" s="520">
        <f t="shared" si="4"/>
        <v>0</v>
      </c>
      <c r="P7" s="622">
        <f t="shared" si="1"/>
        <v>0</v>
      </c>
      <c r="Q7" s="622">
        <f t="shared" si="2"/>
        <v>0</v>
      </c>
      <c r="R7" s="407"/>
      <c r="T7" s="407"/>
      <c r="U7" s="407"/>
      <c r="V7" s="407"/>
      <c r="W7" s="407"/>
      <c r="X7" s="407"/>
      <c r="Y7" s="407"/>
      <c r="Z7" s="407"/>
      <c r="AA7" s="407"/>
      <c r="AB7" s="407"/>
      <c r="AC7" s="407"/>
      <c r="AD7" s="407"/>
      <c r="AE7" s="407"/>
      <c r="AF7" s="407"/>
      <c r="AG7" s="407"/>
      <c r="AH7" s="407"/>
    </row>
    <row r="8" spans="1:34" ht="12.75" customHeight="1" x14ac:dyDescent="0.2">
      <c r="A8" s="407"/>
      <c r="B8" s="1471"/>
      <c r="C8" s="1472"/>
      <c r="D8" s="489"/>
      <c r="E8" s="512"/>
      <c r="F8" s="509" t="str">
        <f t="shared" si="3"/>
        <v/>
      </c>
      <c r="G8" s="490"/>
      <c r="H8" s="491"/>
      <c r="I8" s="411"/>
      <c r="J8" s="520">
        <f t="shared" si="4"/>
        <v>0</v>
      </c>
      <c r="K8" s="520">
        <f t="shared" si="4"/>
        <v>0</v>
      </c>
      <c r="L8" s="520">
        <f t="shared" si="4"/>
        <v>0</v>
      </c>
      <c r="M8" s="520">
        <f t="shared" si="4"/>
        <v>0</v>
      </c>
      <c r="N8" s="520">
        <f t="shared" si="4"/>
        <v>0</v>
      </c>
      <c r="O8" s="520">
        <f t="shared" si="4"/>
        <v>0</v>
      </c>
      <c r="P8" s="622">
        <f t="shared" si="1"/>
        <v>0</v>
      </c>
      <c r="Q8" s="622">
        <f t="shared" si="2"/>
        <v>0</v>
      </c>
      <c r="R8" s="407"/>
      <c r="T8" s="407"/>
      <c r="U8" s="407"/>
      <c r="V8" s="407"/>
      <c r="W8" s="407"/>
      <c r="X8" s="407"/>
      <c r="Y8" s="407"/>
      <c r="Z8" s="407"/>
      <c r="AA8" s="407"/>
      <c r="AB8" s="407"/>
      <c r="AC8" s="407"/>
      <c r="AD8" s="407"/>
      <c r="AE8" s="407"/>
      <c r="AF8" s="407"/>
      <c r="AG8" s="407"/>
      <c r="AH8" s="407"/>
    </row>
    <row r="9" spans="1:34" ht="12.75" customHeight="1" x14ac:dyDescent="0.2">
      <c r="A9" s="407"/>
      <c r="B9" s="1471"/>
      <c r="C9" s="1472"/>
      <c r="D9" s="489"/>
      <c r="E9" s="512"/>
      <c r="F9" s="509" t="str">
        <f t="shared" si="3"/>
        <v/>
      </c>
      <c r="G9" s="490"/>
      <c r="H9" s="491"/>
      <c r="I9" s="411"/>
      <c r="J9" s="520">
        <f t="shared" si="4"/>
        <v>0</v>
      </c>
      <c r="K9" s="520">
        <f t="shared" si="4"/>
        <v>0</v>
      </c>
      <c r="L9" s="520">
        <f t="shared" si="4"/>
        <v>0</v>
      </c>
      <c r="M9" s="520">
        <f t="shared" si="4"/>
        <v>0</v>
      </c>
      <c r="N9" s="520">
        <f t="shared" si="4"/>
        <v>0</v>
      </c>
      <c r="O9" s="520">
        <f t="shared" si="4"/>
        <v>0</v>
      </c>
      <c r="P9" s="622">
        <f t="shared" si="1"/>
        <v>0</v>
      </c>
      <c r="Q9" s="622">
        <f t="shared" si="2"/>
        <v>0</v>
      </c>
      <c r="R9" s="407"/>
      <c r="T9" s="407"/>
      <c r="U9" s="407"/>
      <c r="V9" s="407"/>
      <c r="W9" s="407"/>
      <c r="X9" s="407"/>
      <c r="Y9" s="407"/>
      <c r="Z9" s="407"/>
      <c r="AA9" s="407"/>
      <c r="AB9" s="407"/>
      <c r="AC9" s="407"/>
      <c r="AD9" s="407"/>
      <c r="AE9" s="407"/>
      <c r="AF9" s="407"/>
      <c r="AG9" s="407"/>
      <c r="AH9" s="407"/>
    </row>
    <row r="10" spans="1:34" ht="12.75" customHeight="1" x14ac:dyDescent="0.2">
      <c r="A10" s="407"/>
      <c r="B10" s="1471"/>
      <c r="C10" s="1472"/>
      <c r="D10" s="489"/>
      <c r="E10" s="512"/>
      <c r="F10" s="509" t="str">
        <f t="shared" si="3"/>
        <v/>
      </c>
      <c r="G10" s="490"/>
      <c r="H10" s="491"/>
      <c r="I10" s="411"/>
      <c r="J10" s="520">
        <f t="shared" si="4"/>
        <v>0</v>
      </c>
      <c r="K10" s="520">
        <f t="shared" si="4"/>
        <v>0</v>
      </c>
      <c r="L10" s="520">
        <f t="shared" si="4"/>
        <v>0</v>
      </c>
      <c r="M10" s="520">
        <f t="shared" si="4"/>
        <v>0</v>
      </c>
      <c r="N10" s="520">
        <f t="shared" si="4"/>
        <v>0</v>
      </c>
      <c r="O10" s="520">
        <f t="shared" si="4"/>
        <v>0</v>
      </c>
      <c r="P10" s="622">
        <f t="shared" si="1"/>
        <v>0</v>
      </c>
      <c r="Q10" s="622">
        <f t="shared" si="2"/>
        <v>0</v>
      </c>
      <c r="R10" s="407"/>
      <c r="T10" s="407"/>
      <c r="U10" s="407"/>
      <c r="V10" s="407"/>
      <c r="W10" s="407"/>
      <c r="X10" s="407"/>
      <c r="Y10" s="407"/>
      <c r="Z10" s="407"/>
      <c r="AA10" s="407"/>
      <c r="AB10" s="407"/>
      <c r="AC10" s="407"/>
      <c r="AD10" s="407"/>
      <c r="AE10" s="407"/>
      <c r="AF10" s="407"/>
      <c r="AG10" s="407"/>
      <c r="AH10" s="407"/>
    </row>
    <row r="11" spans="1:34" ht="12.75" customHeight="1" x14ac:dyDescent="0.2">
      <c r="A11" s="407"/>
      <c r="B11" s="1471"/>
      <c r="C11" s="1472"/>
      <c r="D11" s="489"/>
      <c r="E11" s="512"/>
      <c r="F11" s="509" t="str">
        <f t="shared" si="3"/>
        <v/>
      </c>
      <c r="G11" s="490"/>
      <c r="H11" s="491"/>
      <c r="I11" s="411"/>
      <c r="J11" s="520">
        <f t="shared" si="4"/>
        <v>0</v>
      </c>
      <c r="K11" s="520">
        <f t="shared" si="4"/>
        <v>0</v>
      </c>
      <c r="L11" s="520">
        <f t="shared" si="4"/>
        <v>0</v>
      </c>
      <c r="M11" s="520">
        <f t="shared" si="4"/>
        <v>0</v>
      </c>
      <c r="N11" s="520">
        <f t="shared" si="4"/>
        <v>0</v>
      </c>
      <c r="O11" s="520">
        <f t="shared" si="4"/>
        <v>0</v>
      </c>
      <c r="P11" s="622">
        <f t="shared" si="1"/>
        <v>0</v>
      </c>
      <c r="Q11" s="622">
        <f t="shared" si="2"/>
        <v>0</v>
      </c>
      <c r="R11" s="407"/>
      <c r="T11" s="407"/>
      <c r="U11" s="407"/>
      <c r="V11" s="407"/>
      <c r="W11" s="407"/>
      <c r="X11" s="407"/>
      <c r="Y11" s="407"/>
      <c r="Z11" s="407"/>
      <c r="AA11" s="407"/>
      <c r="AB11" s="407"/>
      <c r="AC11" s="407"/>
      <c r="AD11" s="407"/>
      <c r="AE11" s="407"/>
      <c r="AF11" s="407"/>
      <c r="AG11" s="407"/>
      <c r="AH11" s="407"/>
    </row>
    <row r="12" spans="1:34" ht="12.75" customHeight="1" x14ac:dyDescent="0.2">
      <c r="A12" s="407"/>
      <c r="B12" s="1471"/>
      <c r="C12" s="1472"/>
      <c r="D12" s="489"/>
      <c r="E12" s="512"/>
      <c r="F12" s="509" t="str">
        <f t="shared" si="3"/>
        <v/>
      </c>
      <c r="G12" s="490"/>
      <c r="H12" s="491"/>
      <c r="I12" s="411"/>
      <c r="J12" s="520">
        <f t="shared" si="4"/>
        <v>0</v>
      </c>
      <c r="K12" s="520">
        <f t="shared" si="4"/>
        <v>0</v>
      </c>
      <c r="L12" s="520">
        <f t="shared" si="4"/>
        <v>0</v>
      </c>
      <c r="M12" s="520">
        <f t="shared" si="4"/>
        <v>0</v>
      </c>
      <c r="N12" s="520">
        <f t="shared" si="4"/>
        <v>0</v>
      </c>
      <c r="O12" s="520">
        <f t="shared" si="4"/>
        <v>0</v>
      </c>
      <c r="P12" s="622">
        <f t="shared" si="1"/>
        <v>0</v>
      </c>
      <c r="Q12" s="622">
        <f t="shared" si="2"/>
        <v>0</v>
      </c>
      <c r="R12" s="407"/>
      <c r="T12" s="407"/>
      <c r="U12" s="407"/>
      <c r="V12" s="407"/>
      <c r="W12" s="407"/>
      <c r="X12" s="407"/>
      <c r="Y12" s="407"/>
      <c r="Z12" s="407"/>
      <c r="AA12" s="407"/>
      <c r="AB12" s="407"/>
      <c r="AC12" s="407"/>
      <c r="AD12" s="407"/>
      <c r="AE12" s="407"/>
      <c r="AF12" s="407"/>
      <c r="AG12" s="407"/>
      <c r="AH12" s="407"/>
    </row>
    <row r="13" spans="1:34" ht="12.75" customHeight="1" x14ac:dyDescent="0.2">
      <c r="A13" s="407"/>
      <c r="B13" s="1471"/>
      <c r="C13" s="1472"/>
      <c r="D13" s="489"/>
      <c r="E13" s="512"/>
      <c r="F13" s="509" t="str">
        <f t="shared" si="3"/>
        <v/>
      </c>
      <c r="G13" s="490"/>
      <c r="H13" s="491"/>
      <c r="I13" s="411"/>
      <c r="J13" s="520">
        <f t="shared" si="4"/>
        <v>0</v>
      </c>
      <c r="K13" s="520">
        <f t="shared" si="4"/>
        <v>0</v>
      </c>
      <c r="L13" s="520">
        <f t="shared" si="4"/>
        <v>0</v>
      </c>
      <c r="M13" s="520">
        <f t="shared" si="4"/>
        <v>0</v>
      </c>
      <c r="N13" s="520">
        <f t="shared" si="4"/>
        <v>0</v>
      </c>
      <c r="O13" s="520">
        <f t="shared" si="4"/>
        <v>0</v>
      </c>
      <c r="P13" s="622">
        <f t="shared" si="1"/>
        <v>0</v>
      </c>
      <c r="Q13" s="622">
        <f t="shared" si="2"/>
        <v>0</v>
      </c>
      <c r="R13" s="407"/>
      <c r="T13" s="407"/>
      <c r="U13" s="407"/>
      <c r="V13" s="407"/>
      <c r="W13" s="407"/>
      <c r="X13" s="407"/>
      <c r="Y13" s="407"/>
      <c r="Z13" s="407"/>
      <c r="AA13" s="407"/>
      <c r="AB13" s="407"/>
      <c r="AC13" s="407"/>
      <c r="AD13" s="407"/>
      <c r="AE13" s="407"/>
      <c r="AF13" s="407"/>
      <c r="AG13" s="407"/>
      <c r="AH13" s="407"/>
    </row>
    <row r="14" spans="1:34" ht="12.75" customHeight="1" x14ac:dyDescent="0.2">
      <c r="A14" s="407"/>
      <c r="B14" s="1471"/>
      <c r="C14" s="1472"/>
      <c r="D14" s="489"/>
      <c r="E14" s="512"/>
      <c r="F14" s="509" t="str">
        <f t="shared" si="3"/>
        <v/>
      </c>
      <c r="G14" s="490"/>
      <c r="H14" s="491"/>
      <c r="I14" s="411"/>
      <c r="J14" s="520">
        <f t="shared" si="4"/>
        <v>0</v>
      </c>
      <c r="K14" s="520">
        <f t="shared" si="4"/>
        <v>0</v>
      </c>
      <c r="L14" s="520">
        <f t="shared" si="4"/>
        <v>0</v>
      </c>
      <c r="M14" s="520">
        <f t="shared" si="4"/>
        <v>0</v>
      </c>
      <c r="N14" s="520">
        <f t="shared" si="4"/>
        <v>0</v>
      </c>
      <c r="O14" s="520">
        <f t="shared" si="4"/>
        <v>0</v>
      </c>
      <c r="P14" s="622">
        <f t="shared" si="1"/>
        <v>0</v>
      </c>
      <c r="Q14" s="622">
        <f t="shared" si="2"/>
        <v>0</v>
      </c>
      <c r="R14" s="407"/>
      <c r="T14" s="407"/>
      <c r="U14" s="407"/>
      <c r="V14" s="407"/>
      <c r="W14" s="407"/>
      <c r="X14" s="407"/>
      <c r="Y14" s="407"/>
      <c r="Z14" s="407"/>
      <c r="AA14" s="407"/>
      <c r="AB14" s="407"/>
      <c r="AC14" s="407"/>
      <c r="AD14" s="407"/>
      <c r="AE14" s="407"/>
      <c r="AF14" s="407"/>
      <c r="AG14" s="407"/>
      <c r="AH14" s="407"/>
    </row>
    <row r="15" spans="1:34" ht="12.75" customHeight="1" x14ac:dyDescent="0.2">
      <c r="A15" s="407"/>
      <c r="B15" s="1471"/>
      <c r="C15" s="1472"/>
      <c r="D15" s="489"/>
      <c r="E15" s="512"/>
      <c r="F15" s="509" t="str">
        <f t="shared" si="3"/>
        <v/>
      </c>
      <c r="G15" s="490"/>
      <c r="H15" s="491"/>
      <c r="I15" s="411"/>
      <c r="J15" s="520">
        <f t="shared" si="4"/>
        <v>0</v>
      </c>
      <c r="K15" s="520">
        <f t="shared" si="4"/>
        <v>0</v>
      </c>
      <c r="L15" s="520">
        <f t="shared" si="4"/>
        <v>0</v>
      </c>
      <c r="M15" s="520">
        <f t="shared" si="4"/>
        <v>0</v>
      </c>
      <c r="N15" s="520">
        <f t="shared" si="4"/>
        <v>0</v>
      </c>
      <c r="O15" s="520">
        <f t="shared" si="4"/>
        <v>0</v>
      </c>
      <c r="P15" s="622">
        <f t="shared" si="1"/>
        <v>0</v>
      </c>
      <c r="Q15" s="622">
        <f t="shared" si="2"/>
        <v>0</v>
      </c>
      <c r="R15" s="407"/>
      <c r="T15" s="407"/>
      <c r="U15" s="407"/>
      <c r="V15" s="407"/>
      <c r="W15" s="407"/>
      <c r="X15" s="407"/>
      <c r="Y15" s="407"/>
      <c r="Z15" s="407"/>
      <c r="AA15" s="407"/>
      <c r="AB15" s="407"/>
      <c r="AC15" s="407"/>
      <c r="AD15" s="407"/>
      <c r="AE15" s="407"/>
      <c r="AF15" s="407"/>
      <c r="AG15" s="407"/>
      <c r="AH15" s="407"/>
    </row>
    <row r="16" spans="1:34" ht="12.75" customHeight="1" x14ac:dyDescent="0.2">
      <c r="A16" s="407"/>
      <c r="B16" s="1471"/>
      <c r="C16" s="1472"/>
      <c r="D16" s="489"/>
      <c r="E16" s="512"/>
      <c r="F16" s="509" t="str">
        <f t="shared" si="3"/>
        <v/>
      </c>
      <c r="G16" s="490"/>
      <c r="H16" s="491"/>
      <c r="I16" s="411"/>
      <c r="J16" s="520">
        <f t="shared" si="4"/>
        <v>0</v>
      </c>
      <c r="K16" s="520">
        <f t="shared" si="4"/>
        <v>0</v>
      </c>
      <c r="L16" s="520">
        <f t="shared" si="4"/>
        <v>0</v>
      </c>
      <c r="M16" s="520">
        <f t="shared" si="4"/>
        <v>0</v>
      </c>
      <c r="N16" s="520">
        <f t="shared" si="4"/>
        <v>0</v>
      </c>
      <c r="O16" s="520">
        <f t="shared" si="4"/>
        <v>0</v>
      </c>
      <c r="P16" s="622">
        <f t="shared" si="1"/>
        <v>0</v>
      </c>
      <c r="Q16" s="622">
        <f t="shared" si="2"/>
        <v>0</v>
      </c>
      <c r="R16" s="407"/>
      <c r="T16" s="407"/>
      <c r="U16" s="407"/>
      <c r="V16" s="407"/>
      <c r="W16" s="407"/>
      <c r="X16" s="407"/>
      <c r="Y16" s="407"/>
      <c r="Z16" s="407"/>
      <c r="AA16" s="407"/>
      <c r="AB16" s="407"/>
      <c r="AC16" s="407"/>
      <c r="AD16" s="407"/>
      <c r="AE16" s="407"/>
      <c r="AF16" s="407"/>
      <c r="AG16" s="407"/>
      <c r="AH16" s="407"/>
    </row>
    <row r="17" spans="1:34" ht="12.75" customHeight="1" x14ac:dyDescent="0.2">
      <c r="A17" s="407"/>
      <c r="B17" s="1471"/>
      <c r="C17" s="1472"/>
      <c r="D17" s="489"/>
      <c r="E17" s="512"/>
      <c r="F17" s="509" t="str">
        <f t="shared" si="3"/>
        <v/>
      </c>
      <c r="G17" s="490"/>
      <c r="H17" s="491"/>
      <c r="I17" s="411"/>
      <c r="J17" s="520">
        <f t="shared" si="4"/>
        <v>0</v>
      </c>
      <c r="K17" s="520">
        <f t="shared" si="4"/>
        <v>0</v>
      </c>
      <c r="L17" s="520">
        <f t="shared" si="4"/>
        <v>0</v>
      </c>
      <c r="M17" s="520">
        <f t="shared" si="4"/>
        <v>0</v>
      </c>
      <c r="N17" s="520">
        <f t="shared" si="4"/>
        <v>0</v>
      </c>
      <c r="O17" s="520">
        <f t="shared" si="4"/>
        <v>0</v>
      </c>
      <c r="P17" s="622">
        <f t="shared" si="1"/>
        <v>0</v>
      </c>
      <c r="Q17" s="622">
        <f t="shared" si="2"/>
        <v>0</v>
      </c>
      <c r="R17" s="407"/>
      <c r="T17" s="407"/>
      <c r="U17" s="407"/>
      <c r="V17" s="407"/>
      <c r="W17" s="407"/>
      <c r="X17" s="407"/>
      <c r="Y17" s="407"/>
      <c r="Z17" s="407"/>
      <c r="AA17" s="407"/>
      <c r="AB17" s="407"/>
      <c r="AC17" s="407"/>
      <c r="AD17" s="407"/>
      <c r="AE17" s="407"/>
      <c r="AF17" s="407"/>
      <c r="AG17" s="407"/>
      <c r="AH17" s="407"/>
    </row>
    <row r="18" spans="1:34" ht="12.75" customHeight="1" x14ac:dyDescent="0.2">
      <c r="A18" s="407"/>
      <c r="B18" s="1471"/>
      <c r="C18" s="1472"/>
      <c r="D18" s="489"/>
      <c r="E18" s="512"/>
      <c r="F18" s="509" t="str">
        <f t="shared" si="3"/>
        <v/>
      </c>
      <c r="G18" s="490"/>
      <c r="H18" s="491"/>
      <c r="I18" s="411"/>
      <c r="J18" s="520">
        <f t="shared" si="4"/>
        <v>0</v>
      </c>
      <c r="K18" s="520">
        <f t="shared" si="4"/>
        <v>0</v>
      </c>
      <c r="L18" s="520">
        <f t="shared" si="4"/>
        <v>0</v>
      </c>
      <c r="M18" s="520">
        <f t="shared" si="4"/>
        <v>0</v>
      </c>
      <c r="N18" s="520">
        <f t="shared" si="4"/>
        <v>0</v>
      </c>
      <c r="O18" s="520">
        <f t="shared" si="4"/>
        <v>0</v>
      </c>
      <c r="P18" s="622">
        <f t="shared" si="1"/>
        <v>0</v>
      </c>
      <c r="Q18" s="622">
        <f t="shared" si="2"/>
        <v>0</v>
      </c>
      <c r="R18" s="407"/>
      <c r="T18" s="407"/>
      <c r="U18" s="407"/>
      <c r="V18" s="407"/>
      <c r="W18" s="407"/>
      <c r="X18" s="407"/>
      <c r="Y18" s="407"/>
      <c r="Z18" s="407"/>
      <c r="AA18" s="407"/>
      <c r="AB18" s="407"/>
      <c r="AC18" s="407"/>
      <c r="AD18" s="407"/>
      <c r="AE18" s="407"/>
      <c r="AF18" s="407"/>
      <c r="AG18" s="407"/>
      <c r="AH18" s="407"/>
    </row>
    <row r="19" spans="1:34" ht="12.75" customHeight="1" x14ac:dyDescent="0.2">
      <c r="A19" s="407"/>
      <c r="B19" s="1471"/>
      <c r="C19" s="1472"/>
      <c r="D19" s="489"/>
      <c r="E19" s="512"/>
      <c r="F19" s="509" t="str">
        <f t="shared" si="3"/>
        <v/>
      </c>
      <c r="G19" s="490"/>
      <c r="H19" s="491"/>
      <c r="I19" s="411"/>
      <c r="J19" s="520">
        <f t="shared" si="4"/>
        <v>0</v>
      </c>
      <c r="K19" s="520">
        <f t="shared" si="4"/>
        <v>0</v>
      </c>
      <c r="L19" s="520">
        <f t="shared" si="4"/>
        <v>0</v>
      </c>
      <c r="M19" s="520">
        <f t="shared" si="4"/>
        <v>0</v>
      </c>
      <c r="N19" s="520">
        <f t="shared" si="4"/>
        <v>0</v>
      </c>
      <c r="O19" s="520">
        <f t="shared" si="4"/>
        <v>0</v>
      </c>
      <c r="P19" s="622">
        <f t="shared" si="1"/>
        <v>0</v>
      </c>
      <c r="Q19" s="622">
        <f t="shared" si="2"/>
        <v>0</v>
      </c>
      <c r="R19" s="407"/>
      <c r="T19" s="407"/>
      <c r="U19" s="407"/>
      <c r="V19" s="407"/>
      <c r="W19" s="407"/>
      <c r="X19" s="407"/>
      <c r="Y19" s="407"/>
      <c r="Z19" s="407"/>
      <c r="AA19" s="407"/>
      <c r="AB19" s="407"/>
      <c r="AC19" s="407"/>
      <c r="AD19" s="407"/>
      <c r="AE19" s="407"/>
      <c r="AF19" s="407"/>
      <c r="AG19" s="407"/>
      <c r="AH19" s="407"/>
    </row>
    <row r="20" spans="1:34" ht="12.75" customHeight="1" x14ac:dyDescent="0.2">
      <c r="A20" s="407"/>
      <c r="B20" s="1471"/>
      <c r="C20" s="1472"/>
      <c r="D20" s="489"/>
      <c r="E20" s="512"/>
      <c r="F20" s="509" t="str">
        <f t="shared" si="3"/>
        <v/>
      </c>
      <c r="G20" s="490"/>
      <c r="H20" s="491"/>
      <c r="I20" s="411"/>
      <c r="J20" s="520">
        <f t="shared" si="4"/>
        <v>0</v>
      </c>
      <c r="K20" s="520">
        <f t="shared" si="4"/>
        <v>0</v>
      </c>
      <c r="L20" s="520">
        <f t="shared" si="4"/>
        <v>0</v>
      </c>
      <c r="M20" s="520">
        <f t="shared" si="4"/>
        <v>0</v>
      </c>
      <c r="N20" s="520">
        <f t="shared" si="4"/>
        <v>0</v>
      </c>
      <c r="O20" s="520">
        <f t="shared" si="4"/>
        <v>0</v>
      </c>
      <c r="P20" s="622">
        <f t="shared" si="1"/>
        <v>0</v>
      </c>
      <c r="Q20" s="622">
        <f t="shared" si="2"/>
        <v>0</v>
      </c>
      <c r="R20" s="407"/>
      <c r="T20" s="407"/>
      <c r="U20" s="407"/>
      <c r="V20" s="407"/>
      <c r="W20" s="407"/>
      <c r="X20" s="407"/>
      <c r="Y20" s="407"/>
      <c r="Z20" s="407"/>
      <c r="AA20" s="407"/>
      <c r="AB20" s="407"/>
      <c r="AC20" s="407"/>
      <c r="AD20" s="407"/>
      <c r="AE20" s="407"/>
      <c r="AF20" s="407"/>
      <c r="AG20" s="407"/>
      <c r="AH20" s="407"/>
    </row>
    <row r="21" spans="1:34" ht="12.75" customHeight="1" x14ac:dyDescent="0.2">
      <c r="A21" s="407"/>
      <c r="B21" s="1471"/>
      <c r="C21" s="1472"/>
      <c r="D21" s="489"/>
      <c r="E21" s="512"/>
      <c r="F21" s="509" t="str">
        <f t="shared" si="3"/>
        <v/>
      </c>
      <c r="G21" s="490"/>
      <c r="H21" s="491"/>
      <c r="I21" s="411"/>
      <c r="J21" s="520">
        <f t="shared" si="4"/>
        <v>0</v>
      </c>
      <c r="K21" s="520">
        <f t="shared" si="4"/>
        <v>0</v>
      </c>
      <c r="L21" s="520">
        <f t="shared" si="4"/>
        <v>0</v>
      </c>
      <c r="M21" s="520">
        <f t="shared" si="4"/>
        <v>0</v>
      </c>
      <c r="N21" s="520">
        <f t="shared" si="4"/>
        <v>0</v>
      </c>
      <c r="O21" s="520">
        <f t="shared" si="4"/>
        <v>0</v>
      </c>
      <c r="P21" s="622">
        <f t="shared" si="1"/>
        <v>0</v>
      </c>
      <c r="Q21" s="622">
        <f t="shared" si="2"/>
        <v>0</v>
      </c>
      <c r="R21" s="407"/>
      <c r="T21" s="407"/>
      <c r="U21" s="407"/>
      <c r="V21" s="407"/>
      <c r="W21" s="407"/>
      <c r="X21" s="407"/>
      <c r="Y21" s="407"/>
      <c r="Z21" s="407"/>
      <c r="AA21" s="407"/>
      <c r="AB21" s="407"/>
      <c r="AC21" s="407"/>
      <c r="AD21" s="407"/>
      <c r="AE21" s="407"/>
      <c r="AF21" s="407"/>
      <c r="AG21" s="407"/>
      <c r="AH21" s="407"/>
    </row>
    <row r="22" spans="1:34" ht="12.75" customHeight="1" x14ac:dyDescent="0.2">
      <c r="A22" s="407"/>
      <c r="B22" s="1471"/>
      <c r="C22" s="1472"/>
      <c r="D22" s="489"/>
      <c r="E22" s="512"/>
      <c r="F22" s="509" t="str">
        <f t="shared" si="3"/>
        <v/>
      </c>
      <c r="G22" s="490"/>
      <c r="H22" s="491"/>
      <c r="I22" s="411"/>
      <c r="J22" s="520">
        <f t="shared" si="4"/>
        <v>0</v>
      </c>
      <c r="K22" s="520">
        <f t="shared" si="4"/>
        <v>0</v>
      </c>
      <c r="L22" s="520">
        <f t="shared" si="4"/>
        <v>0</v>
      </c>
      <c r="M22" s="520">
        <f t="shared" si="4"/>
        <v>0</v>
      </c>
      <c r="N22" s="520">
        <f t="shared" si="4"/>
        <v>0</v>
      </c>
      <c r="O22" s="520">
        <f t="shared" si="4"/>
        <v>0</v>
      </c>
      <c r="P22" s="622">
        <f t="shared" si="1"/>
        <v>0</v>
      </c>
      <c r="Q22" s="622">
        <f t="shared" si="2"/>
        <v>0</v>
      </c>
      <c r="R22" s="407"/>
      <c r="T22" s="407"/>
      <c r="U22" s="407"/>
      <c r="V22" s="407"/>
      <c r="W22" s="407"/>
      <c r="X22" s="407"/>
      <c r="Y22" s="407"/>
      <c r="Z22" s="407"/>
      <c r="AA22" s="407"/>
      <c r="AB22" s="407"/>
      <c r="AC22" s="407"/>
      <c r="AD22" s="407"/>
      <c r="AE22" s="407"/>
      <c r="AF22" s="407"/>
      <c r="AG22" s="407"/>
      <c r="AH22" s="407"/>
    </row>
    <row r="23" spans="1:34" ht="12.75" customHeight="1" x14ac:dyDescent="0.2">
      <c r="A23" s="407"/>
      <c r="B23" s="1471"/>
      <c r="C23" s="1472"/>
      <c r="D23" s="489"/>
      <c r="E23" s="512"/>
      <c r="F23" s="509" t="str">
        <f t="shared" si="3"/>
        <v/>
      </c>
      <c r="G23" s="490"/>
      <c r="H23" s="491"/>
      <c r="I23" s="411"/>
      <c r="J23" s="520">
        <f t="shared" si="4"/>
        <v>0</v>
      </c>
      <c r="K23" s="520">
        <f t="shared" si="4"/>
        <v>0</v>
      </c>
      <c r="L23" s="520">
        <f t="shared" si="4"/>
        <v>0</v>
      </c>
      <c r="M23" s="520">
        <f t="shared" si="4"/>
        <v>0</v>
      </c>
      <c r="N23" s="520">
        <f t="shared" si="4"/>
        <v>0</v>
      </c>
      <c r="O23" s="520">
        <f t="shared" si="4"/>
        <v>0</v>
      </c>
      <c r="P23" s="622">
        <f t="shared" si="1"/>
        <v>0</v>
      </c>
      <c r="Q23" s="622">
        <f t="shared" si="2"/>
        <v>0</v>
      </c>
      <c r="R23" s="407"/>
      <c r="T23" s="407"/>
      <c r="U23" s="407"/>
      <c r="V23" s="407"/>
      <c r="W23" s="407"/>
      <c r="X23" s="407"/>
      <c r="Y23" s="407"/>
      <c r="Z23" s="407"/>
      <c r="AA23" s="407"/>
      <c r="AB23" s="407"/>
      <c r="AC23" s="407"/>
      <c r="AD23" s="407"/>
      <c r="AE23" s="407"/>
      <c r="AF23" s="407"/>
      <c r="AG23" s="407"/>
      <c r="AH23" s="407"/>
    </row>
    <row r="24" spans="1:34" ht="12.75" customHeight="1" x14ac:dyDescent="0.2">
      <c r="A24" s="407"/>
      <c r="B24" s="1471"/>
      <c r="C24" s="1472"/>
      <c r="D24" s="489"/>
      <c r="E24" s="512"/>
      <c r="F24" s="509" t="str">
        <f t="shared" si="3"/>
        <v/>
      </c>
      <c r="G24" s="490"/>
      <c r="H24" s="491"/>
      <c r="I24" s="411"/>
      <c r="J24" s="520">
        <f t="shared" si="4"/>
        <v>0</v>
      </c>
      <c r="K24" s="520">
        <f t="shared" si="4"/>
        <v>0</v>
      </c>
      <c r="L24" s="520">
        <f t="shared" si="4"/>
        <v>0</v>
      </c>
      <c r="M24" s="520">
        <f t="shared" si="4"/>
        <v>0</v>
      </c>
      <c r="N24" s="520">
        <f t="shared" si="4"/>
        <v>0</v>
      </c>
      <c r="O24" s="520">
        <f t="shared" si="4"/>
        <v>0</v>
      </c>
      <c r="P24" s="622">
        <f t="shared" si="1"/>
        <v>0</v>
      </c>
      <c r="Q24" s="622">
        <f t="shared" si="2"/>
        <v>0</v>
      </c>
      <c r="R24" s="407"/>
      <c r="T24" s="407"/>
      <c r="U24" s="407"/>
      <c r="V24" s="407"/>
      <c r="W24" s="407"/>
      <c r="X24" s="407"/>
      <c r="Y24" s="407"/>
      <c r="Z24" s="407"/>
      <c r="AA24" s="407"/>
      <c r="AB24" s="407"/>
      <c r="AC24" s="407"/>
      <c r="AD24" s="407"/>
      <c r="AE24" s="407"/>
      <c r="AF24" s="407"/>
      <c r="AG24" s="407"/>
      <c r="AH24" s="407"/>
    </row>
    <row r="25" spans="1:34" ht="12.75" customHeight="1" x14ac:dyDescent="0.2">
      <c r="A25" s="407"/>
      <c r="B25" s="1471"/>
      <c r="C25" s="1472"/>
      <c r="D25" s="489"/>
      <c r="E25" s="512"/>
      <c r="F25" s="509" t="str">
        <f t="shared" si="3"/>
        <v/>
      </c>
      <c r="G25" s="490"/>
      <c r="H25" s="491"/>
      <c r="I25" s="411"/>
      <c r="J25" s="520">
        <f t="shared" si="4"/>
        <v>0</v>
      </c>
      <c r="K25" s="520">
        <f t="shared" si="4"/>
        <v>0</v>
      </c>
      <c r="L25" s="520">
        <f t="shared" si="4"/>
        <v>0</v>
      </c>
      <c r="M25" s="520">
        <f t="shared" si="4"/>
        <v>0</v>
      </c>
      <c r="N25" s="520">
        <f t="shared" si="4"/>
        <v>0</v>
      </c>
      <c r="O25" s="520">
        <f t="shared" si="4"/>
        <v>0</v>
      </c>
      <c r="P25" s="622">
        <f t="shared" si="1"/>
        <v>0</v>
      </c>
      <c r="Q25" s="622">
        <f t="shared" si="2"/>
        <v>0</v>
      </c>
      <c r="R25" s="407"/>
      <c r="T25" s="407"/>
      <c r="U25" s="407"/>
      <c r="V25" s="407"/>
      <c r="W25" s="407"/>
      <c r="X25" s="407"/>
      <c r="Y25" s="407"/>
      <c r="Z25" s="407"/>
      <c r="AA25" s="407"/>
      <c r="AB25" s="407"/>
      <c r="AC25" s="407"/>
      <c r="AD25" s="407"/>
      <c r="AE25" s="407"/>
      <c r="AF25" s="407"/>
      <c r="AG25" s="407"/>
      <c r="AH25" s="407"/>
    </row>
    <row r="26" spans="1:34" ht="12.75" customHeight="1" x14ac:dyDescent="0.2">
      <c r="A26" s="407"/>
      <c r="B26" s="1471"/>
      <c r="C26" s="1472"/>
      <c r="D26" s="489"/>
      <c r="E26" s="512"/>
      <c r="F26" s="509" t="str">
        <f t="shared" si="3"/>
        <v/>
      </c>
      <c r="G26" s="490"/>
      <c r="H26" s="491"/>
      <c r="I26" s="411"/>
      <c r="J26" s="520">
        <f t="shared" si="4"/>
        <v>0</v>
      </c>
      <c r="K26" s="520">
        <f t="shared" si="4"/>
        <v>0</v>
      </c>
      <c r="L26" s="520">
        <f t="shared" si="4"/>
        <v>0</v>
      </c>
      <c r="M26" s="520">
        <f t="shared" si="4"/>
        <v>0</v>
      </c>
      <c r="N26" s="520">
        <f t="shared" si="4"/>
        <v>0</v>
      </c>
      <c r="O26" s="520">
        <f t="shared" si="4"/>
        <v>0</v>
      </c>
      <c r="P26" s="622">
        <f t="shared" si="1"/>
        <v>0</v>
      </c>
      <c r="Q26" s="622">
        <f t="shared" si="2"/>
        <v>0</v>
      </c>
      <c r="R26" s="407"/>
      <c r="T26" s="407"/>
      <c r="U26" s="407"/>
      <c r="V26" s="407"/>
      <c r="W26" s="407"/>
      <c r="X26" s="407"/>
      <c r="Y26" s="407"/>
      <c r="Z26" s="407"/>
      <c r="AA26" s="407"/>
      <c r="AB26" s="407"/>
      <c r="AC26" s="407"/>
      <c r="AD26" s="407"/>
      <c r="AE26" s="407"/>
      <c r="AF26" s="407"/>
      <c r="AG26" s="407"/>
      <c r="AH26" s="407"/>
    </row>
    <row r="27" spans="1:34" ht="12.75" customHeight="1" x14ac:dyDescent="0.2">
      <c r="A27" s="407"/>
      <c r="B27" s="1471"/>
      <c r="C27" s="1472"/>
      <c r="D27" s="489"/>
      <c r="E27" s="512"/>
      <c r="F27" s="509" t="str">
        <f t="shared" si="3"/>
        <v/>
      </c>
      <c r="G27" s="490"/>
      <c r="H27" s="491"/>
      <c r="I27" s="411"/>
      <c r="J27" s="520">
        <f t="shared" si="4"/>
        <v>0</v>
      </c>
      <c r="K27" s="520">
        <f t="shared" si="4"/>
        <v>0</v>
      </c>
      <c r="L27" s="520">
        <f t="shared" si="4"/>
        <v>0</v>
      </c>
      <c r="M27" s="520">
        <f t="shared" si="4"/>
        <v>0</v>
      </c>
      <c r="N27" s="520">
        <f t="shared" si="4"/>
        <v>0</v>
      </c>
      <c r="O27" s="520">
        <f t="shared" si="4"/>
        <v>0</v>
      </c>
      <c r="P27" s="622">
        <f t="shared" si="1"/>
        <v>0</v>
      </c>
      <c r="Q27" s="622">
        <f t="shared" si="2"/>
        <v>0</v>
      </c>
      <c r="R27" s="407"/>
      <c r="T27" s="407"/>
      <c r="U27" s="407"/>
      <c r="V27" s="407"/>
      <c r="W27" s="407"/>
      <c r="X27" s="407"/>
      <c r="Y27" s="407"/>
      <c r="Z27" s="407"/>
      <c r="AA27" s="407"/>
      <c r="AB27" s="407"/>
      <c r="AC27" s="407"/>
      <c r="AD27" s="407"/>
      <c r="AE27" s="407"/>
      <c r="AF27" s="407"/>
      <c r="AG27" s="407"/>
      <c r="AH27" s="407"/>
    </row>
    <row r="28" spans="1:34" ht="12.75" customHeight="1" x14ac:dyDescent="0.2">
      <c r="A28" s="407"/>
      <c r="B28" s="1471"/>
      <c r="C28" s="1472"/>
      <c r="D28" s="489"/>
      <c r="E28" s="512"/>
      <c r="F28" s="509" t="str">
        <f t="shared" si="3"/>
        <v/>
      </c>
      <c r="G28" s="490"/>
      <c r="H28" s="491"/>
      <c r="I28" s="411"/>
      <c r="J28" s="520">
        <f t="shared" si="4"/>
        <v>0</v>
      </c>
      <c r="K28" s="520">
        <f t="shared" si="4"/>
        <v>0</v>
      </c>
      <c r="L28" s="520">
        <f t="shared" si="4"/>
        <v>0</v>
      </c>
      <c r="M28" s="520">
        <f t="shared" si="4"/>
        <v>0</v>
      </c>
      <c r="N28" s="520">
        <f t="shared" si="4"/>
        <v>0</v>
      </c>
      <c r="O28" s="520">
        <f t="shared" si="4"/>
        <v>0</v>
      </c>
      <c r="P28" s="622">
        <f t="shared" si="1"/>
        <v>0</v>
      </c>
      <c r="Q28" s="622">
        <f t="shared" si="2"/>
        <v>0</v>
      </c>
      <c r="R28" s="407"/>
      <c r="T28" s="407"/>
      <c r="U28" s="407"/>
      <c r="V28" s="407"/>
      <c r="W28" s="407"/>
      <c r="X28" s="407"/>
      <c r="Y28" s="407"/>
      <c r="Z28" s="407"/>
      <c r="AA28" s="407"/>
      <c r="AB28" s="407"/>
      <c r="AC28" s="407"/>
      <c r="AD28" s="407"/>
      <c r="AE28" s="407"/>
      <c r="AF28" s="407"/>
      <c r="AG28" s="407"/>
      <c r="AH28" s="407"/>
    </row>
    <row r="29" spans="1:34" ht="12.75" customHeight="1" x14ac:dyDescent="0.2">
      <c r="A29" s="407"/>
      <c r="B29" s="1471"/>
      <c r="C29" s="1472"/>
      <c r="D29" s="489"/>
      <c r="E29" s="512"/>
      <c r="F29" s="509" t="str">
        <f t="shared" si="3"/>
        <v/>
      </c>
      <c r="G29" s="490"/>
      <c r="H29" s="491"/>
      <c r="I29" s="411"/>
      <c r="J29" s="520">
        <f t="shared" si="4"/>
        <v>0</v>
      </c>
      <c r="K29" s="520">
        <f t="shared" si="4"/>
        <v>0</v>
      </c>
      <c r="L29" s="520">
        <f t="shared" si="4"/>
        <v>0</v>
      </c>
      <c r="M29" s="520">
        <f t="shared" si="4"/>
        <v>0</v>
      </c>
      <c r="N29" s="520">
        <f t="shared" si="4"/>
        <v>0</v>
      </c>
      <c r="O29" s="520">
        <f t="shared" si="4"/>
        <v>0</v>
      </c>
      <c r="P29" s="622">
        <f t="shared" si="1"/>
        <v>0</v>
      </c>
      <c r="Q29" s="622">
        <f t="shared" si="2"/>
        <v>0</v>
      </c>
      <c r="R29" s="407"/>
      <c r="T29" s="407"/>
      <c r="U29" s="407"/>
      <c r="V29" s="407"/>
      <c r="W29" s="407"/>
      <c r="X29" s="407"/>
      <c r="Y29" s="407"/>
      <c r="Z29" s="407"/>
      <c r="AA29" s="407"/>
      <c r="AB29" s="407"/>
      <c r="AC29" s="407"/>
      <c r="AD29" s="407"/>
      <c r="AE29" s="407"/>
      <c r="AF29" s="407"/>
      <c r="AG29" s="407"/>
      <c r="AH29" s="407"/>
    </row>
    <row r="30" spans="1:34" ht="12.75" customHeight="1" x14ac:dyDescent="0.2">
      <c r="A30" s="407"/>
      <c r="B30" s="1471"/>
      <c r="C30" s="1472"/>
      <c r="D30" s="489"/>
      <c r="E30" s="512"/>
      <c r="F30" s="509" t="str">
        <f t="shared" si="3"/>
        <v/>
      </c>
      <c r="G30" s="490"/>
      <c r="H30" s="491"/>
      <c r="I30" s="411"/>
      <c r="J30" s="520">
        <f t="shared" si="4"/>
        <v>0</v>
      </c>
      <c r="K30" s="520">
        <f t="shared" si="4"/>
        <v>0</v>
      </c>
      <c r="L30" s="520">
        <f t="shared" si="4"/>
        <v>0</v>
      </c>
      <c r="M30" s="520">
        <f t="shared" si="4"/>
        <v>0</v>
      </c>
      <c r="N30" s="520">
        <f t="shared" si="4"/>
        <v>0</v>
      </c>
      <c r="O30" s="520">
        <f t="shared" si="4"/>
        <v>0</v>
      </c>
      <c r="P30" s="622">
        <f t="shared" si="1"/>
        <v>0</v>
      </c>
      <c r="Q30" s="622">
        <f t="shared" si="2"/>
        <v>0</v>
      </c>
      <c r="R30" s="407"/>
      <c r="T30" s="407"/>
      <c r="U30" s="407"/>
      <c r="V30" s="407"/>
      <c r="W30" s="407"/>
      <c r="X30" s="407"/>
      <c r="Y30" s="407"/>
      <c r="Z30" s="407"/>
      <c r="AA30" s="407"/>
      <c r="AB30" s="407"/>
      <c r="AC30" s="407"/>
      <c r="AD30" s="407"/>
      <c r="AE30" s="407"/>
      <c r="AF30" s="407"/>
      <c r="AG30" s="407"/>
      <c r="AH30" s="407"/>
    </row>
    <row r="31" spans="1:34" ht="12.75" customHeight="1" x14ac:dyDescent="0.2">
      <c r="A31" s="407"/>
      <c r="B31" s="1471"/>
      <c r="C31" s="1472"/>
      <c r="D31" s="489"/>
      <c r="E31" s="512"/>
      <c r="F31" s="509" t="str">
        <f t="shared" si="3"/>
        <v/>
      </c>
      <c r="G31" s="490"/>
      <c r="H31" s="491"/>
      <c r="I31" s="411"/>
      <c r="J31" s="520">
        <f t="shared" si="4"/>
        <v>0</v>
      </c>
      <c r="K31" s="520">
        <f t="shared" si="4"/>
        <v>0</v>
      </c>
      <c r="L31" s="520">
        <f t="shared" si="4"/>
        <v>0</v>
      </c>
      <c r="M31" s="520">
        <f t="shared" si="4"/>
        <v>0</v>
      </c>
      <c r="N31" s="520">
        <f t="shared" si="4"/>
        <v>0</v>
      </c>
      <c r="O31" s="520">
        <f t="shared" si="4"/>
        <v>0</v>
      </c>
      <c r="P31" s="622">
        <f t="shared" si="1"/>
        <v>0</v>
      </c>
      <c r="Q31" s="622">
        <f t="shared" si="2"/>
        <v>0</v>
      </c>
      <c r="R31" s="407"/>
      <c r="T31" s="407"/>
      <c r="U31" s="407"/>
      <c r="V31" s="407"/>
      <c r="W31" s="407"/>
      <c r="X31" s="407"/>
      <c r="Y31" s="407"/>
      <c r="Z31" s="407"/>
      <c r="AA31" s="407"/>
      <c r="AB31" s="407"/>
      <c r="AC31" s="407"/>
      <c r="AD31" s="407"/>
      <c r="AE31" s="407"/>
      <c r="AF31" s="407"/>
      <c r="AG31" s="407"/>
      <c r="AH31" s="407"/>
    </row>
    <row r="32" spans="1:34" ht="12.75" customHeight="1" x14ac:dyDescent="0.2">
      <c r="A32" s="407"/>
      <c r="B32" s="1471"/>
      <c r="C32" s="1472"/>
      <c r="D32" s="489"/>
      <c r="E32" s="512"/>
      <c r="F32" s="509" t="str">
        <f t="shared" si="3"/>
        <v/>
      </c>
      <c r="G32" s="490"/>
      <c r="H32" s="491"/>
      <c r="I32" s="411"/>
      <c r="J32" s="520">
        <f t="shared" si="4"/>
        <v>0</v>
      </c>
      <c r="K32" s="520">
        <f t="shared" si="4"/>
        <v>0</v>
      </c>
      <c r="L32" s="520">
        <f t="shared" si="4"/>
        <v>0</v>
      </c>
      <c r="M32" s="520">
        <f t="shared" si="4"/>
        <v>0</v>
      </c>
      <c r="N32" s="520">
        <f t="shared" si="4"/>
        <v>0</v>
      </c>
      <c r="O32" s="520">
        <f t="shared" si="4"/>
        <v>0</v>
      </c>
      <c r="P32" s="622">
        <f t="shared" si="1"/>
        <v>0</v>
      </c>
      <c r="Q32" s="622">
        <f t="shared" si="2"/>
        <v>0</v>
      </c>
      <c r="R32" s="407"/>
      <c r="T32" s="407"/>
      <c r="U32" s="407"/>
      <c r="V32" s="407"/>
      <c r="W32" s="407"/>
      <c r="X32" s="407"/>
      <c r="Y32" s="407"/>
      <c r="Z32" s="407"/>
      <c r="AA32" s="407"/>
      <c r="AB32" s="407"/>
      <c r="AC32" s="407"/>
      <c r="AD32" s="407"/>
      <c r="AE32" s="407"/>
      <c r="AF32" s="407"/>
      <c r="AG32" s="407"/>
      <c r="AH32" s="407"/>
    </row>
    <row r="33" spans="1:34" ht="12.75" customHeight="1" x14ac:dyDescent="0.2">
      <c r="A33" s="407"/>
      <c r="B33" s="1471"/>
      <c r="C33" s="1472"/>
      <c r="D33" s="489"/>
      <c r="E33" s="512"/>
      <c r="F33" s="509" t="str">
        <f t="shared" si="3"/>
        <v/>
      </c>
      <c r="G33" s="490"/>
      <c r="H33" s="491"/>
      <c r="I33" s="411"/>
      <c r="J33" s="520">
        <f t="shared" si="4"/>
        <v>0</v>
      </c>
      <c r="K33" s="520">
        <f t="shared" si="4"/>
        <v>0</v>
      </c>
      <c r="L33" s="520">
        <f t="shared" si="4"/>
        <v>0</v>
      </c>
      <c r="M33" s="520">
        <f t="shared" si="4"/>
        <v>0</v>
      </c>
      <c r="N33" s="520">
        <f t="shared" si="4"/>
        <v>0</v>
      </c>
      <c r="O33" s="520">
        <f t="shared" si="4"/>
        <v>0</v>
      </c>
      <c r="P33" s="622">
        <f t="shared" si="1"/>
        <v>0</v>
      </c>
      <c r="Q33" s="622">
        <f t="shared" si="2"/>
        <v>0</v>
      </c>
      <c r="R33" s="407"/>
      <c r="T33" s="407"/>
      <c r="U33" s="407"/>
      <c r="V33" s="407"/>
      <c r="W33" s="407"/>
      <c r="X33" s="407"/>
      <c r="Y33" s="407"/>
      <c r="Z33" s="407"/>
      <c r="AA33" s="407"/>
      <c r="AB33" s="407"/>
      <c r="AC33" s="407"/>
      <c r="AD33" s="407"/>
      <c r="AE33" s="407"/>
      <c r="AF33" s="407"/>
      <c r="AG33" s="407"/>
      <c r="AH33" s="407"/>
    </row>
    <row r="34" spans="1:34" ht="12.75" customHeight="1" x14ac:dyDescent="0.2">
      <c r="A34" s="407"/>
      <c r="B34" s="1471"/>
      <c r="C34" s="1472"/>
      <c r="D34" s="489"/>
      <c r="E34" s="512"/>
      <c r="F34" s="509" t="str">
        <f t="shared" si="3"/>
        <v/>
      </c>
      <c r="G34" s="490"/>
      <c r="H34" s="491"/>
      <c r="I34" s="411"/>
      <c r="J34" s="520">
        <f t="shared" si="4"/>
        <v>0</v>
      </c>
      <c r="K34" s="520">
        <f t="shared" si="4"/>
        <v>0</v>
      </c>
      <c r="L34" s="520">
        <f t="shared" si="4"/>
        <v>0</v>
      </c>
      <c r="M34" s="520">
        <f t="shared" si="4"/>
        <v>0</v>
      </c>
      <c r="N34" s="520">
        <f t="shared" si="4"/>
        <v>0</v>
      </c>
      <c r="O34" s="520">
        <f t="shared" si="4"/>
        <v>0</v>
      </c>
      <c r="P34" s="622">
        <f t="shared" si="1"/>
        <v>0</v>
      </c>
      <c r="Q34" s="622">
        <f t="shared" si="2"/>
        <v>0</v>
      </c>
      <c r="R34" s="407"/>
      <c r="T34" s="407"/>
      <c r="U34" s="407"/>
      <c r="V34" s="407"/>
      <c r="W34" s="407"/>
      <c r="X34" s="407"/>
      <c r="Y34" s="407"/>
      <c r="Z34" s="407"/>
      <c r="AA34" s="407"/>
      <c r="AB34" s="407"/>
      <c r="AC34" s="407"/>
      <c r="AD34" s="407"/>
      <c r="AE34" s="407"/>
      <c r="AF34" s="407"/>
      <c r="AG34" s="407"/>
      <c r="AH34" s="407"/>
    </row>
    <row r="35" spans="1:34" ht="12.75" customHeight="1" x14ac:dyDescent="0.2">
      <c r="A35" s="407"/>
      <c r="B35" s="1471"/>
      <c r="C35" s="1472"/>
      <c r="D35" s="489"/>
      <c r="E35" s="512"/>
      <c r="F35" s="509" t="str">
        <f t="shared" si="3"/>
        <v/>
      </c>
      <c r="G35" s="490"/>
      <c r="H35" s="491"/>
      <c r="I35" s="411"/>
      <c r="J35" s="520">
        <f t="shared" si="4"/>
        <v>0</v>
      </c>
      <c r="K35" s="520">
        <f t="shared" si="4"/>
        <v>0</v>
      </c>
      <c r="L35" s="520">
        <f t="shared" si="4"/>
        <v>0</v>
      </c>
      <c r="M35" s="520">
        <f t="shared" si="4"/>
        <v>0</v>
      </c>
      <c r="N35" s="520">
        <f t="shared" si="4"/>
        <v>0</v>
      </c>
      <c r="O35" s="520">
        <f t="shared" si="4"/>
        <v>0</v>
      </c>
      <c r="P35" s="622">
        <f t="shared" si="1"/>
        <v>0</v>
      </c>
      <c r="Q35" s="622">
        <f t="shared" si="2"/>
        <v>0</v>
      </c>
      <c r="R35" s="407"/>
      <c r="T35" s="407"/>
      <c r="U35" s="407"/>
      <c r="V35" s="407"/>
      <c r="W35" s="407"/>
      <c r="X35" s="407"/>
      <c r="Y35" s="407"/>
      <c r="Z35" s="407"/>
      <c r="AA35" s="407"/>
      <c r="AB35" s="407"/>
      <c r="AC35" s="407"/>
      <c r="AD35" s="407"/>
      <c r="AE35" s="407"/>
      <c r="AF35" s="407"/>
      <c r="AG35" s="407"/>
      <c r="AH35" s="407"/>
    </row>
    <row r="36" spans="1:34" ht="12.75" customHeight="1" x14ac:dyDescent="0.2">
      <c r="A36" s="407"/>
      <c r="B36" s="1471"/>
      <c r="C36" s="1472"/>
      <c r="D36" s="489"/>
      <c r="E36" s="512"/>
      <c r="F36" s="509" t="str">
        <f t="shared" si="3"/>
        <v/>
      </c>
      <c r="G36" s="490"/>
      <c r="H36" s="491"/>
      <c r="I36" s="411"/>
      <c r="J36" s="520">
        <f t="shared" si="4"/>
        <v>0</v>
      </c>
      <c r="K36" s="520">
        <f t="shared" si="4"/>
        <v>0</v>
      </c>
      <c r="L36" s="520">
        <f t="shared" si="4"/>
        <v>0</v>
      </c>
      <c r="M36" s="520">
        <f t="shared" si="4"/>
        <v>0</v>
      </c>
      <c r="N36" s="520">
        <f t="shared" si="4"/>
        <v>0</v>
      </c>
      <c r="O36" s="520">
        <f t="shared" si="4"/>
        <v>0</v>
      </c>
      <c r="P36" s="622">
        <f t="shared" si="1"/>
        <v>0</v>
      </c>
      <c r="Q36" s="622">
        <f t="shared" si="2"/>
        <v>0</v>
      </c>
      <c r="R36" s="407"/>
      <c r="T36" s="407"/>
      <c r="U36" s="407"/>
      <c r="V36" s="407"/>
      <c r="W36" s="407"/>
      <c r="X36" s="407"/>
      <c r="Y36" s="407"/>
      <c r="Z36" s="407"/>
      <c r="AA36" s="407"/>
      <c r="AB36" s="407"/>
      <c r="AC36" s="407"/>
      <c r="AD36" s="407"/>
      <c r="AE36" s="407"/>
      <c r="AF36" s="407"/>
      <c r="AG36" s="407"/>
      <c r="AH36" s="407"/>
    </row>
    <row r="37" spans="1:34" ht="12.75" customHeight="1" x14ac:dyDescent="0.2">
      <c r="A37" s="407"/>
      <c r="B37" s="1471"/>
      <c r="C37" s="1472"/>
      <c r="D37" s="489"/>
      <c r="E37" s="512"/>
      <c r="F37" s="509" t="str">
        <f t="shared" si="3"/>
        <v/>
      </c>
      <c r="G37" s="490"/>
      <c r="H37" s="491"/>
      <c r="I37" s="411"/>
      <c r="J37" s="520">
        <f t="shared" si="4"/>
        <v>0</v>
      </c>
      <c r="K37" s="520">
        <f t="shared" si="4"/>
        <v>0</v>
      </c>
      <c r="L37" s="520">
        <f t="shared" si="4"/>
        <v>0</v>
      </c>
      <c r="M37" s="520">
        <f t="shared" si="4"/>
        <v>0</v>
      </c>
      <c r="N37" s="520">
        <f t="shared" si="4"/>
        <v>0</v>
      </c>
      <c r="O37" s="520">
        <f t="shared" si="4"/>
        <v>0</v>
      </c>
      <c r="P37" s="622">
        <f t="shared" si="1"/>
        <v>0</v>
      </c>
      <c r="Q37" s="622">
        <f t="shared" si="2"/>
        <v>0</v>
      </c>
      <c r="R37" s="407"/>
      <c r="T37" s="407"/>
      <c r="U37" s="407"/>
      <c r="V37" s="407"/>
      <c r="W37" s="407"/>
      <c r="X37" s="407"/>
      <c r="Y37" s="407"/>
      <c r="Z37" s="407"/>
      <c r="AA37" s="407"/>
      <c r="AB37" s="407"/>
      <c r="AC37" s="407"/>
      <c r="AD37" s="407"/>
      <c r="AE37" s="407"/>
      <c r="AF37" s="407"/>
      <c r="AG37" s="407"/>
      <c r="AH37" s="407"/>
    </row>
    <row r="38" spans="1:34" ht="12.75" customHeight="1" x14ac:dyDescent="0.2">
      <c r="A38" s="407"/>
      <c r="B38" s="1471"/>
      <c r="C38" s="1472"/>
      <c r="D38" s="489"/>
      <c r="E38" s="512"/>
      <c r="F38" s="509" t="str">
        <f t="shared" si="3"/>
        <v/>
      </c>
      <c r="G38" s="490"/>
      <c r="H38" s="491"/>
      <c r="I38" s="411"/>
      <c r="J38" s="520">
        <f t="shared" si="4"/>
        <v>0</v>
      </c>
      <c r="K38" s="520">
        <f t="shared" si="4"/>
        <v>0</v>
      </c>
      <c r="L38" s="520">
        <f t="shared" si="4"/>
        <v>0</v>
      </c>
      <c r="M38" s="520">
        <f t="shared" si="4"/>
        <v>0</v>
      </c>
      <c r="N38" s="520">
        <f t="shared" si="4"/>
        <v>0</v>
      </c>
      <c r="O38" s="520">
        <f t="shared" si="4"/>
        <v>0</v>
      </c>
      <c r="P38" s="622">
        <f t="shared" si="1"/>
        <v>0</v>
      </c>
      <c r="Q38" s="622">
        <f t="shared" si="2"/>
        <v>0</v>
      </c>
      <c r="R38" s="407"/>
      <c r="T38" s="407"/>
      <c r="U38" s="407"/>
      <c r="V38" s="407"/>
      <c r="W38" s="407"/>
      <c r="X38" s="407"/>
      <c r="Y38" s="407"/>
      <c r="Z38" s="407"/>
      <c r="AA38" s="407"/>
      <c r="AB38" s="407"/>
      <c r="AC38" s="407"/>
      <c r="AD38" s="407"/>
      <c r="AE38" s="407"/>
      <c r="AF38" s="407"/>
      <c r="AG38" s="407"/>
      <c r="AH38" s="407"/>
    </row>
    <row r="39" spans="1:34" ht="12.75" customHeight="1" x14ac:dyDescent="0.2">
      <c r="A39" s="407"/>
      <c r="B39" s="1471"/>
      <c r="C39" s="1472"/>
      <c r="D39" s="489"/>
      <c r="E39" s="512"/>
      <c r="F39" s="509" t="str">
        <f t="shared" si="3"/>
        <v/>
      </c>
      <c r="G39" s="490"/>
      <c r="H39" s="491"/>
      <c r="I39" s="411"/>
      <c r="J39" s="520">
        <f t="shared" si="4"/>
        <v>0</v>
      </c>
      <c r="K39" s="520">
        <f t="shared" si="4"/>
        <v>0</v>
      </c>
      <c r="L39" s="520">
        <f t="shared" si="4"/>
        <v>0</v>
      </c>
      <c r="M39" s="520">
        <f t="shared" si="4"/>
        <v>0</v>
      </c>
      <c r="N39" s="520">
        <f t="shared" si="4"/>
        <v>0</v>
      </c>
      <c r="O39" s="520">
        <f t="shared" si="4"/>
        <v>0</v>
      </c>
      <c r="P39" s="622">
        <f t="shared" si="1"/>
        <v>0</v>
      </c>
      <c r="Q39" s="622">
        <f t="shared" si="2"/>
        <v>0</v>
      </c>
      <c r="R39" s="407"/>
      <c r="T39" s="407"/>
      <c r="U39" s="407"/>
      <c r="V39" s="407"/>
      <c r="W39" s="407"/>
      <c r="X39" s="407"/>
      <c r="Y39" s="407"/>
      <c r="Z39" s="407"/>
      <c r="AA39" s="407"/>
      <c r="AB39" s="407"/>
      <c r="AC39" s="407"/>
      <c r="AD39" s="407"/>
      <c r="AE39" s="407"/>
      <c r="AF39" s="407"/>
      <c r="AG39" s="407"/>
      <c r="AH39" s="407"/>
    </row>
    <row r="40" spans="1:34" ht="12.75" customHeight="1" x14ac:dyDescent="0.2">
      <c r="A40" s="407"/>
      <c r="B40" s="1471"/>
      <c r="C40" s="1472"/>
      <c r="D40" s="489"/>
      <c r="E40" s="512"/>
      <c r="F40" s="509" t="str">
        <f t="shared" si="3"/>
        <v/>
      </c>
      <c r="G40" s="490"/>
      <c r="H40" s="491"/>
      <c r="I40" s="411"/>
      <c r="J40" s="520">
        <f t="shared" si="4"/>
        <v>0</v>
      </c>
      <c r="K40" s="520">
        <f t="shared" si="4"/>
        <v>0</v>
      </c>
      <c r="L40" s="520">
        <f t="shared" si="4"/>
        <v>0</v>
      </c>
      <c r="M40" s="520">
        <f t="shared" si="4"/>
        <v>0</v>
      </c>
      <c r="N40" s="520">
        <f t="shared" si="4"/>
        <v>0</v>
      </c>
      <c r="O40" s="520">
        <f t="shared" si="4"/>
        <v>0</v>
      </c>
      <c r="P40" s="622">
        <f t="shared" si="1"/>
        <v>0</v>
      </c>
      <c r="Q40" s="622">
        <f t="shared" si="2"/>
        <v>0</v>
      </c>
      <c r="R40" s="407"/>
      <c r="T40" s="407"/>
      <c r="U40" s="407"/>
      <c r="V40" s="407"/>
      <c r="W40" s="407"/>
      <c r="X40" s="407"/>
      <c r="Y40" s="407"/>
      <c r="Z40" s="407"/>
      <c r="AA40" s="407"/>
      <c r="AB40" s="407"/>
      <c r="AC40" s="407"/>
      <c r="AD40" s="407"/>
      <c r="AE40" s="407"/>
      <c r="AF40" s="407"/>
      <c r="AG40" s="407"/>
      <c r="AH40" s="407"/>
    </row>
    <row r="41" spans="1:34" ht="12.75" customHeight="1" x14ac:dyDescent="0.2">
      <c r="A41" s="407"/>
      <c r="B41" s="1471"/>
      <c r="C41" s="1472"/>
      <c r="D41" s="489"/>
      <c r="E41" s="512"/>
      <c r="F41" s="509" t="str">
        <f t="shared" si="3"/>
        <v/>
      </c>
      <c r="G41" s="490"/>
      <c r="H41" s="491"/>
      <c r="I41" s="411"/>
      <c r="J41" s="520">
        <f t="shared" si="4"/>
        <v>0</v>
      </c>
      <c r="K41" s="520">
        <f t="shared" si="4"/>
        <v>0</v>
      </c>
      <c r="L41" s="520">
        <f t="shared" si="4"/>
        <v>0</v>
      </c>
      <c r="M41" s="520">
        <f t="shared" si="4"/>
        <v>0</v>
      </c>
      <c r="N41" s="520">
        <f t="shared" si="4"/>
        <v>0</v>
      </c>
      <c r="O41" s="520">
        <f t="shared" si="4"/>
        <v>0</v>
      </c>
      <c r="P41" s="622">
        <f t="shared" si="1"/>
        <v>0</v>
      </c>
      <c r="Q41" s="622">
        <f t="shared" si="2"/>
        <v>0</v>
      </c>
      <c r="R41" s="407"/>
      <c r="T41" s="407"/>
      <c r="U41" s="407"/>
      <c r="V41" s="407"/>
      <c r="W41" s="407"/>
      <c r="X41" s="407"/>
      <c r="Y41" s="407"/>
      <c r="Z41" s="407"/>
      <c r="AA41" s="407"/>
      <c r="AB41" s="407"/>
      <c r="AC41" s="407"/>
      <c r="AD41" s="407"/>
      <c r="AE41" s="407"/>
      <c r="AF41" s="407"/>
      <c r="AG41" s="407"/>
      <c r="AH41" s="407"/>
    </row>
    <row r="42" spans="1:34" ht="12.75" customHeight="1" x14ac:dyDescent="0.2">
      <c r="A42" s="407"/>
      <c r="B42" s="1471"/>
      <c r="C42" s="1472"/>
      <c r="D42" s="489"/>
      <c r="E42" s="512"/>
      <c r="F42" s="509" t="str">
        <f t="shared" si="3"/>
        <v/>
      </c>
      <c r="G42" s="490"/>
      <c r="H42" s="491"/>
      <c r="I42" s="411"/>
      <c r="J42" s="520">
        <f t="shared" si="4"/>
        <v>0</v>
      </c>
      <c r="K42" s="520">
        <f t="shared" si="4"/>
        <v>0</v>
      </c>
      <c r="L42" s="520">
        <f t="shared" si="4"/>
        <v>0</v>
      </c>
      <c r="M42" s="520">
        <f t="shared" si="4"/>
        <v>0</v>
      </c>
      <c r="N42" s="520">
        <f t="shared" si="4"/>
        <v>0</v>
      </c>
      <c r="O42" s="520">
        <f t="shared" si="4"/>
        <v>0</v>
      </c>
      <c r="P42" s="622">
        <f t="shared" si="1"/>
        <v>0</v>
      </c>
      <c r="Q42" s="622">
        <f t="shared" si="2"/>
        <v>0</v>
      </c>
      <c r="R42" s="407"/>
      <c r="T42" s="407"/>
      <c r="U42" s="407"/>
      <c r="V42" s="407"/>
      <c r="W42" s="407"/>
      <c r="X42" s="407"/>
      <c r="Y42" s="407"/>
      <c r="Z42" s="407"/>
      <c r="AA42" s="407"/>
      <c r="AB42" s="407"/>
      <c r="AC42" s="407"/>
      <c r="AD42" s="407"/>
      <c r="AE42" s="407"/>
      <c r="AF42" s="407"/>
      <c r="AG42" s="407"/>
      <c r="AH42" s="407"/>
    </row>
    <row r="43" spans="1:34" ht="12.75" customHeight="1" x14ac:dyDescent="0.2">
      <c r="A43" s="407"/>
      <c r="B43" s="1471"/>
      <c r="C43" s="1472"/>
      <c r="D43" s="489"/>
      <c r="E43" s="512"/>
      <c r="F43" s="509" t="str">
        <f t="shared" si="3"/>
        <v/>
      </c>
      <c r="G43" s="490"/>
      <c r="H43" s="491"/>
      <c r="I43" s="411"/>
      <c r="J43" s="520">
        <f t="shared" si="4"/>
        <v>0</v>
      </c>
      <c r="K43" s="520">
        <f t="shared" si="4"/>
        <v>0</v>
      </c>
      <c r="L43" s="520">
        <f t="shared" si="4"/>
        <v>0</v>
      </c>
      <c r="M43" s="520">
        <f t="shared" si="4"/>
        <v>0</v>
      </c>
      <c r="N43" s="520">
        <f t="shared" si="4"/>
        <v>0</v>
      </c>
      <c r="O43" s="520">
        <f t="shared" si="4"/>
        <v>0</v>
      </c>
      <c r="P43" s="622">
        <f t="shared" si="1"/>
        <v>0</v>
      </c>
      <c r="Q43" s="622">
        <f t="shared" si="2"/>
        <v>0</v>
      </c>
      <c r="R43" s="407"/>
      <c r="T43" s="407"/>
      <c r="U43" s="407"/>
      <c r="V43" s="407"/>
      <c r="W43" s="407"/>
      <c r="X43" s="407"/>
      <c r="Y43" s="407"/>
      <c r="Z43" s="407"/>
      <c r="AA43" s="407"/>
      <c r="AB43" s="407"/>
      <c r="AC43" s="407"/>
      <c r="AD43" s="407"/>
      <c r="AE43" s="407"/>
      <c r="AF43" s="407"/>
      <c r="AG43" s="407"/>
      <c r="AH43" s="407"/>
    </row>
    <row r="44" spans="1:34" ht="12.75" customHeight="1" x14ac:dyDescent="0.2">
      <c r="A44" s="407"/>
      <c r="B44" s="1471"/>
      <c r="C44" s="1472"/>
      <c r="D44" s="489"/>
      <c r="E44" s="512"/>
      <c r="F44" s="509" t="str">
        <f t="shared" si="3"/>
        <v/>
      </c>
      <c r="G44" s="490"/>
      <c r="H44" s="491"/>
      <c r="I44" s="411"/>
      <c r="J44" s="520">
        <f t="shared" si="4"/>
        <v>0</v>
      </c>
      <c r="K44" s="520">
        <f t="shared" si="4"/>
        <v>0</v>
      </c>
      <c r="L44" s="520">
        <f t="shared" si="4"/>
        <v>0</v>
      </c>
      <c r="M44" s="520">
        <f t="shared" si="4"/>
        <v>0</v>
      </c>
      <c r="N44" s="520">
        <f t="shared" si="4"/>
        <v>0</v>
      </c>
      <c r="O44" s="520">
        <f t="shared" si="4"/>
        <v>0</v>
      </c>
      <c r="P44" s="622">
        <f t="shared" si="1"/>
        <v>0</v>
      </c>
      <c r="Q44" s="622">
        <f t="shared" si="2"/>
        <v>0</v>
      </c>
      <c r="R44" s="407"/>
      <c r="S44" s="407"/>
      <c r="T44" s="407"/>
      <c r="U44" s="407"/>
      <c r="V44" s="407"/>
      <c r="W44" s="407"/>
      <c r="X44" s="407"/>
      <c r="Y44" s="407"/>
      <c r="Z44" s="407"/>
      <c r="AA44" s="407"/>
      <c r="AB44" s="407"/>
      <c r="AC44" s="407"/>
      <c r="AD44" s="407"/>
      <c r="AE44" s="407"/>
      <c r="AF44" s="407"/>
      <c r="AG44" s="407"/>
      <c r="AH44" s="407"/>
    </row>
    <row r="45" spans="1:34" ht="12.75" customHeight="1" x14ac:dyDescent="0.2">
      <c r="A45" s="407"/>
      <c r="B45" s="1471"/>
      <c r="C45" s="1472"/>
      <c r="D45" s="489"/>
      <c r="E45" s="512"/>
      <c r="F45" s="509" t="str">
        <f t="shared" si="3"/>
        <v/>
      </c>
      <c r="G45" s="490"/>
      <c r="H45" s="491"/>
      <c r="I45" s="411"/>
      <c r="J45" s="520">
        <f t="shared" si="4"/>
        <v>0</v>
      </c>
      <c r="K45" s="520">
        <f t="shared" si="4"/>
        <v>0</v>
      </c>
      <c r="L45" s="520">
        <f t="shared" si="4"/>
        <v>0</v>
      </c>
      <c r="M45" s="520">
        <f t="shared" si="4"/>
        <v>0</v>
      </c>
      <c r="N45" s="520">
        <f t="shared" si="4"/>
        <v>0</v>
      </c>
      <c r="O45" s="520">
        <f t="shared" si="4"/>
        <v>0</v>
      </c>
      <c r="P45" s="622">
        <f t="shared" si="1"/>
        <v>0</v>
      </c>
      <c r="Q45" s="622">
        <f t="shared" si="2"/>
        <v>0</v>
      </c>
      <c r="R45" s="407"/>
      <c r="S45" s="407"/>
      <c r="T45" s="407"/>
      <c r="U45" s="407"/>
      <c r="V45" s="407"/>
      <c r="W45" s="407"/>
      <c r="X45" s="407"/>
      <c r="Y45" s="407"/>
      <c r="Z45" s="407"/>
      <c r="AA45" s="407"/>
      <c r="AB45" s="407"/>
      <c r="AC45" s="407"/>
      <c r="AD45" s="407"/>
      <c r="AE45" s="407"/>
      <c r="AF45" s="407"/>
      <c r="AG45" s="407"/>
      <c r="AH45" s="407"/>
    </row>
    <row r="46" spans="1:34" ht="12.75" customHeight="1" x14ac:dyDescent="0.2">
      <c r="A46" s="407"/>
      <c r="B46" s="1471"/>
      <c r="C46" s="1472"/>
      <c r="D46" s="489"/>
      <c r="E46" s="512"/>
      <c r="F46" s="509" t="str">
        <f t="shared" si="3"/>
        <v/>
      </c>
      <c r="G46" s="490"/>
      <c r="H46" s="491"/>
      <c r="I46" s="411"/>
      <c r="J46" s="520">
        <f t="shared" si="4"/>
        <v>0</v>
      </c>
      <c r="K46" s="520">
        <f t="shared" si="4"/>
        <v>0</v>
      </c>
      <c r="L46" s="520">
        <f t="shared" si="4"/>
        <v>0</v>
      </c>
      <c r="M46" s="520">
        <f t="shared" si="4"/>
        <v>0</v>
      </c>
      <c r="N46" s="520">
        <f t="shared" si="4"/>
        <v>0</v>
      </c>
      <c r="O46" s="520">
        <f t="shared" si="4"/>
        <v>0</v>
      </c>
      <c r="P46" s="622">
        <f t="shared" si="1"/>
        <v>0</v>
      </c>
      <c r="Q46" s="622">
        <f t="shared" si="2"/>
        <v>0</v>
      </c>
      <c r="R46" s="407"/>
      <c r="S46" s="407"/>
      <c r="T46" s="407"/>
      <c r="U46" s="407"/>
      <c r="V46" s="407"/>
      <c r="W46" s="407"/>
      <c r="X46" s="407"/>
      <c r="Y46" s="407"/>
      <c r="Z46" s="407"/>
      <c r="AA46" s="407"/>
      <c r="AB46" s="407"/>
      <c r="AC46" s="407"/>
      <c r="AD46" s="407"/>
      <c r="AE46" s="407"/>
      <c r="AF46" s="407"/>
      <c r="AG46" s="407"/>
      <c r="AH46" s="407"/>
    </row>
    <row r="47" spans="1:34" ht="12.75" customHeight="1" x14ac:dyDescent="0.2">
      <c r="A47" s="407"/>
      <c r="B47" s="1471"/>
      <c r="C47" s="1472"/>
      <c r="D47" s="489"/>
      <c r="E47" s="512"/>
      <c r="F47" s="509" t="str">
        <f t="shared" si="3"/>
        <v/>
      </c>
      <c r="G47" s="490"/>
      <c r="H47" s="491"/>
      <c r="I47" s="411"/>
      <c r="J47" s="520">
        <f t="shared" si="4"/>
        <v>0</v>
      </c>
      <c r="K47" s="520">
        <f t="shared" si="4"/>
        <v>0</v>
      </c>
      <c r="L47" s="520">
        <f t="shared" si="4"/>
        <v>0</v>
      </c>
      <c r="M47" s="520">
        <f t="shared" ref="M47:O48" si="5">IF($F47=M$4,1,0)</f>
        <v>0</v>
      </c>
      <c r="N47" s="520">
        <f t="shared" si="5"/>
        <v>0</v>
      </c>
      <c r="O47" s="520">
        <f t="shared" si="5"/>
        <v>0</v>
      </c>
      <c r="P47" s="622">
        <f t="shared" si="1"/>
        <v>0</v>
      </c>
      <c r="Q47" s="622">
        <f t="shared" si="2"/>
        <v>0</v>
      </c>
      <c r="R47" s="407"/>
      <c r="S47" s="407"/>
      <c r="T47" s="407"/>
      <c r="U47" s="407"/>
      <c r="V47" s="407"/>
      <c r="W47" s="407"/>
      <c r="X47" s="407"/>
      <c r="Y47" s="407"/>
      <c r="Z47" s="407"/>
      <c r="AA47" s="407"/>
      <c r="AB47" s="407"/>
      <c r="AC47" s="407"/>
      <c r="AD47" s="407"/>
      <c r="AE47" s="407"/>
      <c r="AF47" s="407"/>
      <c r="AG47" s="407"/>
      <c r="AH47" s="407"/>
    </row>
    <row r="48" spans="1:34" ht="12.75" customHeight="1" x14ac:dyDescent="0.2">
      <c r="A48" s="407"/>
      <c r="B48" s="1471"/>
      <c r="C48" s="1472"/>
      <c r="D48" s="489"/>
      <c r="E48" s="512"/>
      <c r="F48" s="509" t="str">
        <f t="shared" si="3"/>
        <v/>
      </c>
      <c r="G48" s="490"/>
      <c r="H48" s="491"/>
      <c r="I48" s="411"/>
      <c r="J48" s="520">
        <f t="shared" ref="J48:L49" si="6">IF($F48=J$4,1,0)</f>
        <v>0</v>
      </c>
      <c r="K48" s="520">
        <f t="shared" si="6"/>
        <v>0</v>
      </c>
      <c r="L48" s="520">
        <f t="shared" si="6"/>
        <v>0</v>
      </c>
      <c r="M48" s="520">
        <f t="shared" si="5"/>
        <v>0</v>
      </c>
      <c r="N48" s="520">
        <f t="shared" si="5"/>
        <v>0</v>
      </c>
      <c r="O48" s="520">
        <f t="shared" si="5"/>
        <v>0</v>
      </c>
      <c r="P48" s="622">
        <f t="shared" si="1"/>
        <v>0</v>
      </c>
      <c r="Q48" s="622">
        <f t="shared" si="2"/>
        <v>0</v>
      </c>
      <c r="R48" s="407"/>
      <c r="S48" s="407"/>
      <c r="T48" s="407"/>
      <c r="U48" s="407"/>
      <c r="V48" s="407"/>
      <c r="W48" s="407"/>
      <c r="X48" s="407"/>
      <c r="Y48" s="407"/>
      <c r="Z48" s="407"/>
      <c r="AA48" s="407"/>
      <c r="AB48" s="407"/>
      <c r="AC48" s="407"/>
      <c r="AD48" s="407"/>
      <c r="AE48" s="407"/>
      <c r="AF48" s="407"/>
      <c r="AG48" s="407"/>
      <c r="AH48" s="407"/>
    </row>
    <row r="49" spans="1:34" ht="12.75" customHeight="1" thickBot="1" x14ac:dyDescent="0.25">
      <c r="A49" s="407"/>
      <c r="B49" s="1484"/>
      <c r="C49" s="1485"/>
      <c r="D49" s="496"/>
      <c r="E49" s="513"/>
      <c r="F49" s="510" t="str">
        <f>IF(AND(E49&gt;=$J$2,E49&lt;=$J$3),$J$4,IF(AND(E49&gt;$K$2,E49&lt;=$K$3),$K$4,IF(AND(E49&gt;$L$2,E49&lt;=$L$3),$L$4,IF(AND(E49&gt;$M$2,E49&lt;=$M$3),$M$4,IF(AND(E49&gt;$N$2,E49&lt;=$N$3),$N$4,IF(E49&gt;$O$2,$O$4,""))))))</f>
        <v/>
      </c>
      <c r="G49" s="497"/>
      <c r="H49" s="491"/>
      <c r="I49" s="411"/>
      <c r="J49" s="498">
        <f t="shared" si="6"/>
        <v>0</v>
      </c>
      <c r="K49" s="498">
        <f t="shared" si="6"/>
        <v>0</v>
      </c>
      <c r="L49" s="498">
        <f t="shared" si="6"/>
        <v>0</v>
      </c>
      <c r="M49" s="498">
        <f>IF($F49=M$4,1,0)</f>
        <v>0</v>
      </c>
      <c r="N49" s="498">
        <f>IF($F49=N$4,1,0)</f>
        <v>0</v>
      </c>
      <c r="O49" s="498">
        <f>IF($F49=O$4,1,0)</f>
        <v>0</v>
      </c>
      <c r="P49" s="995">
        <f t="shared" si="1"/>
        <v>0</v>
      </c>
      <c r="Q49" s="995">
        <f t="shared" si="2"/>
        <v>0</v>
      </c>
      <c r="R49" s="407"/>
      <c r="S49" s="407"/>
      <c r="T49" s="407"/>
      <c r="U49" s="407"/>
      <c r="V49" s="407"/>
      <c r="W49" s="407"/>
      <c r="X49" s="407"/>
      <c r="Y49" s="407"/>
      <c r="Z49" s="407"/>
      <c r="AA49" s="407"/>
      <c r="AB49" s="407"/>
      <c r="AC49" s="407"/>
      <c r="AD49" s="407"/>
      <c r="AE49" s="407"/>
      <c r="AF49" s="407"/>
      <c r="AG49" s="407"/>
      <c r="AH49" s="407"/>
    </row>
    <row r="50" spans="1:34" ht="12.75" customHeight="1" x14ac:dyDescent="0.2">
      <c r="A50" s="407"/>
      <c r="B50" s="407"/>
      <c r="C50" s="407"/>
      <c r="D50" s="407"/>
      <c r="E50" s="407"/>
      <c r="F50" s="407"/>
      <c r="G50" s="407"/>
      <c r="H50" s="407"/>
      <c r="I50" s="436" t="s">
        <v>34</v>
      </c>
      <c r="J50" s="499">
        <f t="shared" ref="J50:P50" si="7">SUM(J5:J49)</f>
        <v>0</v>
      </c>
      <c r="K50" s="499">
        <f t="shared" si="7"/>
        <v>0</v>
      </c>
      <c r="L50" s="499">
        <f t="shared" si="7"/>
        <v>0</v>
      </c>
      <c r="M50" s="499">
        <f t="shared" si="7"/>
        <v>0</v>
      </c>
      <c r="N50" s="499">
        <f t="shared" si="7"/>
        <v>0</v>
      </c>
      <c r="O50" s="499">
        <f t="shared" si="7"/>
        <v>0</v>
      </c>
      <c r="P50" s="499">
        <f t="shared" si="7"/>
        <v>0</v>
      </c>
      <c r="Q50" s="499">
        <f>SUM(Q5:Q49)</f>
        <v>0</v>
      </c>
      <c r="R50" s="407"/>
      <c r="S50" s="407"/>
      <c r="T50" s="407"/>
      <c r="U50" s="407"/>
      <c r="V50" s="407"/>
      <c r="W50" s="407"/>
      <c r="X50" s="407"/>
      <c r="Y50" s="407"/>
      <c r="Z50" s="407"/>
      <c r="AA50" s="407"/>
      <c r="AB50" s="407"/>
      <c r="AC50" s="407"/>
      <c r="AD50" s="407"/>
      <c r="AE50" s="407"/>
      <c r="AF50" s="407"/>
      <c r="AG50" s="407"/>
      <c r="AH50" s="407"/>
    </row>
    <row r="51" spans="1:34" ht="15" x14ac:dyDescent="0.2">
      <c r="A51" s="407"/>
      <c r="B51" s="481" t="s">
        <v>55</v>
      </c>
      <c r="C51" s="500"/>
      <c r="D51" s="500"/>
      <c r="E51" s="500"/>
      <c r="F51" s="500"/>
      <c r="G51" s="500"/>
      <c r="H51" s="501"/>
      <c r="I51" s="502"/>
      <c r="J51" s="407"/>
      <c r="K51" s="407"/>
      <c r="L51" s="407"/>
      <c r="M51" s="407"/>
      <c r="N51" s="407"/>
      <c r="O51" s="407"/>
      <c r="P51" s="407"/>
      <c r="R51" s="407"/>
      <c r="S51" s="407"/>
      <c r="T51" s="407"/>
      <c r="U51" s="407"/>
      <c r="V51" s="407"/>
      <c r="W51" s="407"/>
      <c r="X51" s="407"/>
      <c r="Y51" s="407"/>
      <c r="Z51" s="407"/>
      <c r="AA51" s="407"/>
      <c r="AB51" s="407"/>
      <c r="AC51" s="407"/>
      <c r="AD51" s="407"/>
      <c r="AE51" s="407"/>
      <c r="AF51" s="407"/>
      <c r="AG51" s="407"/>
      <c r="AH51" s="407"/>
    </row>
    <row r="52" spans="1:34" ht="12.75" customHeight="1" x14ac:dyDescent="0.2">
      <c r="A52" s="407"/>
      <c r="B52" s="504">
        <f>J50</f>
        <v>0</v>
      </c>
      <c r="C52" s="451" t="str">
        <f>CONCATENATE("Tree, ",J$4,"'', Remove")</f>
        <v>Tree, 6'', Remove</v>
      </c>
      <c r="D52" s="451"/>
      <c r="E52" s="407"/>
      <c r="F52" s="504">
        <f>N50</f>
        <v>0</v>
      </c>
      <c r="G52" s="451" t="str">
        <f>CONCATENATE("Tree, ",N$4,"'', Remove")</f>
        <v>Tree, 48'', Remove</v>
      </c>
      <c r="H52" s="451"/>
      <c r="I52" s="407"/>
      <c r="J52" s="492" t="s">
        <v>61</v>
      </c>
      <c r="K52" s="1482" t="s">
        <v>87</v>
      </c>
      <c r="L52" s="1483"/>
      <c r="M52" s="517" t="s">
        <v>443</v>
      </c>
      <c r="N52" s="407"/>
      <c r="O52" s="407"/>
      <c r="P52" s="407"/>
      <c r="R52" s="407"/>
      <c r="S52" s="407"/>
      <c r="T52" s="407"/>
      <c r="U52" s="407"/>
      <c r="V52" s="407"/>
      <c r="W52" s="407"/>
      <c r="X52" s="407"/>
      <c r="Y52" s="407"/>
      <c r="Z52" s="407"/>
      <c r="AA52" s="407"/>
      <c r="AB52" s="407"/>
      <c r="AC52" s="407"/>
      <c r="AD52" s="407"/>
      <c r="AE52" s="407"/>
      <c r="AF52" s="407"/>
      <c r="AG52" s="407"/>
      <c r="AH52" s="407"/>
    </row>
    <row r="53" spans="1:34" ht="12.75" customHeight="1" x14ac:dyDescent="0.2">
      <c r="A53" s="407"/>
      <c r="B53" s="504">
        <f>K50</f>
        <v>0</v>
      </c>
      <c r="C53" s="451" t="str">
        <f>CONCATENATE("Tree, ",K$4,"'', Remove")</f>
        <v>Tree, 10'', Remove</v>
      </c>
      <c r="D53" s="451"/>
      <c r="E53" s="407"/>
      <c r="F53" s="504">
        <f>O50</f>
        <v>0</v>
      </c>
      <c r="G53" s="451" t="str">
        <f>CONCATENATE("Tree, ",O$4,"'', Remove")</f>
        <v>Tree, 60'', Remove</v>
      </c>
      <c r="H53" s="451"/>
      <c r="I53" s="407"/>
      <c r="J53" s="494"/>
      <c r="K53" s="1495"/>
      <c r="L53" s="1494"/>
      <c r="M53" s="518"/>
      <c r="N53" s="407"/>
      <c r="O53" s="407"/>
      <c r="P53" s="407"/>
      <c r="R53" s="407"/>
      <c r="S53" s="407"/>
      <c r="T53" s="407"/>
      <c r="U53" s="407"/>
      <c r="V53" s="407"/>
      <c r="W53" s="407"/>
      <c r="X53" s="407"/>
      <c r="Y53" s="407"/>
      <c r="Z53" s="407"/>
      <c r="AA53" s="407"/>
      <c r="AB53" s="407"/>
      <c r="AC53" s="407"/>
      <c r="AD53" s="407"/>
      <c r="AE53" s="407"/>
      <c r="AF53" s="407"/>
      <c r="AG53" s="407"/>
      <c r="AH53" s="407"/>
    </row>
    <row r="54" spans="1:34" ht="12.75" customHeight="1" x14ac:dyDescent="0.2">
      <c r="A54" s="407"/>
      <c r="B54" s="504">
        <f>L50</f>
        <v>0</v>
      </c>
      <c r="C54" s="451" t="str">
        <f>CONCATENATE("Tree, ",L$4,"'', Remove")</f>
        <v>Tree, 18'', Remove</v>
      </c>
      <c r="D54" s="451"/>
      <c r="E54" s="407"/>
      <c r="F54" s="996">
        <f>IF(P50&gt;0,P50&amp;" "&amp;M54,0)</f>
        <v>0</v>
      </c>
      <c r="G54" s="505" t="str">
        <f>K54</f>
        <v>Stump, Remove</v>
      </c>
      <c r="H54" s="451"/>
      <c r="I54" s="407"/>
      <c r="J54" s="494" t="s">
        <v>63</v>
      </c>
      <c r="K54" s="1493" t="s">
        <v>245</v>
      </c>
      <c r="L54" s="1494"/>
      <c r="M54" s="516" t="s">
        <v>103</v>
      </c>
      <c r="N54" s="1470" t="s">
        <v>449</v>
      </c>
      <c r="O54" s="1470"/>
      <c r="P54" s="1470"/>
      <c r="R54" s="407"/>
      <c r="S54" s="407"/>
      <c r="T54" s="407"/>
      <c r="U54" s="407"/>
      <c r="V54" s="407"/>
      <c r="W54" s="407"/>
      <c r="X54" s="407"/>
      <c r="Y54" s="407"/>
      <c r="Z54" s="407"/>
      <c r="AA54" s="407"/>
      <c r="AB54" s="407"/>
      <c r="AC54" s="407"/>
      <c r="AD54" s="407"/>
      <c r="AE54" s="407"/>
      <c r="AF54" s="407"/>
      <c r="AG54" s="407"/>
      <c r="AH54" s="407"/>
    </row>
    <row r="55" spans="1:34" ht="12.75" customHeight="1" x14ac:dyDescent="0.2">
      <c r="A55" s="407"/>
      <c r="B55" s="504">
        <f>M50</f>
        <v>0</v>
      </c>
      <c r="C55" s="451" t="str">
        <f>CONCATENATE("Tree, ",M$4,"'', Remove")</f>
        <v>Tree, 30'', Remove</v>
      </c>
      <c r="D55" s="451"/>
      <c r="E55" s="407"/>
      <c r="F55" s="996">
        <f>IF(Q50&gt;0,Q50&amp;" "&amp;M55,0)</f>
        <v>0</v>
      </c>
      <c r="G55" s="505" t="str">
        <f>K55</f>
        <v>Headwall, Remove</v>
      </c>
      <c r="H55" s="451"/>
      <c r="I55" s="407"/>
      <c r="J55" s="494" t="s">
        <v>64</v>
      </c>
      <c r="K55" s="1491" t="s">
        <v>447</v>
      </c>
      <c r="L55" s="1492"/>
      <c r="M55" s="519" t="s">
        <v>103</v>
      </c>
      <c r="N55" s="423"/>
      <c r="O55" s="423"/>
      <c r="P55" s="407"/>
      <c r="R55" s="407"/>
      <c r="S55" s="407"/>
      <c r="T55" s="407"/>
      <c r="U55" s="407"/>
      <c r="V55" s="407"/>
      <c r="W55" s="407"/>
      <c r="X55" s="407"/>
      <c r="Y55" s="407"/>
      <c r="Z55" s="407"/>
      <c r="AA55" s="407"/>
      <c r="AB55" s="407"/>
      <c r="AC55" s="407"/>
      <c r="AD55" s="407"/>
      <c r="AE55" s="407"/>
      <c r="AF55" s="407"/>
      <c r="AG55" s="407"/>
      <c r="AH55" s="407"/>
    </row>
    <row r="56" spans="1:34" ht="6.75" customHeight="1" x14ac:dyDescent="0.2">
      <c r="A56" s="407"/>
      <c r="B56" s="504"/>
      <c r="C56" s="451"/>
      <c r="D56" s="451"/>
      <c r="E56" s="407"/>
      <c r="F56" s="504"/>
      <c r="G56" s="451"/>
      <c r="H56" s="451"/>
      <c r="I56" s="407"/>
      <c r="J56" s="503"/>
      <c r="K56" s="407"/>
      <c r="L56" s="407"/>
      <c r="M56" s="407"/>
      <c r="N56" s="407"/>
      <c r="O56" s="407"/>
      <c r="P56" s="407"/>
      <c r="Q56" s="407"/>
      <c r="R56" s="407"/>
      <c r="S56" s="407"/>
      <c r="T56" s="407"/>
      <c r="U56" s="407"/>
      <c r="V56" s="407"/>
      <c r="W56" s="407"/>
      <c r="X56" s="407"/>
      <c r="Y56" s="407"/>
      <c r="Z56" s="407"/>
      <c r="AA56" s="407"/>
      <c r="AB56" s="407"/>
      <c r="AC56" s="407"/>
      <c r="AD56" s="407"/>
      <c r="AE56" s="407"/>
      <c r="AF56" s="407"/>
      <c r="AG56" s="407"/>
      <c r="AH56" s="407"/>
    </row>
    <row r="57" spans="1:34" ht="15.75" customHeight="1" x14ac:dyDescent="0.2">
      <c r="A57" s="407"/>
      <c r="B57" s="504"/>
      <c r="C57" s="451"/>
      <c r="D57" s="451"/>
      <c r="E57" s="407"/>
      <c r="F57" s="504"/>
      <c r="G57" s="407"/>
      <c r="H57" s="505"/>
      <c r="I57" s="407"/>
      <c r="J57" s="503"/>
      <c r="K57" s="407"/>
      <c r="L57" s="407"/>
      <c r="M57" s="407"/>
      <c r="N57" s="407"/>
      <c r="O57" s="407"/>
      <c r="P57" s="407"/>
      <c r="Q57" s="407"/>
      <c r="R57" s="407"/>
      <c r="S57" s="407"/>
      <c r="T57" s="407"/>
      <c r="U57" s="407"/>
      <c r="V57" s="407"/>
      <c r="W57" s="407"/>
      <c r="X57" s="407"/>
      <c r="Y57" s="407"/>
      <c r="Z57" s="407"/>
      <c r="AA57" s="407"/>
      <c r="AB57" s="407"/>
      <c r="AC57" s="407"/>
      <c r="AD57" s="407"/>
      <c r="AE57" s="407"/>
      <c r="AF57" s="407"/>
      <c r="AG57" s="407"/>
      <c r="AH57" s="407"/>
    </row>
    <row r="58" spans="1:34" ht="9.75" customHeight="1" x14ac:dyDescent="0.2">
      <c r="A58" s="407"/>
      <c r="B58" s="1486"/>
      <c r="C58" s="1486"/>
      <c r="D58" s="424"/>
      <c r="E58" s="407"/>
      <c r="F58" s="424"/>
      <c r="G58" s="506"/>
      <c r="H58" s="506"/>
      <c r="I58" s="506"/>
      <c r="J58" s="503"/>
      <c r="K58" s="407"/>
      <c r="L58" s="407"/>
      <c r="M58" s="407"/>
      <c r="N58" s="407"/>
      <c r="O58" s="407"/>
      <c r="P58" s="407"/>
      <c r="Q58" s="407"/>
      <c r="R58" s="407"/>
      <c r="S58" s="407"/>
      <c r="T58" s="407"/>
      <c r="U58" s="407"/>
      <c r="V58" s="407"/>
      <c r="W58" s="407"/>
      <c r="X58" s="407"/>
      <c r="Y58" s="407"/>
      <c r="Z58" s="407"/>
      <c r="AA58" s="407"/>
      <c r="AB58" s="407"/>
      <c r="AC58" s="407"/>
      <c r="AD58" s="407"/>
      <c r="AE58" s="407"/>
      <c r="AF58" s="407"/>
      <c r="AG58" s="407"/>
      <c r="AH58" s="407"/>
    </row>
    <row r="59" spans="1:34" ht="15.75" customHeight="1" x14ac:dyDescent="0.2">
      <c r="A59" s="407"/>
      <c r="B59" s="1486"/>
      <c r="C59" s="1486"/>
      <c r="D59" s="424"/>
      <c r="E59" s="407"/>
      <c r="F59" s="424"/>
      <c r="G59" s="407"/>
      <c r="H59" s="407"/>
      <c r="I59" s="407"/>
      <c r="J59" s="503"/>
      <c r="K59" s="407"/>
      <c r="L59" s="407"/>
      <c r="M59" s="407"/>
      <c r="N59" s="407"/>
      <c r="O59" s="407"/>
      <c r="P59" s="407"/>
      <c r="Q59" s="407"/>
      <c r="R59" s="407"/>
      <c r="S59" s="407"/>
      <c r="T59" s="407"/>
      <c r="U59" s="407"/>
      <c r="V59" s="407"/>
      <c r="W59" s="407"/>
      <c r="X59" s="407"/>
      <c r="Y59" s="407"/>
      <c r="Z59" s="407"/>
      <c r="AA59" s="407"/>
      <c r="AB59" s="407"/>
      <c r="AC59" s="407"/>
      <c r="AD59" s="407"/>
      <c r="AE59" s="407"/>
      <c r="AF59" s="407"/>
      <c r="AG59" s="407"/>
      <c r="AH59" s="407"/>
    </row>
    <row r="60" spans="1:34" ht="15.75" customHeight="1" x14ac:dyDescent="0.2">
      <c r="A60" s="407"/>
      <c r="B60" s="1487"/>
      <c r="C60" s="1487"/>
      <c r="D60" s="424"/>
      <c r="E60" s="407"/>
      <c r="F60" s="407"/>
      <c r="G60" s="407"/>
      <c r="H60" s="407"/>
      <c r="I60" s="407"/>
      <c r="J60" s="507"/>
      <c r="K60" s="407"/>
      <c r="L60" s="407"/>
      <c r="M60" s="407"/>
      <c r="N60" s="407"/>
      <c r="O60" s="407"/>
      <c r="P60" s="407"/>
      <c r="Q60" s="407"/>
      <c r="R60" s="407"/>
      <c r="S60" s="407"/>
      <c r="T60" s="407"/>
      <c r="U60" s="407"/>
      <c r="V60" s="407"/>
      <c r="W60" s="407"/>
      <c r="X60" s="407"/>
      <c r="Y60" s="407"/>
      <c r="Z60" s="407"/>
      <c r="AA60" s="407"/>
      <c r="AB60" s="407"/>
      <c r="AC60" s="407"/>
      <c r="AD60" s="407"/>
      <c r="AE60" s="407"/>
      <c r="AF60" s="407"/>
      <c r="AG60" s="407"/>
      <c r="AH60" s="407"/>
    </row>
    <row r="61" spans="1:34" ht="15.75" customHeight="1" x14ac:dyDescent="0.2">
      <c r="A61" s="407"/>
      <c r="B61" s="407"/>
      <c r="C61" s="407"/>
      <c r="D61" s="407"/>
      <c r="E61" s="407"/>
      <c r="F61" s="407"/>
      <c r="G61" s="407"/>
      <c r="H61" s="407"/>
      <c r="I61" s="407"/>
      <c r="J61" s="507"/>
      <c r="K61" s="407"/>
      <c r="L61" s="407"/>
      <c r="M61" s="407"/>
      <c r="N61" s="407"/>
      <c r="O61" s="407"/>
      <c r="P61" s="407"/>
      <c r="Q61" s="407"/>
      <c r="R61" s="407"/>
      <c r="S61" s="407"/>
      <c r="T61" s="407"/>
      <c r="U61" s="407"/>
      <c r="V61" s="407"/>
      <c r="W61" s="407"/>
      <c r="X61" s="407"/>
      <c r="Y61" s="407"/>
      <c r="Z61" s="407"/>
      <c r="AA61" s="407"/>
      <c r="AB61" s="407"/>
      <c r="AC61" s="407"/>
      <c r="AD61" s="407"/>
      <c r="AE61" s="407"/>
      <c r="AF61" s="407"/>
      <c r="AG61" s="407"/>
      <c r="AH61" s="407"/>
    </row>
    <row r="62" spans="1:34" ht="15.75" customHeight="1" x14ac:dyDescent="0.2">
      <c r="A62" s="407"/>
      <c r="B62" s="407"/>
      <c r="C62" s="407"/>
      <c r="D62" s="407"/>
      <c r="E62" s="407"/>
      <c r="F62" s="407"/>
      <c r="G62" s="407"/>
      <c r="H62" s="407"/>
      <c r="I62" s="407"/>
      <c r="J62" s="507"/>
      <c r="K62" s="407"/>
      <c r="L62" s="407"/>
      <c r="M62" s="407"/>
      <c r="N62" s="407"/>
      <c r="O62" s="407"/>
      <c r="P62" s="407"/>
      <c r="Q62" s="407"/>
      <c r="R62" s="407"/>
      <c r="S62" s="407"/>
      <c r="T62" s="407"/>
      <c r="U62" s="407"/>
      <c r="V62" s="407"/>
      <c r="W62" s="407"/>
      <c r="X62" s="407"/>
      <c r="Y62" s="407"/>
      <c r="Z62" s="407"/>
      <c r="AA62" s="407"/>
      <c r="AB62" s="407"/>
      <c r="AC62" s="407"/>
      <c r="AD62" s="407"/>
      <c r="AE62" s="407"/>
      <c r="AF62" s="407"/>
      <c r="AG62" s="407"/>
      <c r="AH62" s="407"/>
    </row>
    <row r="63" spans="1:34" ht="15.75" customHeight="1" x14ac:dyDescent="0.2">
      <c r="A63" s="407"/>
      <c r="B63" s="407"/>
      <c r="C63" s="407"/>
      <c r="D63" s="407"/>
      <c r="E63" s="407"/>
      <c r="F63" s="407"/>
      <c r="G63" s="407"/>
      <c r="H63" s="407"/>
      <c r="I63" s="407"/>
      <c r="J63" s="507"/>
      <c r="K63" s="407"/>
      <c r="L63" s="407"/>
      <c r="M63" s="407"/>
      <c r="N63" s="407"/>
      <c r="O63" s="407"/>
      <c r="P63" s="407"/>
      <c r="Q63" s="407"/>
      <c r="R63" s="407"/>
      <c r="S63" s="407"/>
      <c r="T63" s="407"/>
      <c r="U63" s="407"/>
      <c r="V63" s="407"/>
      <c r="W63" s="407"/>
      <c r="X63" s="407"/>
      <c r="Y63" s="407"/>
      <c r="Z63" s="407"/>
      <c r="AA63" s="407"/>
      <c r="AB63" s="407"/>
      <c r="AC63" s="407"/>
      <c r="AD63" s="407"/>
      <c r="AE63" s="407"/>
      <c r="AF63" s="407"/>
      <c r="AG63" s="407"/>
      <c r="AH63" s="407"/>
    </row>
    <row r="64" spans="1:34" ht="15.75" customHeight="1" x14ac:dyDescent="0.2">
      <c r="A64" s="407"/>
      <c r="B64" s="407"/>
      <c r="C64" s="407"/>
      <c r="D64" s="407"/>
      <c r="E64" s="407"/>
      <c r="F64" s="407"/>
      <c r="G64" s="407"/>
      <c r="H64" s="407"/>
      <c r="I64" s="407"/>
      <c r="J64" s="407"/>
      <c r="K64" s="407"/>
      <c r="L64" s="407"/>
      <c r="M64" s="407"/>
      <c r="N64" s="407"/>
      <c r="O64" s="407"/>
      <c r="P64" s="407"/>
      <c r="Q64" s="407"/>
      <c r="R64" s="407"/>
      <c r="S64" s="407"/>
      <c r="T64" s="407"/>
      <c r="U64" s="407"/>
      <c r="V64" s="407"/>
      <c r="W64" s="407"/>
      <c r="X64" s="407"/>
      <c r="Y64" s="407"/>
      <c r="Z64" s="407"/>
      <c r="AA64" s="407"/>
      <c r="AB64" s="407"/>
      <c r="AC64" s="407"/>
      <c r="AD64" s="407"/>
      <c r="AE64" s="407"/>
      <c r="AF64" s="407"/>
      <c r="AG64" s="407"/>
      <c r="AH64" s="407"/>
    </row>
    <row r="65" spans="1:34" ht="15.75" customHeight="1" x14ac:dyDescent="0.2">
      <c r="A65" s="407"/>
      <c r="B65" s="407"/>
      <c r="C65" s="407"/>
      <c r="D65" s="407"/>
      <c r="E65" s="407"/>
      <c r="F65" s="407"/>
      <c r="G65" s="407"/>
      <c r="H65" s="407"/>
      <c r="I65" s="407"/>
      <c r="J65" s="407"/>
      <c r="K65" s="407"/>
      <c r="L65" s="407"/>
      <c r="M65" s="407"/>
      <c r="N65" s="407"/>
      <c r="O65" s="407"/>
      <c r="P65" s="407"/>
      <c r="Q65" s="407"/>
      <c r="R65" s="407"/>
      <c r="S65" s="407"/>
      <c r="T65" s="407"/>
      <c r="U65" s="407"/>
      <c r="V65" s="407"/>
      <c r="W65" s="407"/>
      <c r="X65" s="407"/>
      <c r="Y65" s="407"/>
      <c r="Z65" s="407"/>
      <c r="AA65" s="407"/>
      <c r="AB65" s="407"/>
      <c r="AC65" s="407"/>
      <c r="AD65" s="407"/>
      <c r="AE65" s="407"/>
      <c r="AF65" s="407"/>
      <c r="AG65" s="407"/>
      <c r="AH65" s="407"/>
    </row>
    <row r="66" spans="1:34" ht="15.75" customHeight="1" x14ac:dyDescent="0.2">
      <c r="A66" s="407"/>
      <c r="B66" s="407"/>
      <c r="C66" s="407"/>
      <c r="D66" s="407"/>
      <c r="E66" s="407"/>
      <c r="F66" s="407"/>
      <c r="G66" s="407"/>
      <c r="H66" s="407"/>
      <c r="I66" s="407"/>
      <c r="J66" s="407"/>
      <c r="K66" s="407"/>
      <c r="L66" s="407"/>
      <c r="M66" s="407"/>
      <c r="N66" s="407"/>
      <c r="O66" s="407"/>
      <c r="P66" s="407"/>
      <c r="Q66" s="407"/>
      <c r="R66" s="407"/>
      <c r="S66" s="407"/>
      <c r="T66" s="407"/>
      <c r="U66" s="407"/>
      <c r="V66" s="407"/>
      <c r="W66" s="407"/>
      <c r="X66" s="407"/>
      <c r="Y66" s="407"/>
      <c r="Z66" s="407"/>
      <c r="AA66" s="407"/>
      <c r="AB66" s="407"/>
      <c r="AC66" s="407"/>
      <c r="AD66" s="407"/>
      <c r="AE66" s="407"/>
      <c r="AF66" s="407"/>
      <c r="AG66" s="407"/>
      <c r="AH66" s="407"/>
    </row>
    <row r="67" spans="1:34" ht="15.75" customHeight="1" x14ac:dyDescent="0.2">
      <c r="A67" s="407"/>
      <c r="B67" s="407"/>
      <c r="C67" s="407"/>
      <c r="D67" s="407"/>
      <c r="E67" s="407"/>
      <c r="F67" s="407"/>
      <c r="G67" s="407"/>
      <c r="H67" s="407"/>
      <c r="I67" s="407"/>
      <c r="J67" s="407"/>
      <c r="K67" s="407"/>
      <c r="L67" s="407"/>
      <c r="M67" s="407"/>
      <c r="N67" s="407"/>
      <c r="O67" s="407"/>
      <c r="P67" s="407"/>
      <c r="Q67" s="407"/>
      <c r="R67" s="407"/>
      <c r="S67" s="407"/>
      <c r="T67" s="407"/>
      <c r="U67" s="407"/>
      <c r="V67" s="407"/>
      <c r="W67" s="407"/>
      <c r="X67" s="407"/>
      <c r="Y67" s="407"/>
      <c r="Z67" s="407"/>
      <c r="AA67" s="407"/>
      <c r="AB67" s="407"/>
      <c r="AC67" s="407"/>
      <c r="AD67" s="407"/>
      <c r="AE67" s="407"/>
      <c r="AF67" s="407"/>
      <c r="AG67" s="407"/>
      <c r="AH67" s="407"/>
    </row>
    <row r="68" spans="1:34" ht="15.75" customHeight="1" x14ac:dyDescent="0.2">
      <c r="A68" s="407"/>
      <c r="B68" s="407"/>
      <c r="C68" s="407"/>
      <c r="D68" s="407"/>
      <c r="E68" s="407"/>
      <c r="F68" s="407"/>
      <c r="G68" s="407"/>
      <c r="H68" s="407"/>
      <c r="I68" s="407"/>
      <c r="J68" s="407"/>
      <c r="K68" s="407"/>
      <c r="L68" s="407"/>
      <c r="M68" s="407"/>
      <c r="N68" s="407"/>
      <c r="O68" s="407"/>
      <c r="P68" s="407"/>
      <c r="Q68" s="407"/>
      <c r="R68" s="407"/>
      <c r="S68" s="407"/>
      <c r="T68" s="407"/>
      <c r="U68" s="407"/>
      <c r="V68" s="407"/>
      <c r="W68" s="407"/>
      <c r="X68" s="407"/>
      <c r="Y68" s="407"/>
      <c r="Z68" s="407"/>
      <c r="AA68" s="407"/>
      <c r="AB68" s="407"/>
      <c r="AC68" s="407"/>
      <c r="AD68" s="407"/>
      <c r="AE68" s="407"/>
      <c r="AF68" s="407"/>
      <c r="AG68" s="407"/>
      <c r="AH68" s="407"/>
    </row>
    <row r="69" spans="1:34" ht="15.75" customHeight="1" x14ac:dyDescent="0.2">
      <c r="A69" s="407"/>
      <c r="B69" s="407"/>
      <c r="C69" s="407"/>
      <c r="D69" s="407"/>
      <c r="E69" s="407"/>
      <c r="F69" s="407"/>
      <c r="G69" s="407"/>
      <c r="H69" s="407"/>
      <c r="I69" s="407"/>
      <c r="J69" s="407"/>
      <c r="K69" s="407"/>
      <c r="L69" s="407"/>
      <c r="M69" s="407"/>
      <c r="N69" s="407"/>
      <c r="O69" s="407"/>
      <c r="P69" s="407"/>
      <c r="Q69" s="407"/>
      <c r="R69" s="407"/>
      <c r="S69" s="407"/>
      <c r="T69" s="407"/>
      <c r="U69" s="407"/>
      <c r="V69" s="407"/>
      <c r="W69" s="407"/>
      <c r="X69" s="407"/>
      <c r="Y69" s="407"/>
      <c r="Z69" s="407"/>
      <c r="AA69" s="407"/>
      <c r="AB69" s="407"/>
      <c r="AC69" s="407"/>
      <c r="AD69" s="407"/>
      <c r="AE69" s="407"/>
      <c r="AF69" s="407"/>
      <c r="AG69" s="407"/>
      <c r="AH69" s="407"/>
    </row>
    <row r="70" spans="1:34" ht="15.75" customHeight="1" x14ac:dyDescent="0.2">
      <c r="A70" s="407"/>
      <c r="B70" s="407"/>
      <c r="C70" s="407"/>
      <c r="D70" s="407"/>
      <c r="E70" s="407"/>
      <c r="F70" s="407"/>
      <c r="G70" s="407"/>
      <c r="H70" s="407"/>
      <c r="I70" s="407"/>
      <c r="J70" s="407"/>
      <c r="K70" s="407"/>
      <c r="L70" s="407"/>
      <c r="M70" s="407"/>
      <c r="N70" s="407"/>
      <c r="O70" s="407"/>
      <c r="P70" s="407"/>
      <c r="Q70" s="407"/>
      <c r="R70" s="407"/>
      <c r="S70" s="407"/>
      <c r="T70" s="407"/>
      <c r="U70" s="407"/>
      <c r="V70" s="407"/>
      <c r="W70" s="407"/>
      <c r="X70" s="407"/>
      <c r="Y70" s="407"/>
      <c r="Z70" s="407"/>
      <c r="AA70" s="407"/>
      <c r="AB70" s="407"/>
      <c r="AC70" s="407"/>
      <c r="AD70" s="407"/>
      <c r="AE70" s="407"/>
      <c r="AF70" s="407"/>
      <c r="AG70" s="407"/>
      <c r="AH70" s="407"/>
    </row>
    <row r="71" spans="1:34" ht="15.75" customHeight="1" x14ac:dyDescent="0.2">
      <c r="A71" s="407"/>
      <c r="B71" s="407"/>
      <c r="C71" s="407"/>
      <c r="D71" s="407"/>
      <c r="E71" s="407"/>
      <c r="F71" s="407"/>
      <c r="G71" s="407"/>
      <c r="H71" s="407"/>
      <c r="I71" s="407"/>
      <c r="J71" s="407"/>
      <c r="K71" s="407"/>
      <c r="L71" s="407"/>
      <c r="M71" s="407"/>
      <c r="N71" s="407"/>
      <c r="O71" s="407"/>
      <c r="P71" s="407"/>
      <c r="Q71" s="407"/>
      <c r="R71" s="407"/>
      <c r="S71" s="407"/>
      <c r="T71" s="407"/>
      <c r="U71" s="407"/>
      <c r="V71" s="407"/>
      <c r="W71" s="407"/>
      <c r="X71" s="407"/>
      <c r="Y71" s="407"/>
      <c r="Z71" s="407"/>
      <c r="AA71" s="407"/>
      <c r="AB71" s="407"/>
      <c r="AC71" s="407"/>
      <c r="AD71" s="407"/>
      <c r="AE71" s="407"/>
      <c r="AF71" s="407"/>
      <c r="AG71" s="407"/>
      <c r="AH71" s="407"/>
    </row>
    <row r="72" spans="1:34" ht="15.75" customHeight="1" x14ac:dyDescent="0.2">
      <c r="A72" s="407"/>
      <c r="B72" s="407"/>
      <c r="C72" s="407"/>
      <c r="D72" s="407"/>
      <c r="E72" s="407"/>
      <c r="F72" s="407"/>
      <c r="G72" s="407"/>
      <c r="H72" s="407"/>
      <c r="I72" s="407"/>
      <c r="J72" s="407"/>
      <c r="K72" s="407"/>
      <c r="L72" s="407"/>
      <c r="M72" s="407"/>
      <c r="N72" s="407"/>
      <c r="O72" s="407"/>
      <c r="P72" s="407"/>
      <c r="Q72" s="407"/>
      <c r="R72" s="407"/>
      <c r="S72" s="407"/>
      <c r="T72" s="407"/>
      <c r="U72" s="407"/>
      <c r="V72" s="407"/>
      <c r="W72" s="407"/>
      <c r="X72" s="407"/>
      <c r="Y72" s="407"/>
      <c r="Z72" s="407"/>
      <c r="AA72" s="407"/>
      <c r="AB72" s="407"/>
      <c r="AC72" s="407"/>
      <c r="AD72" s="407"/>
      <c r="AE72" s="407"/>
      <c r="AF72" s="407"/>
      <c r="AG72" s="407"/>
      <c r="AH72" s="407"/>
    </row>
    <row r="73" spans="1:34" ht="15.75" customHeight="1" x14ac:dyDescent="0.2">
      <c r="A73" s="407"/>
      <c r="B73" s="407"/>
      <c r="C73" s="407"/>
      <c r="D73" s="407"/>
      <c r="E73" s="407"/>
      <c r="F73" s="407"/>
      <c r="G73" s="407"/>
      <c r="H73" s="407"/>
      <c r="I73" s="407"/>
      <c r="J73" s="407"/>
      <c r="K73" s="407"/>
      <c r="L73" s="407"/>
      <c r="M73" s="407"/>
      <c r="N73" s="407"/>
      <c r="O73" s="407"/>
      <c r="P73" s="407"/>
      <c r="Q73" s="407"/>
      <c r="R73" s="407"/>
      <c r="S73" s="407"/>
      <c r="T73" s="407"/>
      <c r="U73" s="407"/>
      <c r="V73" s="407"/>
      <c r="W73" s="407"/>
      <c r="X73" s="407"/>
      <c r="Y73" s="407"/>
      <c r="Z73" s="407"/>
      <c r="AA73" s="407"/>
      <c r="AB73" s="407"/>
      <c r="AC73" s="407"/>
      <c r="AD73" s="407"/>
      <c r="AE73" s="407"/>
      <c r="AF73" s="407"/>
      <c r="AG73" s="407"/>
      <c r="AH73" s="407"/>
    </row>
    <row r="74" spans="1:34" ht="15.75" customHeight="1" x14ac:dyDescent="0.2">
      <c r="A74" s="407"/>
      <c r="B74" s="407"/>
      <c r="C74" s="407"/>
      <c r="D74" s="407"/>
      <c r="E74" s="407"/>
      <c r="F74" s="407"/>
      <c r="G74" s="407"/>
      <c r="H74" s="407"/>
      <c r="I74" s="407"/>
      <c r="J74" s="407"/>
      <c r="K74" s="407"/>
      <c r="L74" s="407"/>
      <c r="M74" s="407"/>
      <c r="N74" s="407"/>
      <c r="O74" s="407"/>
      <c r="P74" s="407"/>
      <c r="Q74" s="407"/>
      <c r="R74" s="407"/>
      <c r="S74" s="407"/>
      <c r="T74" s="407"/>
      <c r="U74" s="407"/>
      <c r="V74" s="407"/>
      <c r="W74" s="407"/>
      <c r="X74" s="407"/>
      <c r="Y74" s="407"/>
      <c r="Z74" s="407"/>
      <c r="AA74" s="407"/>
      <c r="AB74" s="407"/>
      <c r="AC74" s="407"/>
      <c r="AD74" s="407"/>
      <c r="AE74" s="407"/>
      <c r="AF74" s="407"/>
      <c r="AG74" s="407"/>
      <c r="AH74" s="407"/>
    </row>
    <row r="75" spans="1:34" ht="15.75" customHeight="1" x14ac:dyDescent="0.2">
      <c r="A75" s="407"/>
      <c r="B75" s="407"/>
      <c r="C75" s="407"/>
      <c r="D75" s="407"/>
      <c r="E75" s="407"/>
      <c r="F75" s="407"/>
      <c r="G75" s="407"/>
      <c r="H75" s="407"/>
      <c r="I75" s="407"/>
      <c r="J75" s="407"/>
      <c r="K75" s="407"/>
      <c r="L75" s="407"/>
      <c r="M75" s="407"/>
      <c r="N75" s="407"/>
      <c r="O75" s="407"/>
      <c r="P75" s="407"/>
      <c r="Q75" s="407"/>
      <c r="R75" s="407"/>
      <c r="S75" s="407"/>
      <c r="T75" s="407"/>
      <c r="U75" s="407"/>
      <c r="V75" s="407"/>
      <c r="W75" s="407"/>
      <c r="X75" s="407"/>
      <c r="Y75" s="407"/>
      <c r="Z75" s="407"/>
      <c r="AA75" s="407"/>
      <c r="AB75" s="407"/>
      <c r="AC75" s="407"/>
      <c r="AD75" s="407"/>
      <c r="AE75" s="407"/>
      <c r="AF75" s="407"/>
      <c r="AG75" s="407"/>
      <c r="AH75" s="407"/>
    </row>
    <row r="76" spans="1:34" ht="15.75" customHeight="1" x14ac:dyDescent="0.2">
      <c r="A76" s="407"/>
      <c r="B76" s="407"/>
      <c r="C76" s="407"/>
      <c r="D76" s="407"/>
      <c r="E76" s="407"/>
      <c r="F76" s="407"/>
      <c r="G76" s="407"/>
      <c r="H76" s="407"/>
      <c r="I76" s="407"/>
      <c r="J76" s="407"/>
      <c r="K76" s="407"/>
      <c r="L76" s="407"/>
      <c r="M76" s="407"/>
      <c r="N76" s="407"/>
      <c r="O76" s="407"/>
      <c r="P76" s="407"/>
      <c r="Q76" s="407"/>
      <c r="R76" s="407"/>
      <c r="S76" s="407"/>
      <c r="T76" s="407"/>
      <c r="U76" s="407"/>
      <c r="V76" s="407"/>
      <c r="W76" s="407"/>
      <c r="X76" s="407"/>
      <c r="Y76" s="407"/>
      <c r="Z76" s="407"/>
      <c r="AA76" s="407"/>
      <c r="AB76" s="407"/>
      <c r="AC76" s="407"/>
      <c r="AD76" s="407"/>
      <c r="AE76" s="407"/>
      <c r="AF76" s="407"/>
      <c r="AG76" s="407"/>
      <c r="AH76" s="407"/>
    </row>
    <row r="77" spans="1:34" ht="15.75" customHeight="1" x14ac:dyDescent="0.2">
      <c r="A77" s="407"/>
      <c r="B77" s="407"/>
      <c r="C77" s="407"/>
      <c r="D77" s="407"/>
      <c r="E77" s="407"/>
      <c r="F77" s="407"/>
      <c r="G77" s="407"/>
      <c r="H77" s="407"/>
      <c r="I77" s="407"/>
      <c r="J77" s="407"/>
      <c r="K77" s="407"/>
      <c r="L77" s="407"/>
      <c r="M77" s="407"/>
      <c r="N77" s="407"/>
      <c r="O77" s="407"/>
      <c r="P77" s="407"/>
      <c r="Q77" s="407"/>
      <c r="R77" s="407"/>
      <c r="S77" s="407"/>
      <c r="T77" s="407"/>
      <c r="U77" s="407"/>
      <c r="V77" s="407"/>
      <c r="W77" s="407"/>
      <c r="X77" s="407"/>
      <c r="Y77" s="407"/>
      <c r="Z77" s="407"/>
      <c r="AA77" s="407"/>
      <c r="AB77" s="407"/>
      <c r="AC77" s="407"/>
      <c r="AD77" s="407"/>
      <c r="AE77" s="407"/>
      <c r="AF77" s="407"/>
      <c r="AG77" s="407"/>
      <c r="AH77" s="407"/>
    </row>
    <row r="78" spans="1:34" ht="15.75" customHeight="1" x14ac:dyDescent="0.2">
      <c r="A78" s="407"/>
      <c r="B78" s="407"/>
      <c r="C78" s="407"/>
      <c r="D78" s="407"/>
      <c r="E78" s="407"/>
      <c r="F78" s="407"/>
      <c r="G78" s="407"/>
      <c r="H78" s="407"/>
      <c r="I78" s="407"/>
      <c r="J78" s="407"/>
      <c r="K78" s="407"/>
      <c r="L78" s="407"/>
      <c r="M78" s="407"/>
      <c r="N78" s="407"/>
      <c r="O78" s="407"/>
      <c r="P78" s="407"/>
      <c r="Q78" s="407"/>
      <c r="R78" s="407"/>
      <c r="S78" s="407"/>
      <c r="T78" s="407"/>
      <c r="U78" s="407"/>
      <c r="V78" s="407"/>
      <c r="W78" s="407"/>
      <c r="X78" s="407"/>
      <c r="Y78" s="407"/>
      <c r="Z78" s="407"/>
      <c r="AA78" s="407"/>
      <c r="AB78" s="407"/>
      <c r="AC78" s="407"/>
      <c r="AD78" s="407"/>
      <c r="AE78" s="407"/>
      <c r="AF78" s="407"/>
      <c r="AG78" s="407"/>
      <c r="AH78" s="407"/>
    </row>
    <row r="79" spans="1:34" ht="15.75" customHeight="1" x14ac:dyDescent="0.2">
      <c r="A79" s="407"/>
      <c r="B79" s="407"/>
      <c r="C79" s="407"/>
      <c r="D79" s="407"/>
      <c r="E79" s="407"/>
      <c r="F79" s="407"/>
      <c r="G79" s="407"/>
      <c r="H79" s="407"/>
      <c r="I79" s="407"/>
      <c r="J79" s="407"/>
      <c r="K79" s="407"/>
      <c r="L79" s="407"/>
      <c r="M79" s="407"/>
      <c r="N79" s="407"/>
      <c r="O79" s="407"/>
      <c r="P79" s="407"/>
      <c r="Q79" s="407"/>
      <c r="R79" s="407"/>
      <c r="S79" s="407"/>
      <c r="T79" s="407"/>
      <c r="U79" s="407"/>
      <c r="V79" s="407"/>
      <c r="W79" s="407"/>
      <c r="X79" s="407"/>
      <c r="Y79" s="407"/>
      <c r="Z79" s="407"/>
      <c r="AA79" s="407"/>
      <c r="AB79" s="407"/>
      <c r="AC79" s="407"/>
      <c r="AD79" s="407"/>
      <c r="AE79" s="407"/>
      <c r="AF79" s="407"/>
      <c r="AG79" s="407"/>
      <c r="AH79" s="407"/>
    </row>
    <row r="80" spans="1:34" ht="15.75" customHeight="1" x14ac:dyDescent="0.2">
      <c r="A80" s="407"/>
      <c r="B80" s="407"/>
      <c r="C80" s="407"/>
      <c r="D80" s="407"/>
      <c r="E80" s="407"/>
      <c r="F80" s="407"/>
      <c r="G80" s="407"/>
      <c r="H80" s="407"/>
      <c r="I80" s="407"/>
      <c r="J80" s="407"/>
      <c r="K80" s="407"/>
      <c r="L80" s="407"/>
      <c r="M80" s="407"/>
      <c r="N80" s="407"/>
      <c r="O80" s="407"/>
      <c r="P80" s="407"/>
      <c r="Q80" s="407"/>
      <c r="R80" s="407"/>
      <c r="S80" s="407"/>
      <c r="T80" s="407"/>
      <c r="U80" s="407"/>
      <c r="V80" s="407"/>
      <c r="W80" s="407"/>
      <c r="X80" s="407"/>
      <c r="Y80" s="407"/>
      <c r="Z80" s="407"/>
      <c r="AA80" s="407"/>
      <c r="AB80" s="407"/>
      <c r="AC80" s="407"/>
      <c r="AD80" s="407"/>
      <c r="AE80" s="407"/>
      <c r="AF80" s="407"/>
      <c r="AG80" s="407"/>
      <c r="AH80" s="407"/>
    </row>
    <row r="81" spans="1:34" ht="15.75" customHeight="1" x14ac:dyDescent="0.2">
      <c r="A81" s="407"/>
      <c r="B81" s="407"/>
      <c r="C81" s="407"/>
      <c r="D81" s="407"/>
      <c r="E81" s="407"/>
      <c r="F81" s="407"/>
      <c r="G81" s="407"/>
      <c r="H81" s="407"/>
      <c r="I81" s="407"/>
      <c r="J81" s="407"/>
      <c r="K81" s="407"/>
      <c r="L81" s="407"/>
      <c r="M81" s="407"/>
      <c r="N81" s="407"/>
      <c r="O81" s="407"/>
      <c r="P81" s="407"/>
      <c r="Q81" s="407"/>
      <c r="R81" s="407"/>
      <c r="S81" s="407"/>
      <c r="T81" s="407"/>
      <c r="U81" s="407"/>
      <c r="V81" s="407"/>
      <c r="W81" s="407"/>
      <c r="X81" s="407"/>
      <c r="Y81" s="407"/>
      <c r="Z81" s="407"/>
      <c r="AA81" s="407"/>
      <c r="AB81" s="407"/>
      <c r="AC81" s="407"/>
      <c r="AD81" s="407"/>
      <c r="AE81" s="407"/>
      <c r="AF81" s="407"/>
      <c r="AG81" s="407"/>
      <c r="AH81" s="407"/>
    </row>
    <row r="82" spans="1:34" ht="15.75" customHeight="1" x14ac:dyDescent="0.2">
      <c r="A82" s="407"/>
      <c r="B82" s="407"/>
      <c r="C82" s="407"/>
      <c r="D82" s="407"/>
      <c r="E82" s="407"/>
      <c r="F82" s="407"/>
      <c r="G82" s="407"/>
      <c r="H82" s="407"/>
      <c r="I82" s="407"/>
      <c r="J82" s="407"/>
      <c r="K82" s="407"/>
      <c r="L82" s="407"/>
      <c r="M82" s="407"/>
      <c r="N82" s="407"/>
      <c r="O82" s="407"/>
      <c r="P82" s="407"/>
      <c r="Q82" s="407"/>
      <c r="R82" s="407"/>
      <c r="S82" s="407"/>
      <c r="T82" s="407"/>
      <c r="U82" s="407"/>
      <c r="V82" s="407"/>
      <c r="W82" s="407"/>
      <c r="X82" s="407"/>
      <c r="Y82" s="407"/>
      <c r="Z82" s="407"/>
      <c r="AA82" s="407"/>
      <c r="AB82" s="407"/>
      <c r="AC82" s="407"/>
      <c r="AD82" s="407"/>
      <c r="AE82" s="407"/>
      <c r="AF82" s="407"/>
      <c r="AG82" s="407"/>
      <c r="AH82" s="407"/>
    </row>
    <row r="83" spans="1:34" ht="15.75" customHeight="1" x14ac:dyDescent="0.2">
      <c r="A83" s="407"/>
      <c r="B83" s="407"/>
      <c r="C83" s="407"/>
      <c r="D83" s="407"/>
      <c r="E83" s="407"/>
      <c r="F83" s="407"/>
      <c r="G83" s="407"/>
      <c r="H83" s="407"/>
      <c r="I83" s="407"/>
      <c r="J83" s="407"/>
      <c r="K83" s="407"/>
      <c r="L83" s="407"/>
      <c r="M83" s="407"/>
      <c r="N83" s="407"/>
      <c r="O83" s="407"/>
      <c r="P83" s="407"/>
      <c r="Q83" s="407"/>
      <c r="R83" s="407"/>
      <c r="S83" s="407"/>
      <c r="T83" s="407"/>
      <c r="U83" s="407"/>
      <c r="V83" s="407"/>
      <c r="W83" s="407"/>
      <c r="X83" s="407"/>
      <c r="Y83" s="407"/>
      <c r="Z83" s="407"/>
      <c r="AA83" s="407"/>
      <c r="AB83" s="407"/>
      <c r="AC83" s="407"/>
      <c r="AD83" s="407"/>
      <c r="AE83" s="407"/>
      <c r="AF83" s="407"/>
      <c r="AG83" s="407"/>
      <c r="AH83" s="407"/>
    </row>
    <row r="84" spans="1:34" ht="15.75" customHeight="1" x14ac:dyDescent="0.2">
      <c r="A84" s="407"/>
      <c r="B84" s="407"/>
      <c r="C84" s="407"/>
      <c r="D84" s="407"/>
      <c r="E84" s="407"/>
      <c r="F84" s="407"/>
      <c r="G84" s="407"/>
      <c r="H84" s="407"/>
      <c r="I84" s="407"/>
      <c r="J84" s="407"/>
      <c r="K84" s="407"/>
      <c r="L84" s="407"/>
      <c r="M84" s="407"/>
      <c r="N84" s="407"/>
      <c r="O84" s="407"/>
      <c r="P84" s="407"/>
      <c r="Q84" s="407"/>
      <c r="R84" s="407"/>
      <c r="S84" s="407"/>
      <c r="T84" s="407"/>
      <c r="U84" s="407"/>
      <c r="V84" s="407"/>
      <c r="W84" s="407"/>
      <c r="X84" s="407"/>
      <c r="Y84" s="407"/>
      <c r="Z84" s="407"/>
      <c r="AA84" s="407"/>
      <c r="AB84" s="407"/>
      <c r="AC84" s="407"/>
      <c r="AD84" s="407"/>
      <c r="AE84" s="407"/>
      <c r="AF84" s="407"/>
      <c r="AG84" s="407"/>
      <c r="AH84" s="407"/>
    </row>
    <row r="85" spans="1:34" ht="15.75" customHeight="1" x14ac:dyDescent="0.2">
      <c r="A85" s="407"/>
      <c r="B85" s="407"/>
      <c r="C85" s="407"/>
      <c r="D85" s="407"/>
      <c r="E85" s="407"/>
      <c r="F85" s="407"/>
      <c r="G85" s="407"/>
      <c r="H85" s="407"/>
      <c r="I85" s="407"/>
      <c r="J85" s="407"/>
      <c r="K85" s="407"/>
      <c r="L85" s="407"/>
      <c r="M85" s="407"/>
      <c r="N85" s="407"/>
      <c r="O85" s="407"/>
      <c r="P85" s="407"/>
      <c r="Q85" s="407"/>
      <c r="R85" s="407"/>
      <c r="S85" s="407"/>
      <c r="T85" s="407"/>
      <c r="U85" s="407"/>
      <c r="V85" s="407"/>
      <c r="W85" s="407"/>
      <c r="X85" s="407"/>
      <c r="Y85" s="407"/>
      <c r="Z85" s="407"/>
      <c r="AA85" s="407"/>
      <c r="AB85" s="407"/>
      <c r="AC85" s="407"/>
      <c r="AD85" s="407"/>
      <c r="AE85" s="407"/>
      <c r="AF85" s="407"/>
      <c r="AG85" s="407"/>
      <c r="AH85" s="407"/>
    </row>
    <row r="86" spans="1:34" ht="15.75" customHeight="1" x14ac:dyDescent="0.2">
      <c r="A86" s="407"/>
      <c r="B86" s="407"/>
      <c r="C86" s="407"/>
      <c r="D86" s="407"/>
      <c r="E86" s="407"/>
      <c r="F86" s="407"/>
      <c r="G86" s="407"/>
      <c r="H86" s="407"/>
      <c r="I86" s="407"/>
      <c r="J86" s="407"/>
      <c r="K86" s="407"/>
      <c r="L86" s="407"/>
      <c r="M86" s="407"/>
      <c r="N86" s="407"/>
      <c r="O86" s="407"/>
      <c r="P86" s="407"/>
      <c r="Q86" s="407"/>
      <c r="R86" s="407"/>
      <c r="S86" s="407"/>
      <c r="T86" s="407"/>
      <c r="U86" s="407"/>
      <c r="V86" s="407"/>
      <c r="W86" s="407"/>
      <c r="X86" s="407"/>
      <c r="Y86" s="407"/>
      <c r="Z86" s="407"/>
      <c r="AA86" s="407"/>
      <c r="AB86" s="407"/>
      <c r="AC86" s="407"/>
      <c r="AD86" s="407"/>
      <c r="AE86" s="407"/>
      <c r="AF86" s="407"/>
      <c r="AG86" s="407"/>
      <c r="AH86" s="407"/>
    </row>
    <row r="87" spans="1:34" ht="15.75" customHeight="1" x14ac:dyDescent="0.2">
      <c r="A87" s="407"/>
      <c r="B87" s="407"/>
      <c r="C87" s="407"/>
      <c r="D87" s="407"/>
      <c r="E87" s="407"/>
      <c r="F87" s="407"/>
      <c r="G87" s="407"/>
      <c r="H87" s="407"/>
      <c r="I87" s="407"/>
      <c r="J87" s="407"/>
      <c r="K87" s="407"/>
      <c r="L87" s="407"/>
      <c r="M87" s="407"/>
      <c r="N87" s="407"/>
      <c r="O87" s="407"/>
      <c r="P87" s="407"/>
      <c r="Q87" s="407"/>
      <c r="R87" s="407"/>
      <c r="S87" s="407"/>
      <c r="T87" s="407"/>
      <c r="U87" s="407"/>
      <c r="V87" s="407"/>
      <c r="W87" s="407"/>
      <c r="X87" s="407"/>
      <c r="Y87" s="407"/>
      <c r="Z87" s="407"/>
      <c r="AA87" s="407"/>
      <c r="AB87" s="407"/>
      <c r="AC87" s="407"/>
      <c r="AD87" s="407"/>
      <c r="AE87" s="407"/>
      <c r="AF87" s="407"/>
      <c r="AG87" s="407"/>
      <c r="AH87" s="407"/>
    </row>
    <row r="88" spans="1:34" ht="15.75" customHeight="1" x14ac:dyDescent="0.2">
      <c r="A88" s="407"/>
      <c r="B88" s="407"/>
      <c r="C88" s="407"/>
      <c r="D88" s="407"/>
      <c r="E88" s="407"/>
      <c r="F88" s="407"/>
      <c r="G88" s="407"/>
      <c r="H88" s="407"/>
      <c r="I88" s="407"/>
      <c r="J88" s="407"/>
      <c r="K88" s="407"/>
      <c r="L88" s="407"/>
      <c r="M88" s="407"/>
      <c r="N88" s="407"/>
      <c r="O88" s="407"/>
      <c r="P88" s="407"/>
      <c r="Q88" s="407"/>
      <c r="R88" s="407"/>
      <c r="S88" s="407"/>
      <c r="T88" s="407"/>
      <c r="U88" s="407"/>
      <c r="V88" s="407"/>
      <c r="W88" s="407"/>
      <c r="X88" s="407"/>
      <c r="Y88" s="407"/>
      <c r="Z88" s="407"/>
      <c r="AA88" s="407"/>
      <c r="AB88" s="407"/>
      <c r="AC88" s="407"/>
      <c r="AD88" s="407"/>
      <c r="AE88" s="407"/>
      <c r="AF88" s="407"/>
      <c r="AG88" s="407"/>
      <c r="AH88" s="407"/>
    </row>
    <row r="89" spans="1:34" ht="15.75" customHeight="1" x14ac:dyDescent="0.2"/>
    <row r="90" spans="1:34" ht="15.75" customHeight="1" x14ac:dyDescent="0.2"/>
    <row r="91" spans="1:34" ht="15.75" customHeight="1" x14ac:dyDescent="0.2"/>
    <row r="92" spans="1:34" ht="15.75" customHeight="1" x14ac:dyDescent="0.2"/>
    <row r="93" spans="1:34" ht="15.75" customHeight="1" x14ac:dyDescent="0.2"/>
    <row r="94" spans="1:34" ht="15.75" customHeight="1" x14ac:dyDescent="0.2"/>
    <row r="95" spans="1:34" ht="15.75" customHeight="1" x14ac:dyDescent="0.2"/>
    <row r="96" spans="1:34" ht="15.75" customHeight="1" x14ac:dyDescent="0.2"/>
    <row r="97" ht="15.75" customHeight="1" x14ac:dyDescent="0.2"/>
    <row r="98" ht="15.75" customHeight="1" x14ac:dyDescent="0.2"/>
    <row r="99" ht="15.75" customHeight="1" x14ac:dyDescent="0.2"/>
    <row r="100" ht="15.75" customHeight="1" x14ac:dyDescent="0.2"/>
    <row r="101" ht="15.75" customHeight="1" x14ac:dyDescent="0.2"/>
    <row r="102" ht="15.75" customHeight="1" x14ac:dyDescent="0.2"/>
    <row r="103" ht="15.75" customHeight="1" x14ac:dyDescent="0.2"/>
    <row r="104" ht="15.75" customHeight="1" x14ac:dyDescent="0.2"/>
    <row r="105" ht="12.75" customHeight="1" x14ac:dyDescent="0.2"/>
  </sheetData>
  <mergeCells count="59">
    <mergeCell ref="B46:C46"/>
    <mergeCell ref="B47:C47"/>
    <mergeCell ref="B48:C48"/>
    <mergeCell ref="K55:L55"/>
    <mergeCell ref="K54:L54"/>
    <mergeCell ref="K53:L53"/>
    <mergeCell ref="B58:C58"/>
    <mergeCell ref="B59:C59"/>
    <mergeCell ref="B60:C60"/>
    <mergeCell ref="B2:G2"/>
    <mergeCell ref="B5:C5"/>
    <mergeCell ref="B15:C15"/>
    <mergeCell ref="B44:C44"/>
    <mergeCell ref="B45:C45"/>
    <mergeCell ref="B34:C34"/>
    <mergeCell ref="B42:C42"/>
    <mergeCell ref="B16:C16"/>
    <mergeCell ref="B17:C17"/>
    <mergeCell ref="B18:C18"/>
    <mergeCell ref="B19:C19"/>
    <mergeCell ref="B20:C20"/>
    <mergeCell ref="B21:C21"/>
    <mergeCell ref="A1:H1"/>
    <mergeCell ref="B3:C4"/>
    <mergeCell ref="D3:D4"/>
    <mergeCell ref="G3:G4"/>
    <mergeCell ref="K52:L52"/>
    <mergeCell ref="B39:C39"/>
    <mergeCell ref="B6:C6"/>
    <mergeCell ref="B7:C7"/>
    <mergeCell ref="B8:C8"/>
    <mergeCell ref="B9:C9"/>
    <mergeCell ref="B10:C10"/>
    <mergeCell ref="B11:C11"/>
    <mergeCell ref="B12:C12"/>
    <mergeCell ref="B49:C49"/>
    <mergeCell ref="B13:C13"/>
    <mergeCell ref="B14:C14"/>
    <mergeCell ref="B30:C30"/>
    <mergeCell ref="B22:C22"/>
    <mergeCell ref="B23:C23"/>
    <mergeCell ref="B24:C24"/>
    <mergeCell ref="B33:C33"/>
    <mergeCell ref="J1:R1"/>
    <mergeCell ref="N54:P54"/>
    <mergeCell ref="B35:C35"/>
    <mergeCell ref="B36:C36"/>
    <mergeCell ref="B37:C37"/>
    <mergeCell ref="B38:C38"/>
    <mergeCell ref="B40:C40"/>
    <mergeCell ref="B41:C41"/>
    <mergeCell ref="B31:C31"/>
    <mergeCell ref="B32:C32"/>
    <mergeCell ref="B43:C43"/>
    <mergeCell ref="B25:C25"/>
    <mergeCell ref="B26:C26"/>
    <mergeCell ref="B27:C27"/>
    <mergeCell ref="B28:C28"/>
    <mergeCell ref="B29:C29"/>
  </mergeCells>
  <dataValidations disablePrompts="1" count="2">
    <dataValidation type="list" showInputMessage="1" showErrorMessage="1" sqref="D5:D49">
      <formula1>$J$53:$J$55</formula1>
    </dataValidation>
    <dataValidation type="list" showInputMessage="1" showErrorMessage="1" sqref="G5:G49">
      <formula1>$K$53:$K$55</formula1>
    </dataValidation>
  </dataValidations>
  <printOptions horizontalCentered="1"/>
  <pageMargins left="0.35" right="0.35" top="0.38200000000000001" bottom="0.38200000000000001" header="0.25" footer="0"/>
  <pageSetup firstPageNumber="35" orientation="portrait" useFirstPageNumber="1"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1"/>
  <dimension ref="A1:AF269"/>
  <sheetViews>
    <sheetView showGridLines="0" showZeros="0" zoomScale="75" zoomScaleNormal="75" workbookViewId="0">
      <selection activeCell="R1" sqref="R1:AC2"/>
    </sheetView>
  </sheetViews>
  <sheetFormatPr defaultColWidth="3.7109375" defaultRowHeight="12.75" x14ac:dyDescent="0.2"/>
  <cols>
    <col min="1" max="1" width="1.7109375" style="4" customWidth="1"/>
    <col min="2" max="3" width="11.42578125" style="4" customWidth="1"/>
    <col min="4" max="4" width="6.28515625" style="4" customWidth="1"/>
    <col min="5" max="14" width="5.28515625" style="4" customWidth="1"/>
    <col min="15" max="15" width="49.42578125" style="4" customWidth="1"/>
    <col min="16" max="16" width="1.7109375" style="4" customWidth="1"/>
    <col min="17" max="17" width="7" style="4" customWidth="1"/>
    <col min="18" max="18" width="7.7109375" style="4" bestFit="1" customWidth="1"/>
    <col min="19" max="19" width="3.7109375" style="4" customWidth="1"/>
    <col min="20" max="21" width="8.140625" style="4" bestFit="1" customWidth="1"/>
    <col min="22" max="22" width="6.42578125" style="4" bestFit="1" customWidth="1"/>
    <col min="23" max="24" width="10.140625" style="4" customWidth="1"/>
    <col min="25" max="25" width="13.85546875" style="4" customWidth="1"/>
    <col min="26" max="26" width="9.5703125" style="4" customWidth="1"/>
    <col min="27" max="27" width="9.140625" style="4" customWidth="1"/>
    <col min="28" max="28" width="8.85546875" style="4" customWidth="1"/>
    <col min="29" max="29" width="9.28515625" style="4" customWidth="1"/>
    <col min="30" max="30" width="36.85546875" style="4" customWidth="1"/>
    <col min="31" max="16384" width="3.7109375" style="4"/>
  </cols>
  <sheetData>
    <row r="1" spans="1:32" ht="18" x14ac:dyDescent="0.2">
      <c r="A1" s="1433" t="str">
        <f>UPPER("Guardrail Summary Table")</f>
        <v>GUARDRAIL SUMMARY TABLE</v>
      </c>
      <c r="B1" s="1496"/>
      <c r="C1" s="1496"/>
      <c r="D1" s="1496"/>
      <c r="E1" s="1496"/>
      <c r="F1" s="1496"/>
      <c r="G1" s="1496"/>
      <c r="H1" s="1496"/>
      <c r="I1" s="1496"/>
      <c r="J1" s="1496"/>
      <c r="K1" s="1496"/>
      <c r="L1" s="1496"/>
      <c r="M1" s="1496"/>
      <c r="N1" s="1496"/>
      <c r="O1" s="1496"/>
      <c r="P1" s="1496"/>
      <c r="Q1" s="101"/>
      <c r="R1" s="1294" t="s">
        <v>450</v>
      </c>
      <c r="S1" s="1295"/>
      <c r="T1" s="1295"/>
      <c r="U1" s="1295"/>
      <c r="V1" s="1295"/>
      <c r="W1" s="1295"/>
      <c r="X1" s="1295"/>
      <c r="Y1" s="1295"/>
      <c r="Z1" s="1295"/>
      <c r="AA1" s="1295"/>
      <c r="AB1" s="1295"/>
      <c r="AC1" s="1295"/>
      <c r="AD1" s="101"/>
      <c r="AE1" s="101"/>
      <c r="AF1" s="101"/>
    </row>
    <row r="2" spans="1:32" ht="13.5" thickBot="1" x14ac:dyDescent="0.25">
      <c r="A2" s="101"/>
      <c r="B2" s="1356"/>
      <c r="C2" s="1356"/>
      <c r="D2" s="1356"/>
      <c r="E2" s="1356"/>
      <c r="F2" s="1356"/>
      <c r="G2" s="1356"/>
      <c r="H2" s="1356"/>
      <c r="I2" s="1356"/>
      <c r="J2" s="1356"/>
      <c r="K2" s="1356"/>
      <c r="L2" s="1356"/>
      <c r="M2" s="1356"/>
      <c r="N2" s="1356"/>
      <c r="O2" s="1356"/>
      <c r="P2" s="156"/>
      <c r="Q2" s="101"/>
      <c r="R2" s="1295"/>
      <c r="S2" s="1295"/>
      <c r="T2" s="1295"/>
      <c r="U2" s="1295"/>
      <c r="V2" s="1295"/>
      <c r="W2" s="1295"/>
      <c r="X2" s="1295"/>
      <c r="Y2" s="1295"/>
      <c r="Z2" s="1295"/>
      <c r="AA2" s="1295"/>
      <c r="AB2" s="1295"/>
      <c r="AC2" s="1295"/>
      <c r="AD2" s="101"/>
      <c r="AE2" s="101"/>
      <c r="AF2" s="101"/>
    </row>
    <row r="3" spans="1:32" ht="120" customHeight="1" x14ac:dyDescent="0.2">
      <c r="A3" s="101"/>
      <c r="B3" s="1336" t="s">
        <v>202</v>
      </c>
      <c r="C3" s="1338" t="s">
        <v>429</v>
      </c>
      <c r="D3" s="1223" t="s">
        <v>61</v>
      </c>
      <c r="E3" s="523" t="s">
        <v>88</v>
      </c>
      <c r="F3" s="524" t="s">
        <v>89</v>
      </c>
      <c r="G3" s="524" t="s">
        <v>113</v>
      </c>
      <c r="H3" s="524" t="s">
        <v>90</v>
      </c>
      <c r="I3" s="524" t="s">
        <v>246</v>
      </c>
      <c r="J3" s="525" t="s">
        <v>157</v>
      </c>
      <c r="K3" s="525" t="s">
        <v>738</v>
      </c>
      <c r="L3" s="525" t="s">
        <v>91</v>
      </c>
      <c r="M3" s="524" t="s">
        <v>736</v>
      </c>
      <c r="N3" s="524" t="s">
        <v>737</v>
      </c>
      <c r="O3" s="1497" t="s">
        <v>87</v>
      </c>
      <c r="P3" s="36"/>
      <c r="Q3" s="101"/>
      <c r="R3" s="101"/>
      <c r="S3" s="101"/>
      <c r="T3" s="31"/>
      <c r="U3" s="31"/>
      <c r="V3" s="31"/>
      <c r="W3" s="215"/>
      <c r="X3" s="215"/>
      <c r="Y3" s="215"/>
      <c r="Z3" s="215"/>
      <c r="AA3" s="215"/>
      <c r="AB3" s="215"/>
      <c r="AC3" s="215"/>
      <c r="AD3" s="1499"/>
      <c r="AE3" s="101"/>
      <c r="AF3" s="101"/>
    </row>
    <row r="4" spans="1:32" ht="12.75" customHeight="1" thickBot="1" x14ac:dyDescent="0.25">
      <c r="A4" s="101"/>
      <c r="B4" s="1501"/>
      <c r="C4" s="1502"/>
      <c r="D4" s="1242"/>
      <c r="E4" s="526" t="s">
        <v>19</v>
      </c>
      <c r="F4" s="527" t="s">
        <v>20</v>
      </c>
      <c r="G4" s="527" t="s">
        <v>20</v>
      </c>
      <c r="H4" s="527" t="s">
        <v>20</v>
      </c>
      <c r="I4" s="527" t="s">
        <v>20</v>
      </c>
      <c r="J4" s="527" t="s">
        <v>20</v>
      </c>
      <c r="K4" s="527" t="s">
        <v>20</v>
      </c>
      <c r="L4" s="146" t="s">
        <v>19</v>
      </c>
      <c r="M4" s="527" t="s">
        <v>19</v>
      </c>
      <c r="N4" s="527" t="s">
        <v>19</v>
      </c>
      <c r="O4" s="1498"/>
      <c r="P4" s="33"/>
      <c r="Q4" s="33"/>
      <c r="R4" s="101"/>
      <c r="S4" s="101"/>
      <c r="T4" s="31"/>
      <c r="U4" s="31"/>
      <c r="V4" s="31"/>
      <c r="W4" s="31"/>
      <c r="X4" s="31"/>
      <c r="Y4" s="31"/>
      <c r="Z4" s="31"/>
      <c r="AA4" s="31"/>
      <c r="AB4" s="31"/>
      <c r="AC4" s="31"/>
      <c r="AD4" s="1500"/>
      <c r="AE4" s="101"/>
      <c r="AF4" s="101"/>
    </row>
    <row r="5" spans="1:32" s="5" customFormat="1" ht="12.75" customHeight="1" x14ac:dyDescent="0.2">
      <c r="A5" s="101"/>
      <c r="B5" s="187"/>
      <c r="C5" s="348"/>
      <c r="D5" s="528"/>
      <c r="E5" s="208"/>
      <c r="F5" s="209"/>
      <c r="G5" s="209"/>
      <c r="H5" s="209"/>
      <c r="I5" s="209"/>
      <c r="J5" s="209"/>
      <c r="K5" s="209">
        <f>IF(OR(M5=0,N5=0),ROUNDUP((((H5+I5)*8)+((M5+N5)/6.25))*0.5,0),ROUNDUP((((H5+I5)*8)+((M5+N5)/6.25+1))*0.5,0))</f>
        <v>0</v>
      </c>
      <c r="L5" s="209"/>
      <c r="M5" s="209"/>
      <c r="N5" s="210"/>
      <c r="O5" s="529"/>
      <c r="P5" s="530"/>
      <c r="Q5" s="101"/>
      <c r="R5" s="101"/>
      <c r="S5" s="101"/>
      <c r="T5" s="531"/>
      <c r="U5" s="531"/>
      <c r="V5" s="531"/>
      <c r="W5" s="31"/>
      <c r="X5" s="31"/>
      <c r="Y5" s="31"/>
      <c r="Z5" s="31"/>
      <c r="AA5" s="31"/>
      <c r="AB5" s="31"/>
      <c r="AC5" s="31"/>
      <c r="AD5" s="530"/>
      <c r="AE5" s="101"/>
      <c r="AF5" s="101"/>
    </row>
    <row r="6" spans="1:32" s="5" customFormat="1" ht="12.75" customHeight="1" x14ac:dyDescent="0.2">
      <c r="A6" s="101"/>
      <c r="B6" s="56"/>
      <c r="C6" s="350"/>
      <c r="D6" s="532"/>
      <c r="E6" s="533"/>
      <c r="F6" s="35"/>
      <c r="G6" s="35"/>
      <c r="H6" s="35"/>
      <c r="I6" s="35"/>
      <c r="J6" s="35"/>
      <c r="K6" s="35">
        <f t="shared" ref="K6:K33" si="0">IF(OR(M6=0,N6=0),ROUNDUP((((H6+I6)*8)+((M6+N6)/6.25))*0.5,0),ROUNDUP((((H6+I6)*8)+((M6+N6)/6.25+1))*0.5,0))</f>
        <v>0</v>
      </c>
      <c r="L6" s="35"/>
      <c r="M6" s="35"/>
      <c r="N6" s="151"/>
      <c r="O6" s="529"/>
      <c r="P6" s="530"/>
      <c r="Q6" s="101"/>
      <c r="R6" s="101"/>
      <c r="S6" s="101"/>
      <c r="T6" s="531"/>
      <c r="U6" s="531"/>
      <c r="V6" s="531"/>
      <c r="W6" s="31"/>
      <c r="X6" s="31"/>
      <c r="Y6" s="31"/>
      <c r="Z6" s="31"/>
      <c r="AA6" s="31"/>
      <c r="AB6" s="31"/>
      <c r="AC6" s="31"/>
      <c r="AD6" s="530"/>
      <c r="AE6" s="101"/>
      <c r="AF6" s="101"/>
    </row>
    <row r="7" spans="1:32" s="5" customFormat="1" ht="12.75" customHeight="1" x14ac:dyDescent="0.2">
      <c r="A7" s="101"/>
      <c r="B7" s="56"/>
      <c r="C7" s="350"/>
      <c r="D7" s="532"/>
      <c r="E7" s="34"/>
      <c r="F7" s="35"/>
      <c r="G7" s="35"/>
      <c r="H7" s="35"/>
      <c r="I7" s="35"/>
      <c r="J7" s="35"/>
      <c r="K7" s="35">
        <f t="shared" si="0"/>
        <v>0</v>
      </c>
      <c r="L7" s="35"/>
      <c r="M7" s="35"/>
      <c r="N7" s="151"/>
      <c r="O7" s="529"/>
      <c r="P7" s="530"/>
      <c r="Q7" s="101"/>
      <c r="R7" s="101"/>
      <c r="S7" s="101"/>
      <c r="T7" s="531"/>
      <c r="U7" s="531"/>
      <c r="V7" s="531"/>
      <c r="W7" s="31"/>
      <c r="X7" s="31"/>
      <c r="Y7" s="31"/>
      <c r="Z7" s="31"/>
      <c r="AA7" s="31"/>
      <c r="AB7" s="31"/>
      <c r="AC7" s="31"/>
      <c r="AD7" s="530"/>
      <c r="AE7" s="101"/>
      <c r="AF7" s="101"/>
    </row>
    <row r="8" spans="1:32" s="5" customFormat="1" ht="12.75" customHeight="1" x14ac:dyDescent="0.2">
      <c r="A8" s="101"/>
      <c r="B8" s="56"/>
      <c r="C8" s="350"/>
      <c r="D8" s="532"/>
      <c r="E8" s="34"/>
      <c r="F8" s="35"/>
      <c r="G8" s="35"/>
      <c r="H8" s="35"/>
      <c r="I8" s="35"/>
      <c r="J8" s="35"/>
      <c r="K8" s="35">
        <f t="shared" si="0"/>
        <v>0</v>
      </c>
      <c r="L8" s="35"/>
      <c r="M8" s="35"/>
      <c r="N8" s="151"/>
      <c r="O8" s="529"/>
      <c r="P8" s="530"/>
      <c r="Q8" s="101"/>
      <c r="R8" s="101"/>
      <c r="S8" s="101"/>
      <c r="T8" s="531"/>
      <c r="U8" s="531"/>
      <c r="V8" s="531"/>
      <c r="W8" s="31"/>
      <c r="X8" s="31"/>
      <c r="Y8" s="31"/>
      <c r="Z8" s="31"/>
      <c r="AA8" s="31"/>
      <c r="AB8" s="31"/>
      <c r="AC8" s="31"/>
      <c r="AD8" s="530"/>
      <c r="AE8" s="101"/>
      <c r="AF8" s="101"/>
    </row>
    <row r="9" spans="1:32" s="5" customFormat="1" ht="12.75" customHeight="1" x14ac:dyDescent="0.2">
      <c r="A9" s="101"/>
      <c r="B9" s="56"/>
      <c r="C9" s="350"/>
      <c r="D9" s="532"/>
      <c r="E9" s="533"/>
      <c r="F9" s="35"/>
      <c r="G9" s="35"/>
      <c r="H9" s="35"/>
      <c r="I9" s="35"/>
      <c r="J9" s="63"/>
      <c r="K9" s="35">
        <f t="shared" si="0"/>
        <v>0</v>
      </c>
      <c r="L9" s="63"/>
      <c r="M9" s="35"/>
      <c r="N9" s="151"/>
      <c r="O9" s="529"/>
      <c r="P9" s="530"/>
      <c r="Q9" s="101"/>
      <c r="R9" s="101"/>
      <c r="S9" s="101"/>
      <c r="T9" s="531"/>
      <c r="U9" s="531"/>
      <c r="V9" s="531"/>
      <c r="W9" s="31"/>
      <c r="X9" s="31"/>
      <c r="Y9" s="31"/>
      <c r="Z9" s="31"/>
      <c r="AA9" s="161"/>
      <c r="AB9" s="161"/>
      <c r="AC9" s="31"/>
      <c r="AD9" s="530"/>
      <c r="AE9" s="101"/>
      <c r="AF9" s="101"/>
    </row>
    <row r="10" spans="1:32" s="5" customFormat="1" ht="12.75" customHeight="1" x14ac:dyDescent="0.2">
      <c r="A10" s="101"/>
      <c r="B10" s="56"/>
      <c r="C10" s="350"/>
      <c r="D10" s="532"/>
      <c r="E10" s="34"/>
      <c r="F10" s="35"/>
      <c r="G10" s="35"/>
      <c r="H10" s="35"/>
      <c r="I10" s="35"/>
      <c r="J10" s="35"/>
      <c r="K10" s="35">
        <f t="shared" si="0"/>
        <v>0</v>
      </c>
      <c r="L10" s="35"/>
      <c r="M10" s="35"/>
      <c r="N10" s="151"/>
      <c r="O10" s="529"/>
      <c r="P10" s="530"/>
      <c r="Q10" s="101"/>
      <c r="R10" s="101"/>
      <c r="S10" s="101"/>
      <c r="T10" s="531"/>
      <c r="U10" s="531"/>
      <c r="V10" s="531"/>
      <c r="W10" s="31"/>
      <c r="X10" s="31"/>
      <c r="Y10" s="31"/>
      <c r="Z10" s="31"/>
      <c r="AA10" s="31"/>
      <c r="AB10" s="31"/>
      <c r="AC10" s="31"/>
      <c r="AD10" s="530"/>
      <c r="AE10" s="101"/>
      <c r="AF10" s="101"/>
    </row>
    <row r="11" spans="1:32" s="5" customFormat="1" ht="12.75" customHeight="1" x14ac:dyDescent="0.2">
      <c r="A11" s="101"/>
      <c r="B11" s="56"/>
      <c r="C11" s="350"/>
      <c r="D11" s="532"/>
      <c r="E11" s="34"/>
      <c r="F11" s="35"/>
      <c r="G11" s="35"/>
      <c r="H11" s="35"/>
      <c r="I11" s="35"/>
      <c r="J11" s="63"/>
      <c r="K11" s="35">
        <f t="shared" si="0"/>
        <v>0</v>
      </c>
      <c r="L11" s="63"/>
      <c r="M11" s="35"/>
      <c r="N11" s="151"/>
      <c r="O11" s="529"/>
      <c r="P11" s="530"/>
      <c r="Q11" s="101"/>
      <c r="R11" s="101"/>
      <c r="S11" s="101"/>
      <c r="T11" s="531"/>
      <c r="U11" s="531"/>
      <c r="V11" s="531"/>
      <c r="W11" s="31"/>
      <c r="X11" s="31"/>
      <c r="Y11" s="31"/>
      <c r="Z11" s="31"/>
      <c r="AA11" s="161"/>
      <c r="AB11" s="161"/>
      <c r="AC11" s="31"/>
      <c r="AD11" s="530"/>
      <c r="AE11" s="101"/>
      <c r="AF11" s="101"/>
    </row>
    <row r="12" spans="1:32" s="5" customFormat="1" ht="12.75" customHeight="1" x14ac:dyDescent="0.2">
      <c r="A12" s="101"/>
      <c r="B12" s="56"/>
      <c r="C12" s="350"/>
      <c r="D12" s="532"/>
      <c r="E12" s="34"/>
      <c r="F12" s="35"/>
      <c r="G12" s="35"/>
      <c r="H12" s="35"/>
      <c r="I12" s="35"/>
      <c r="J12" s="35"/>
      <c r="K12" s="35">
        <f t="shared" si="0"/>
        <v>0</v>
      </c>
      <c r="L12" s="35"/>
      <c r="M12" s="35"/>
      <c r="N12" s="151"/>
      <c r="O12" s="529"/>
      <c r="P12" s="530"/>
      <c r="Q12" s="101"/>
      <c r="R12" s="101"/>
      <c r="S12" s="101"/>
      <c r="T12" s="531"/>
      <c r="U12" s="531"/>
      <c r="V12" s="531"/>
      <c r="W12" s="31"/>
      <c r="X12" s="31"/>
      <c r="Y12" s="31"/>
      <c r="Z12" s="31"/>
      <c r="AA12" s="31"/>
      <c r="AB12" s="31"/>
      <c r="AC12" s="31"/>
      <c r="AD12" s="530"/>
      <c r="AE12" s="101"/>
      <c r="AF12" s="101"/>
    </row>
    <row r="13" spans="1:32" s="5" customFormat="1" ht="12.75" customHeight="1" x14ac:dyDescent="0.2">
      <c r="A13" s="101"/>
      <c r="B13" s="56"/>
      <c r="C13" s="350"/>
      <c r="D13" s="532"/>
      <c r="E13" s="34"/>
      <c r="F13" s="35"/>
      <c r="G13" s="35"/>
      <c r="H13" s="35"/>
      <c r="I13" s="35"/>
      <c r="J13" s="35"/>
      <c r="K13" s="35">
        <f t="shared" si="0"/>
        <v>0</v>
      </c>
      <c r="L13" s="63"/>
      <c r="M13" s="35"/>
      <c r="N13" s="151"/>
      <c r="O13" s="529"/>
      <c r="P13" s="530"/>
      <c r="Q13" s="101"/>
      <c r="R13" s="101"/>
      <c r="S13" s="101"/>
      <c r="T13" s="531"/>
      <c r="U13" s="531"/>
      <c r="V13" s="531"/>
      <c r="W13" s="31"/>
      <c r="X13" s="31"/>
      <c r="Y13" s="31"/>
      <c r="Z13" s="31"/>
      <c r="AA13" s="31"/>
      <c r="AB13" s="161"/>
      <c r="AC13" s="31"/>
      <c r="AD13" s="530"/>
      <c r="AE13" s="101"/>
      <c r="AF13" s="101"/>
    </row>
    <row r="14" spans="1:32" s="5" customFormat="1" ht="12.75" customHeight="1" x14ac:dyDescent="0.2">
      <c r="A14" s="101"/>
      <c r="B14" s="56"/>
      <c r="C14" s="350"/>
      <c r="D14" s="532"/>
      <c r="E14" s="34"/>
      <c r="F14" s="35"/>
      <c r="G14" s="35"/>
      <c r="H14" s="35"/>
      <c r="I14" s="35"/>
      <c r="J14" s="35"/>
      <c r="K14" s="35">
        <f t="shared" si="0"/>
        <v>0</v>
      </c>
      <c r="L14" s="35"/>
      <c r="M14" s="35"/>
      <c r="N14" s="151"/>
      <c r="O14" s="529"/>
      <c r="P14" s="530"/>
      <c r="Q14" s="101"/>
      <c r="R14" s="101"/>
      <c r="S14" s="101"/>
      <c r="T14" s="531"/>
      <c r="U14" s="531"/>
      <c r="V14" s="531"/>
      <c r="W14" s="31"/>
      <c r="X14" s="31"/>
      <c r="Y14" s="31"/>
      <c r="Z14" s="31"/>
      <c r="AA14" s="31"/>
      <c r="AB14" s="31"/>
      <c r="AC14" s="31"/>
      <c r="AD14" s="530"/>
      <c r="AE14" s="101"/>
      <c r="AF14" s="101"/>
    </row>
    <row r="15" spans="1:32" s="5" customFormat="1" ht="12.75" customHeight="1" x14ac:dyDescent="0.2">
      <c r="A15" s="101"/>
      <c r="B15" s="56"/>
      <c r="C15" s="350"/>
      <c r="D15" s="532"/>
      <c r="E15" s="34"/>
      <c r="F15" s="35"/>
      <c r="G15" s="35"/>
      <c r="H15" s="35"/>
      <c r="I15" s="35"/>
      <c r="J15" s="35"/>
      <c r="K15" s="35">
        <f t="shared" si="0"/>
        <v>0</v>
      </c>
      <c r="L15" s="63"/>
      <c r="M15" s="35"/>
      <c r="N15" s="151"/>
      <c r="O15" s="529"/>
      <c r="P15" s="530"/>
      <c r="Q15" s="101"/>
      <c r="R15" s="101"/>
      <c r="S15" s="101"/>
      <c r="T15" s="531"/>
      <c r="U15" s="531"/>
      <c r="V15" s="531"/>
      <c r="W15" s="31"/>
      <c r="X15" s="31"/>
      <c r="Y15" s="31"/>
      <c r="Z15" s="31"/>
      <c r="AA15" s="31"/>
      <c r="AB15" s="161"/>
      <c r="AC15" s="31"/>
      <c r="AD15" s="530"/>
      <c r="AE15" s="101"/>
      <c r="AF15" s="101"/>
    </row>
    <row r="16" spans="1:32" s="5" customFormat="1" ht="12.75" customHeight="1" x14ac:dyDescent="0.2">
      <c r="A16" s="101"/>
      <c r="B16" s="56"/>
      <c r="C16" s="350"/>
      <c r="D16" s="532"/>
      <c r="E16" s="34"/>
      <c r="F16" s="35"/>
      <c r="G16" s="35"/>
      <c r="H16" s="35"/>
      <c r="I16" s="35"/>
      <c r="J16" s="35"/>
      <c r="K16" s="35">
        <f t="shared" si="0"/>
        <v>0</v>
      </c>
      <c r="L16" s="63"/>
      <c r="M16" s="35"/>
      <c r="N16" s="151"/>
      <c r="O16" s="529"/>
      <c r="P16" s="530"/>
      <c r="Q16" s="101"/>
      <c r="R16" s="101"/>
      <c r="S16" s="101"/>
      <c r="T16" s="531"/>
      <c r="U16" s="531"/>
      <c r="V16" s="531"/>
      <c r="W16" s="31"/>
      <c r="X16" s="31"/>
      <c r="Y16" s="31"/>
      <c r="Z16" s="31"/>
      <c r="AA16" s="31"/>
      <c r="AB16" s="161"/>
      <c r="AC16" s="31"/>
      <c r="AD16" s="530"/>
      <c r="AE16" s="101"/>
      <c r="AF16" s="101"/>
    </row>
    <row r="17" spans="1:32" s="5" customFormat="1" ht="12.75" customHeight="1" x14ac:dyDescent="0.2">
      <c r="A17" s="101"/>
      <c r="B17" s="56"/>
      <c r="C17" s="350"/>
      <c r="D17" s="532"/>
      <c r="E17" s="34"/>
      <c r="F17" s="35"/>
      <c r="G17" s="35"/>
      <c r="H17" s="35"/>
      <c r="I17" s="35"/>
      <c r="J17" s="35"/>
      <c r="K17" s="35">
        <f t="shared" si="0"/>
        <v>0</v>
      </c>
      <c r="L17" s="63"/>
      <c r="M17" s="35"/>
      <c r="N17" s="151"/>
      <c r="O17" s="529"/>
      <c r="P17" s="530"/>
      <c r="Q17" s="101"/>
      <c r="R17" s="101"/>
      <c r="S17" s="101"/>
      <c r="T17" s="531"/>
      <c r="U17" s="531"/>
      <c r="V17" s="531"/>
      <c r="W17" s="31"/>
      <c r="X17" s="31"/>
      <c r="Y17" s="31"/>
      <c r="Z17" s="31"/>
      <c r="AA17" s="31"/>
      <c r="AB17" s="161"/>
      <c r="AC17" s="31"/>
      <c r="AD17" s="530"/>
      <c r="AE17" s="101"/>
      <c r="AF17" s="101"/>
    </row>
    <row r="18" spans="1:32" s="5" customFormat="1" ht="12.75" customHeight="1" x14ac:dyDescent="0.2">
      <c r="A18" s="101"/>
      <c r="B18" s="56"/>
      <c r="C18" s="350"/>
      <c r="D18" s="532"/>
      <c r="E18" s="34"/>
      <c r="F18" s="35"/>
      <c r="G18" s="35"/>
      <c r="H18" s="35"/>
      <c r="I18" s="35"/>
      <c r="J18" s="35"/>
      <c r="K18" s="35">
        <f t="shared" si="0"/>
        <v>0</v>
      </c>
      <c r="L18" s="35"/>
      <c r="M18" s="35"/>
      <c r="N18" s="151"/>
      <c r="O18" s="534"/>
      <c r="P18" s="530"/>
      <c r="Q18" s="101"/>
      <c r="R18" s="101"/>
      <c r="S18" s="101"/>
      <c r="T18" s="531"/>
      <c r="U18" s="531"/>
      <c r="V18" s="531"/>
      <c r="W18" s="31"/>
      <c r="X18" s="31"/>
      <c r="Y18" s="31"/>
      <c r="Z18" s="31"/>
      <c r="AA18" s="31"/>
      <c r="AB18" s="31"/>
      <c r="AC18" s="31"/>
      <c r="AD18" s="530"/>
      <c r="AE18" s="101"/>
      <c r="AF18" s="101"/>
    </row>
    <row r="19" spans="1:32" s="5" customFormat="1" ht="12.75" customHeight="1" x14ac:dyDescent="0.2">
      <c r="A19" s="101"/>
      <c r="B19" s="56"/>
      <c r="C19" s="350"/>
      <c r="D19" s="532"/>
      <c r="E19" s="34"/>
      <c r="F19" s="35"/>
      <c r="G19" s="35"/>
      <c r="H19" s="35"/>
      <c r="I19" s="35"/>
      <c r="J19" s="35"/>
      <c r="K19" s="35">
        <f t="shared" si="0"/>
        <v>0</v>
      </c>
      <c r="L19" s="35"/>
      <c r="M19" s="35"/>
      <c r="N19" s="151"/>
      <c r="O19" s="534"/>
      <c r="P19" s="530"/>
      <c r="Q19" s="101"/>
      <c r="R19" s="101"/>
      <c r="S19" s="101"/>
      <c r="T19" s="531"/>
      <c r="U19" s="531"/>
      <c r="V19" s="531"/>
      <c r="W19" s="31"/>
      <c r="X19" s="31"/>
      <c r="Y19" s="31"/>
      <c r="Z19" s="31"/>
      <c r="AA19" s="31"/>
      <c r="AB19" s="31"/>
      <c r="AC19" s="31"/>
      <c r="AD19" s="530"/>
      <c r="AE19" s="101"/>
      <c r="AF19" s="101"/>
    </row>
    <row r="20" spans="1:32" s="5" customFormat="1" ht="12.75" customHeight="1" x14ac:dyDescent="0.2">
      <c r="A20" s="101"/>
      <c r="B20" s="56"/>
      <c r="C20" s="350"/>
      <c r="D20" s="532"/>
      <c r="E20" s="34"/>
      <c r="F20" s="35"/>
      <c r="G20" s="35"/>
      <c r="H20" s="35"/>
      <c r="I20" s="35"/>
      <c r="J20" s="35"/>
      <c r="K20" s="35">
        <f t="shared" si="0"/>
        <v>0</v>
      </c>
      <c r="L20" s="35"/>
      <c r="M20" s="35"/>
      <c r="N20" s="151"/>
      <c r="O20" s="534"/>
      <c r="P20" s="530"/>
      <c r="Q20" s="101"/>
      <c r="R20" s="101"/>
      <c r="S20" s="101"/>
      <c r="T20" s="531"/>
      <c r="U20" s="531"/>
      <c r="V20" s="531"/>
      <c r="W20" s="31"/>
      <c r="X20" s="31"/>
      <c r="Y20" s="31"/>
      <c r="Z20" s="31"/>
      <c r="AA20" s="31"/>
      <c r="AB20" s="31"/>
      <c r="AC20" s="31"/>
      <c r="AD20" s="530"/>
      <c r="AE20" s="101"/>
      <c r="AF20" s="101"/>
    </row>
    <row r="21" spans="1:32" s="6" customFormat="1" ht="12.75" customHeight="1" x14ac:dyDescent="0.2">
      <c r="A21" s="33"/>
      <c r="B21" s="56"/>
      <c r="C21" s="350"/>
      <c r="D21" s="535"/>
      <c r="E21" s="34"/>
      <c r="F21" s="35"/>
      <c r="G21" s="35"/>
      <c r="H21" s="35"/>
      <c r="I21" s="35"/>
      <c r="J21" s="35"/>
      <c r="K21" s="35">
        <f t="shared" si="0"/>
        <v>0</v>
      </c>
      <c r="L21" s="35"/>
      <c r="M21" s="35"/>
      <c r="N21" s="151"/>
      <c r="O21" s="534"/>
      <c r="P21" s="536"/>
      <c r="Q21" s="33"/>
      <c r="R21" s="33"/>
      <c r="S21" s="33"/>
      <c r="T21" s="531"/>
      <c r="U21" s="531"/>
      <c r="V21" s="531"/>
      <c r="W21" s="31"/>
      <c r="X21" s="31"/>
      <c r="Y21" s="31"/>
      <c r="Z21" s="31"/>
      <c r="AA21" s="31"/>
      <c r="AB21" s="31"/>
      <c r="AC21" s="31"/>
      <c r="AD21" s="530"/>
      <c r="AE21" s="33"/>
      <c r="AF21" s="33"/>
    </row>
    <row r="22" spans="1:32" s="6" customFormat="1" ht="12.75" customHeight="1" x14ac:dyDescent="0.2">
      <c r="A22" s="33"/>
      <c r="B22" s="56"/>
      <c r="C22" s="350"/>
      <c r="D22" s="535"/>
      <c r="E22" s="34"/>
      <c r="F22" s="35"/>
      <c r="G22" s="35"/>
      <c r="H22" s="35"/>
      <c r="I22" s="35"/>
      <c r="J22" s="35"/>
      <c r="K22" s="35">
        <f t="shared" si="0"/>
        <v>0</v>
      </c>
      <c r="L22" s="35"/>
      <c r="M22" s="35"/>
      <c r="N22" s="151"/>
      <c r="O22" s="534"/>
      <c r="P22" s="536"/>
      <c r="Q22" s="33"/>
      <c r="R22" s="33"/>
      <c r="S22" s="33"/>
      <c r="T22" s="531"/>
      <c r="U22" s="531"/>
      <c r="V22" s="531"/>
      <c r="W22" s="31"/>
      <c r="X22" s="31"/>
      <c r="Y22" s="31"/>
      <c r="Z22" s="31"/>
      <c r="AA22" s="31"/>
      <c r="AB22" s="31"/>
      <c r="AC22" s="31"/>
      <c r="AD22" s="530"/>
      <c r="AE22" s="33"/>
      <c r="AF22" s="33"/>
    </row>
    <row r="23" spans="1:32" s="5" customFormat="1" ht="12.75" customHeight="1" x14ac:dyDescent="0.2">
      <c r="A23" s="101"/>
      <c r="B23" s="56"/>
      <c r="C23" s="350"/>
      <c r="D23" s="535"/>
      <c r="E23" s="34"/>
      <c r="F23" s="35"/>
      <c r="G23" s="35"/>
      <c r="H23" s="35"/>
      <c r="I23" s="35"/>
      <c r="J23" s="35"/>
      <c r="K23" s="35">
        <f t="shared" si="0"/>
        <v>0</v>
      </c>
      <c r="L23" s="35"/>
      <c r="M23" s="35"/>
      <c r="N23" s="151"/>
      <c r="O23" s="534"/>
      <c r="P23" s="536"/>
      <c r="Q23" s="33"/>
      <c r="R23" s="101"/>
      <c r="S23" s="101"/>
      <c r="T23" s="531"/>
      <c r="U23" s="531"/>
      <c r="V23" s="531"/>
      <c r="W23" s="31"/>
      <c r="X23" s="31"/>
      <c r="Y23" s="31"/>
      <c r="Z23" s="31"/>
      <c r="AA23" s="31"/>
      <c r="AB23" s="31"/>
      <c r="AC23" s="31"/>
      <c r="AD23" s="530"/>
      <c r="AE23" s="101"/>
      <c r="AF23" s="101"/>
    </row>
    <row r="24" spans="1:32" s="6" customFormat="1" ht="12.75" customHeight="1" x14ac:dyDescent="0.2">
      <c r="A24" s="33"/>
      <c r="B24" s="56"/>
      <c r="C24" s="350"/>
      <c r="D24" s="535"/>
      <c r="E24" s="34"/>
      <c r="F24" s="35"/>
      <c r="G24" s="35"/>
      <c r="H24" s="35"/>
      <c r="I24" s="35"/>
      <c r="J24" s="35"/>
      <c r="K24" s="35">
        <f t="shared" si="0"/>
        <v>0</v>
      </c>
      <c r="L24" s="35"/>
      <c r="M24" s="35"/>
      <c r="N24" s="151"/>
      <c r="O24" s="534"/>
      <c r="P24" s="536"/>
      <c r="Q24" s="33"/>
      <c r="R24" s="33"/>
      <c r="S24" s="33"/>
      <c r="T24" s="531"/>
      <c r="U24" s="531"/>
      <c r="V24" s="531"/>
      <c r="W24" s="31"/>
      <c r="X24" s="31"/>
      <c r="Y24" s="31"/>
      <c r="Z24" s="31"/>
      <c r="AA24" s="31"/>
      <c r="AB24" s="31"/>
      <c r="AC24" s="31"/>
      <c r="AD24" s="530"/>
      <c r="AE24" s="33"/>
      <c r="AF24" s="33"/>
    </row>
    <row r="25" spans="1:32" s="6" customFormat="1" ht="12.75" customHeight="1" x14ac:dyDescent="0.2">
      <c r="A25" s="33"/>
      <c r="B25" s="56"/>
      <c r="C25" s="350"/>
      <c r="D25" s="535"/>
      <c r="E25" s="34"/>
      <c r="F25" s="35"/>
      <c r="G25" s="35"/>
      <c r="H25" s="35"/>
      <c r="I25" s="35"/>
      <c r="J25" s="35"/>
      <c r="K25" s="35">
        <f t="shared" si="0"/>
        <v>0</v>
      </c>
      <c r="L25" s="35"/>
      <c r="M25" s="35"/>
      <c r="N25" s="151"/>
      <c r="O25" s="534"/>
      <c r="P25" s="536"/>
      <c r="Q25" s="33"/>
      <c r="R25" s="33"/>
      <c r="S25" s="33"/>
      <c r="T25" s="531"/>
      <c r="U25" s="531"/>
      <c r="V25" s="531"/>
      <c r="W25" s="31"/>
      <c r="X25" s="31"/>
      <c r="Y25" s="31"/>
      <c r="Z25" s="31"/>
      <c r="AA25" s="31"/>
      <c r="AB25" s="31"/>
      <c r="AC25" s="31"/>
      <c r="AD25" s="530"/>
      <c r="AE25" s="33"/>
      <c r="AF25" s="33"/>
    </row>
    <row r="26" spans="1:32" s="6" customFormat="1" ht="12.75" customHeight="1" x14ac:dyDescent="0.2">
      <c r="A26" s="33"/>
      <c r="B26" s="56"/>
      <c r="C26" s="350"/>
      <c r="D26" s="535"/>
      <c r="E26" s="34"/>
      <c r="F26" s="35"/>
      <c r="G26" s="35"/>
      <c r="H26" s="35"/>
      <c r="I26" s="35"/>
      <c r="J26" s="35"/>
      <c r="K26" s="35">
        <f t="shared" si="0"/>
        <v>0</v>
      </c>
      <c r="L26" s="35"/>
      <c r="M26" s="35"/>
      <c r="N26" s="151"/>
      <c r="O26" s="534"/>
      <c r="P26" s="536"/>
      <c r="Q26" s="33"/>
      <c r="R26" s="33"/>
      <c r="S26" s="33"/>
      <c r="T26" s="531"/>
      <c r="U26" s="531"/>
      <c r="V26" s="531"/>
      <c r="W26" s="31"/>
      <c r="X26" s="31"/>
      <c r="Y26" s="31"/>
      <c r="Z26" s="31"/>
      <c r="AA26" s="31"/>
      <c r="AB26" s="31"/>
      <c r="AC26" s="31"/>
      <c r="AD26" s="530"/>
      <c r="AE26" s="33"/>
      <c r="AF26" s="33"/>
    </row>
    <row r="27" spans="1:32" s="6" customFormat="1" ht="12.75" customHeight="1" x14ac:dyDescent="0.2">
      <c r="A27" s="33"/>
      <c r="B27" s="56"/>
      <c r="C27" s="350"/>
      <c r="D27" s="535"/>
      <c r="E27" s="34"/>
      <c r="F27" s="35"/>
      <c r="G27" s="35"/>
      <c r="H27" s="35"/>
      <c r="I27" s="35"/>
      <c r="J27" s="35"/>
      <c r="K27" s="35">
        <f t="shared" si="0"/>
        <v>0</v>
      </c>
      <c r="L27" s="35"/>
      <c r="M27" s="35"/>
      <c r="N27" s="151"/>
      <c r="O27" s="534"/>
      <c r="P27" s="536"/>
      <c r="Q27" s="33"/>
      <c r="R27" s="33"/>
      <c r="S27" s="33"/>
      <c r="T27" s="531"/>
      <c r="U27" s="531"/>
      <c r="V27" s="531"/>
      <c r="W27" s="31"/>
      <c r="X27" s="31"/>
      <c r="Y27" s="31"/>
      <c r="Z27" s="31"/>
      <c r="AA27" s="31"/>
      <c r="AB27" s="31"/>
      <c r="AC27" s="31"/>
      <c r="AD27" s="530"/>
      <c r="AE27" s="33"/>
      <c r="AF27" s="33"/>
    </row>
    <row r="28" spans="1:32" s="6" customFormat="1" ht="12.75" customHeight="1" x14ac:dyDescent="0.2">
      <c r="A28" s="33"/>
      <c r="B28" s="56"/>
      <c r="C28" s="350"/>
      <c r="D28" s="535"/>
      <c r="E28" s="34"/>
      <c r="F28" s="35"/>
      <c r="G28" s="35"/>
      <c r="H28" s="35"/>
      <c r="I28" s="35"/>
      <c r="J28" s="35"/>
      <c r="K28" s="35">
        <f t="shared" si="0"/>
        <v>0</v>
      </c>
      <c r="L28" s="63"/>
      <c r="M28" s="35"/>
      <c r="N28" s="151"/>
      <c r="O28" s="534"/>
      <c r="P28" s="536"/>
      <c r="Q28" s="33"/>
      <c r="R28" s="33"/>
      <c r="S28" s="33"/>
      <c r="T28" s="531"/>
      <c r="U28" s="531"/>
      <c r="V28" s="531"/>
      <c r="W28" s="31"/>
      <c r="X28" s="31"/>
      <c r="Y28" s="31"/>
      <c r="Z28" s="31"/>
      <c r="AA28" s="31"/>
      <c r="AB28" s="161"/>
      <c r="AC28" s="31"/>
      <c r="AD28" s="530"/>
      <c r="AE28" s="33"/>
      <c r="AF28" s="33"/>
    </row>
    <row r="29" spans="1:32" s="6" customFormat="1" ht="12.75" customHeight="1" x14ac:dyDescent="0.2">
      <c r="A29" s="33"/>
      <c r="B29" s="56"/>
      <c r="C29" s="350"/>
      <c r="D29" s="535"/>
      <c r="E29" s="34"/>
      <c r="F29" s="35"/>
      <c r="G29" s="35"/>
      <c r="H29" s="35"/>
      <c r="I29" s="35"/>
      <c r="J29" s="35"/>
      <c r="K29" s="35">
        <f t="shared" si="0"/>
        <v>0</v>
      </c>
      <c r="L29" s="35"/>
      <c r="M29" s="35"/>
      <c r="N29" s="151"/>
      <c r="O29" s="534"/>
      <c r="P29" s="536"/>
      <c r="Q29" s="33"/>
      <c r="R29" s="33"/>
      <c r="S29" s="33"/>
      <c r="T29" s="531"/>
      <c r="U29" s="531"/>
      <c r="V29" s="531"/>
      <c r="W29" s="31"/>
      <c r="X29" s="31"/>
      <c r="Y29" s="31"/>
      <c r="Z29" s="31"/>
      <c r="AA29" s="31"/>
      <c r="AB29" s="31"/>
      <c r="AC29" s="31"/>
      <c r="AD29" s="530"/>
      <c r="AE29" s="33"/>
      <c r="AF29" s="33"/>
    </row>
    <row r="30" spans="1:32" s="6" customFormat="1" ht="12.75" customHeight="1" x14ac:dyDescent="0.2">
      <c r="A30" s="33"/>
      <c r="B30" s="56"/>
      <c r="C30" s="350"/>
      <c r="D30" s="535"/>
      <c r="E30" s="34"/>
      <c r="F30" s="35"/>
      <c r="G30" s="35"/>
      <c r="H30" s="35"/>
      <c r="I30" s="35"/>
      <c r="J30" s="35"/>
      <c r="K30" s="35">
        <f t="shared" si="0"/>
        <v>0</v>
      </c>
      <c r="L30" s="35"/>
      <c r="M30" s="35"/>
      <c r="N30" s="151"/>
      <c r="O30" s="534"/>
      <c r="P30" s="536"/>
      <c r="Q30" s="33"/>
      <c r="R30" s="33"/>
      <c r="S30" s="33"/>
      <c r="T30" s="531"/>
      <c r="U30" s="531"/>
      <c r="V30" s="531"/>
      <c r="W30" s="31"/>
      <c r="X30" s="31"/>
      <c r="Y30" s="31"/>
      <c r="Z30" s="31"/>
      <c r="AA30" s="31"/>
      <c r="AB30" s="31"/>
      <c r="AC30" s="31"/>
      <c r="AD30" s="530"/>
      <c r="AE30" s="33"/>
      <c r="AF30" s="33"/>
    </row>
    <row r="31" spans="1:32" s="6" customFormat="1" ht="12.75" customHeight="1" x14ac:dyDescent="0.2">
      <c r="A31" s="33"/>
      <c r="B31" s="56"/>
      <c r="C31" s="350"/>
      <c r="D31" s="535"/>
      <c r="E31" s="34"/>
      <c r="F31" s="35"/>
      <c r="G31" s="35"/>
      <c r="H31" s="35"/>
      <c r="I31" s="35"/>
      <c r="J31" s="35"/>
      <c r="K31" s="35">
        <f t="shared" si="0"/>
        <v>0</v>
      </c>
      <c r="L31" s="35"/>
      <c r="M31" s="35"/>
      <c r="N31" s="151"/>
      <c r="O31" s="534"/>
      <c r="P31" s="536"/>
      <c r="Q31" s="33"/>
      <c r="R31" s="33"/>
      <c r="S31" s="33"/>
      <c r="T31" s="531"/>
      <c r="U31" s="531"/>
      <c r="V31" s="531"/>
      <c r="W31" s="31"/>
      <c r="X31" s="31"/>
      <c r="Y31" s="31"/>
      <c r="Z31" s="31"/>
      <c r="AA31" s="31"/>
      <c r="AB31" s="31"/>
      <c r="AC31" s="31"/>
      <c r="AD31" s="530"/>
      <c r="AE31" s="33"/>
      <c r="AF31" s="33"/>
    </row>
    <row r="32" spans="1:32" s="6" customFormat="1" ht="12.75" customHeight="1" x14ac:dyDescent="0.2">
      <c r="A32" s="33"/>
      <c r="B32" s="56"/>
      <c r="C32" s="350"/>
      <c r="D32" s="535"/>
      <c r="E32" s="34"/>
      <c r="F32" s="35"/>
      <c r="G32" s="35"/>
      <c r="H32" s="35"/>
      <c r="I32" s="358"/>
      <c r="J32" s="35"/>
      <c r="K32" s="35">
        <f t="shared" si="0"/>
        <v>0</v>
      </c>
      <c r="L32" s="35"/>
      <c r="M32" s="35"/>
      <c r="N32" s="151"/>
      <c r="O32" s="534"/>
      <c r="P32" s="536"/>
      <c r="Q32" s="33"/>
      <c r="R32" s="33"/>
      <c r="S32" s="33"/>
      <c r="T32" s="531"/>
      <c r="U32" s="531"/>
      <c r="V32" s="531"/>
      <c r="W32" s="31"/>
      <c r="X32" s="31"/>
      <c r="Y32" s="31"/>
      <c r="Z32" s="31"/>
      <c r="AA32" s="31"/>
      <c r="AB32" s="31"/>
      <c r="AC32" s="31"/>
      <c r="AD32" s="530"/>
      <c r="AE32" s="33"/>
      <c r="AF32" s="33"/>
    </row>
    <row r="33" spans="1:32" s="6" customFormat="1" ht="12.75" customHeight="1" thickBot="1" x14ac:dyDescent="0.25">
      <c r="A33" s="33"/>
      <c r="B33" s="1033"/>
      <c r="C33" s="464"/>
      <c r="D33" s="1034"/>
      <c r="E33" s="132"/>
      <c r="F33" s="146"/>
      <c r="G33" s="146"/>
      <c r="H33" s="146"/>
      <c r="I33" s="146"/>
      <c r="J33" s="146"/>
      <c r="K33" s="146">
        <f t="shared" si="0"/>
        <v>0</v>
      </c>
      <c r="L33" s="146"/>
      <c r="M33" s="146"/>
      <c r="N33" s="195"/>
      <c r="O33" s="537"/>
      <c r="P33" s="536"/>
      <c r="Q33" s="33"/>
      <c r="R33" s="33"/>
      <c r="S33" s="33"/>
      <c r="T33" s="531"/>
      <c r="U33" s="531"/>
      <c r="V33" s="531"/>
      <c r="W33" s="31"/>
      <c r="X33" s="31"/>
      <c r="Y33" s="31"/>
      <c r="Z33" s="31"/>
      <c r="AA33" s="31"/>
      <c r="AB33" s="31"/>
      <c r="AC33" s="31"/>
      <c r="AD33" s="530"/>
      <c r="AE33" s="33"/>
      <c r="AF33" s="33"/>
    </row>
    <row r="34" spans="1:32" s="6" customFormat="1" ht="13.5" thickBot="1" x14ac:dyDescent="0.25">
      <c r="A34" s="33"/>
      <c r="B34" s="1035"/>
      <c r="C34" s="1036"/>
      <c r="D34" s="1037" t="s">
        <v>34</v>
      </c>
      <c r="E34" s="1038">
        <f t="shared" ref="E34:N34" si="1">SUM(E5:E33)</f>
        <v>0</v>
      </c>
      <c r="F34" s="472">
        <f t="shared" si="1"/>
        <v>0</v>
      </c>
      <c r="G34" s="472">
        <f t="shared" si="1"/>
        <v>0</v>
      </c>
      <c r="H34" s="472">
        <f t="shared" si="1"/>
        <v>0</v>
      </c>
      <c r="I34" s="472">
        <f t="shared" si="1"/>
        <v>0</v>
      </c>
      <c r="J34" s="472">
        <f t="shared" si="1"/>
        <v>0</v>
      </c>
      <c r="K34" s="472">
        <f t="shared" si="1"/>
        <v>0</v>
      </c>
      <c r="L34" s="472">
        <f t="shared" si="1"/>
        <v>0</v>
      </c>
      <c r="M34" s="472">
        <f t="shared" si="1"/>
        <v>0</v>
      </c>
      <c r="N34" s="1039">
        <f t="shared" si="1"/>
        <v>0</v>
      </c>
      <c r="O34" s="539"/>
      <c r="P34" s="536"/>
      <c r="Q34" s="33"/>
      <c r="R34" s="33"/>
      <c r="S34" s="33"/>
      <c r="T34" s="33"/>
      <c r="U34" s="538"/>
      <c r="V34" s="540"/>
      <c r="W34" s="156"/>
      <c r="X34" s="156"/>
      <c r="Y34" s="156"/>
      <c r="Z34" s="156"/>
      <c r="AA34" s="156"/>
      <c r="AB34" s="249"/>
      <c r="AC34" s="156"/>
      <c r="AD34" s="530"/>
      <c r="AE34" s="33"/>
      <c r="AF34" s="33"/>
    </row>
    <row r="35" spans="1:32" ht="6.75" customHeight="1" x14ac:dyDescent="0.2">
      <c r="A35" s="101"/>
      <c r="B35" s="82"/>
      <c r="C35" s="82"/>
      <c r="D35" s="82"/>
      <c r="E35" s="82"/>
      <c r="F35" s="82"/>
      <c r="G35" s="82"/>
      <c r="H35" s="82"/>
      <c r="I35" s="82"/>
      <c r="J35" s="82"/>
      <c r="K35" s="82"/>
      <c r="L35" s="82"/>
      <c r="M35" s="82"/>
      <c r="N35" s="82"/>
      <c r="O35" s="101"/>
      <c r="P35" s="101"/>
      <c r="Q35" s="101"/>
      <c r="R35" s="101"/>
      <c r="S35" s="101"/>
      <c r="T35" s="101"/>
      <c r="U35" s="101"/>
      <c r="V35" s="101"/>
      <c r="W35" s="101"/>
      <c r="X35" s="101"/>
      <c r="Y35" s="101"/>
      <c r="Z35" s="101"/>
      <c r="AA35" s="101"/>
      <c r="AB35" s="101"/>
      <c r="AC35" s="101"/>
      <c r="AD35" s="101"/>
      <c r="AE35" s="101"/>
      <c r="AF35" s="101"/>
    </row>
    <row r="36" spans="1:32" x14ac:dyDescent="0.2">
      <c r="A36" s="101"/>
      <c r="B36" s="86"/>
      <c r="C36" s="82"/>
      <c r="D36" s="82"/>
      <c r="E36" s="82"/>
      <c r="F36" s="82"/>
      <c r="G36" s="82"/>
      <c r="H36" s="82"/>
      <c r="I36" s="82"/>
      <c r="J36" s="82"/>
      <c r="K36" s="82"/>
      <c r="L36" s="82"/>
      <c r="M36" s="82"/>
      <c r="N36" s="82"/>
      <c r="O36" s="101"/>
      <c r="P36" s="101"/>
      <c r="Q36" s="101"/>
      <c r="R36" s="101"/>
      <c r="S36" s="101"/>
      <c r="T36" s="101"/>
      <c r="U36" s="101"/>
      <c r="V36" s="101"/>
      <c r="W36" s="101"/>
      <c r="X36" s="101"/>
      <c r="Y36" s="101"/>
      <c r="Z36" s="101"/>
      <c r="AA36" s="101"/>
      <c r="AB36" s="101"/>
      <c r="AC36" s="101"/>
      <c r="AD36" s="101"/>
      <c r="AE36" s="101"/>
      <c r="AF36" s="101"/>
    </row>
    <row r="37" spans="1:32" x14ac:dyDescent="0.15">
      <c r="A37" s="101"/>
      <c r="B37" s="82"/>
      <c r="C37" s="82"/>
      <c r="D37" s="82"/>
      <c r="E37" s="82"/>
      <c r="F37" s="82"/>
      <c r="G37" s="82"/>
      <c r="H37" s="82"/>
      <c r="I37" s="82"/>
      <c r="J37" s="82"/>
      <c r="K37" s="82"/>
      <c r="L37" s="82"/>
      <c r="M37" s="82"/>
      <c r="N37" s="82"/>
      <c r="O37" s="101"/>
      <c r="P37" s="101"/>
      <c r="Q37" s="101"/>
      <c r="R37" s="541" t="s">
        <v>47</v>
      </c>
      <c r="S37" s="101"/>
      <c r="T37" s="101"/>
      <c r="U37" s="101"/>
      <c r="V37" s="101"/>
      <c r="W37" s="101"/>
      <c r="X37" s="101"/>
      <c r="Y37" s="101"/>
      <c r="Z37" s="101"/>
      <c r="AA37" s="101"/>
      <c r="AB37" s="101"/>
      <c r="AC37" s="101"/>
      <c r="AD37" s="101"/>
      <c r="AE37" s="101"/>
      <c r="AF37" s="101"/>
    </row>
    <row r="38" spans="1:32" x14ac:dyDescent="0.2">
      <c r="A38" s="101"/>
      <c r="B38" s="82"/>
      <c r="C38" s="82"/>
      <c r="D38" s="82"/>
      <c r="E38" s="82"/>
      <c r="F38" s="82"/>
      <c r="G38" s="82"/>
      <c r="H38" s="82"/>
      <c r="I38" s="82"/>
      <c r="J38" s="82"/>
      <c r="K38" s="82"/>
      <c r="L38" s="82"/>
      <c r="M38" s="82"/>
      <c r="N38" s="82"/>
      <c r="O38" s="101"/>
      <c r="P38" s="101"/>
      <c r="Q38" s="101"/>
      <c r="R38" s="174" t="s">
        <v>61</v>
      </c>
      <c r="S38" s="101"/>
      <c r="T38" s="101"/>
      <c r="U38" s="101"/>
      <c r="V38" s="101"/>
      <c r="W38" s="101"/>
      <c r="X38" s="101"/>
      <c r="Y38" s="101"/>
      <c r="Z38" s="101"/>
      <c r="AA38" s="101"/>
      <c r="AB38" s="101"/>
      <c r="AC38" s="101"/>
      <c r="AD38" s="101"/>
      <c r="AE38" s="101"/>
      <c r="AF38" s="101"/>
    </row>
    <row r="39" spans="1:32" x14ac:dyDescent="0.2">
      <c r="A39" s="101"/>
      <c r="B39" s="82"/>
      <c r="C39" s="82"/>
      <c r="D39" s="82"/>
      <c r="E39" s="82"/>
      <c r="F39" s="82"/>
      <c r="G39" s="82"/>
      <c r="H39" s="82"/>
      <c r="I39" s="82"/>
      <c r="J39" s="82"/>
      <c r="K39" s="82"/>
      <c r="L39" s="82"/>
      <c r="M39" s="82"/>
      <c r="N39" s="82"/>
      <c r="O39" s="101"/>
      <c r="P39" s="101"/>
      <c r="Q39" s="542"/>
      <c r="R39" s="220"/>
      <c r="S39" s="101"/>
      <c r="T39" s="101"/>
      <c r="U39" s="101"/>
      <c r="V39" s="101"/>
      <c r="W39" s="101"/>
      <c r="X39" s="101"/>
      <c r="Y39" s="101"/>
      <c r="Z39" s="101"/>
      <c r="AA39" s="101"/>
      <c r="AB39" s="101"/>
      <c r="AC39" s="101"/>
      <c r="AD39" s="101"/>
      <c r="AE39" s="101"/>
      <c r="AF39" s="101"/>
    </row>
    <row r="40" spans="1:32" x14ac:dyDescent="0.2">
      <c r="A40" s="101"/>
      <c r="B40" s="82"/>
      <c r="C40" s="82"/>
      <c r="D40" s="82"/>
      <c r="E40" s="82"/>
      <c r="F40" s="82"/>
      <c r="G40" s="82"/>
      <c r="H40" s="82"/>
      <c r="I40" s="82"/>
      <c r="J40" s="82"/>
      <c r="K40" s="82"/>
      <c r="L40" s="82"/>
      <c r="M40" s="82"/>
      <c r="N40" s="82"/>
      <c r="O40" s="101"/>
      <c r="P40" s="101"/>
      <c r="Q40" s="101"/>
      <c r="R40" s="220" t="s">
        <v>63</v>
      </c>
      <c r="S40" s="101"/>
      <c r="T40" s="101"/>
      <c r="U40" s="101"/>
      <c r="V40" s="101"/>
      <c r="W40" s="101"/>
      <c r="X40" s="101"/>
      <c r="Y40" s="101"/>
      <c r="Z40" s="101"/>
      <c r="AA40" s="101"/>
      <c r="AB40" s="101"/>
      <c r="AC40" s="101"/>
      <c r="AD40" s="101"/>
      <c r="AE40" s="101"/>
      <c r="AF40" s="101"/>
    </row>
    <row r="41" spans="1:32" x14ac:dyDescent="0.2">
      <c r="A41" s="101"/>
      <c r="B41" s="82"/>
      <c r="C41" s="82"/>
      <c r="D41" s="82"/>
      <c r="E41" s="82"/>
      <c r="F41" s="82"/>
      <c r="G41" s="82"/>
      <c r="H41" s="82"/>
      <c r="I41" s="82"/>
      <c r="J41" s="82"/>
      <c r="K41" s="82"/>
      <c r="L41" s="82"/>
      <c r="M41" s="82"/>
      <c r="N41" s="82"/>
      <c r="O41" s="101"/>
      <c r="P41" s="101"/>
      <c r="Q41" s="101"/>
      <c r="R41" s="220" t="s">
        <v>64</v>
      </c>
      <c r="S41" s="101"/>
      <c r="T41" s="101"/>
      <c r="U41" s="101"/>
      <c r="V41" s="101"/>
      <c r="W41" s="101"/>
      <c r="X41" s="101"/>
      <c r="Y41" s="101"/>
      <c r="Z41" s="101"/>
      <c r="AA41" s="101"/>
      <c r="AB41" s="101"/>
      <c r="AC41" s="101"/>
      <c r="AD41" s="101"/>
      <c r="AE41" s="101"/>
      <c r="AF41" s="101"/>
    </row>
    <row r="42" spans="1:32" x14ac:dyDescent="0.2">
      <c r="A42" s="101"/>
      <c r="B42" s="82"/>
      <c r="C42" s="82"/>
      <c r="D42" s="82"/>
      <c r="E42" s="82"/>
      <c r="F42" s="82"/>
      <c r="G42" s="82"/>
      <c r="H42" s="82"/>
      <c r="I42" s="82"/>
      <c r="J42" s="82"/>
      <c r="K42" s="82"/>
      <c r="L42" s="82"/>
      <c r="M42" s="82"/>
      <c r="N42" s="82"/>
      <c r="O42" s="101"/>
      <c r="P42" s="101"/>
      <c r="Q42" s="101"/>
      <c r="R42" s="40"/>
      <c r="S42" s="101"/>
      <c r="T42" s="101"/>
      <c r="U42" s="101"/>
      <c r="V42" s="101"/>
      <c r="W42" s="101"/>
      <c r="X42" s="101"/>
      <c r="Y42" s="101"/>
      <c r="Z42" s="101"/>
      <c r="AA42" s="101"/>
      <c r="AB42" s="101"/>
      <c r="AC42" s="101"/>
      <c r="AD42" s="101"/>
      <c r="AE42" s="101"/>
      <c r="AF42" s="101"/>
    </row>
    <row r="43" spans="1:32" x14ac:dyDescent="0.2">
      <c r="A43" s="101"/>
      <c r="B43" s="82"/>
      <c r="C43" s="82"/>
      <c r="D43" s="82"/>
      <c r="E43" s="82"/>
      <c r="F43" s="82"/>
      <c r="G43" s="82"/>
      <c r="H43" s="82"/>
      <c r="I43" s="82"/>
      <c r="J43" s="82"/>
      <c r="K43" s="82"/>
      <c r="L43" s="82"/>
      <c r="M43" s="82"/>
      <c r="N43" s="82"/>
      <c r="O43" s="101"/>
      <c r="P43" s="101"/>
      <c r="Q43" s="101"/>
      <c r="R43" s="101"/>
      <c r="S43" s="101"/>
      <c r="T43" s="101"/>
      <c r="U43" s="101"/>
      <c r="V43" s="101"/>
      <c r="W43" s="101"/>
      <c r="X43" s="101"/>
      <c r="Y43" s="101"/>
      <c r="Z43" s="101"/>
      <c r="AA43" s="101"/>
      <c r="AB43" s="101"/>
      <c r="AC43" s="101"/>
      <c r="AD43" s="101"/>
      <c r="AE43" s="101"/>
      <c r="AF43" s="101"/>
    </row>
    <row r="44" spans="1:32" x14ac:dyDescent="0.2">
      <c r="A44" s="101"/>
      <c r="B44" s="101"/>
      <c r="C44" s="101"/>
      <c r="D44" s="101"/>
      <c r="E44" s="101"/>
      <c r="F44" s="101"/>
      <c r="G44" s="101"/>
      <c r="H44" s="101"/>
      <c r="I44" s="82"/>
      <c r="J44" s="82"/>
      <c r="K44" s="82"/>
      <c r="L44" s="82"/>
      <c r="M44" s="82"/>
      <c r="N44" s="82"/>
      <c r="O44" s="101"/>
      <c r="P44" s="101"/>
      <c r="Q44" s="101"/>
      <c r="R44" s="101"/>
      <c r="S44" s="101"/>
      <c r="T44" s="101"/>
      <c r="U44" s="101"/>
      <c r="V44" s="101"/>
      <c r="W44" s="101"/>
      <c r="X44" s="101"/>
      <c r="Y44" s="101"/>
      <c r="Z44" s="101"/>
      <c r="AA44" s="101"/>
      <c r="AB44" s="101"/>
      <c r="AC44" s="101"/>
      <c r="AD44" s="101"/>
      <c r="AE44" s="101"/>
      <c r="AF44" s="101"/>
    </row>
    <row r="45" spans="1:32" x14ac:dyDescent="0.2">
      <c r="A45" s="101"/>
      <c r="B45" s="82"/>
      <c r="C45" s="82"/>
      <c r="D45" s="82"/>
      <c r="E45" s="82"/>
      <c r="F45" s="82"/>
      <c r="G45" s="82"/>
      <c r="H45" s="82"/>
      <c r="I45" s="82"/>
      <c r="J45" s="82"/>
      <c r="K45" s="82"/>
      <c r="L45" s="82"/>
      <c r="M45" s="82"/>
      <c r="N45" s="82"/>
      <c r="O45" s="101"/>
      <c r="P45" s="101"/>
      <c r="Q45" s="101"/>
      <c r="R45" s="101"/>
      <c r="S45" s="101"/>
      <c r="T45" s="101"/>
      <c r="U45" s="101"/>
      <c r="V45" s="101"/>
      <c r="W45" s="101"/>
      <c r="X45" s="101"/>
      <c r="Y45" s="101"/>
      <c r="Z45" s="101"/>
      <c r="AA45" s="101"/>
      <c r="AB45" s="101"/>
      <c r="AC45" s="101"/>
      <c r="AD45" s="101"/>
      <c r="AE45" s="101"/>
      <c r="AF45" s="101"/>
    </row>
    <row r="46" spans="1:32" x14ac:dyDescent="0.2">
      <c r="A46" s="101"/>
      <c r="B46" s="82"/>
      <c r="C46" s="82"/>
      <c r="D46" s="82"/>
      <c r="E46" s="82"/>
      <c r="F46" s="82"/>
      <c r="G46" s="82"/>
      <c r="H46" s="82"/>
      <c r="I46" s="82"/>
      <c r="J46" s="82"/>
      <c r="K46" s="82"/>
      <c r="L46" s="82"/>
      <c r="M46" s="82"/>
      <c r="N46" s="82"/>
      <c r="O46" s="101"/>
      <c r="P46" s="101"/>
      <c r="Q46" s="101"/>
      <c r="R46" s="101"/>
      <c r="S46" s="101"/>
      <c r="T46" s="101"/>
      <c r="U46" s="101"/>
      <c r="V46" s="101"/>
      <c r="W46" s="101"/>
      <c r="X46" s="101"/>
      <c r="Y46" s="101"/>
      <c r="Z46" s="101"/>
      <c r="AA46" s="101"/>
      <c r="AB46" s="101"/>
      <c r="AC46" s="101"/>
      <c r="AD46" s="101"/>
      <c r="AE46" s="101"/>
      <c r="AF46" s="101"/>
    </row>
    <row r="47" spans="1:32" x14ac:dyDescent="0.2">
      <c r="A47" s="101"/>
      <c r="B47" s="82"/>
      <c r="C47" s="82"/>
      <c r="D47" s="82"/>
      <c r="E47" s="82"/>
      <c r="F47" s="82"/>
      <c r="G47" s="82"/>
      <c r="H47" s="82"/>
      <c r="I47" s="82"/>
      <c r="J47" s="82"/>
      <c r="K47" s="82"/>
      <c r="L47" s="82"/>
      <c r="M47" s="82"/>
      <c r="N47" s="82"/>
      <c r="O47" s="101"/>
      <c r="P47" s="101"/>
      <c r="Q47" s="101"/>
      <c r="R47" s="101"/>
      <c r="S47" s="101"/>
      <c r="T47" s="101"/>
      <c r="U47" s="101"/>
      <c r="V47" s="101"/>
      <c r="W47" s="101"/>
      <c r="X47" s="101"/>
      <c r="Y47" s="101"/>
      <c r="Z47" s="101"/>
      <c r="AA47" s="101"/>
      <c r="AB47" s="101"/>
      <c r="AC47" s="101"/>
      <c r="AD47" s="101"/>
      <c r="AE47" s="101"/>
      <c r="AF47" s="101"/>
    </row>
    <row r="48" spans="1:32" x14ac:dyDescent="0.2">
      <c r="A48" s="101"/>
      <c r="B48" s="82"/>
      <c r="C48" s="82"/>
      <c r="D48" s="82"/>
      <c r="E48" s="82"/>
      <c r="F48" s="82"/>
      <c r="G48" s="82"/>
      <c r="H48" s="82"/>
      <c r="I48" s="82"/>
      <c r="J48" s="82"/>
      <c r="K48" s="82"/>
      <c r="L48" s="82"/>
      <c r="M48" s="82"/>
      <c r="N48" s="82"/>
      <c r="O48" s="101"/>
      <c r="P48" s="101"/>
      <c r="Q48" s="101"/>
      <c r="R48" s="101"/>
      <c r="S48" s="101"/>
      <c r="T48" s="101"/>
      <c r="U48" s="101"/>
      <c r="V48" s="101"/>
      <c r="W48" s="101"/>
      <c r="X48" s="101"/>
      <c r="Y48" s="101"/>
      <c r="Z48" s="101"/>
      <c r="AA48" s="101"/>
      <c r="AB48" s="101"/>
      <c r="AC48" s="101"/>
      <c r="AD48" s="101"/>
      <c r="AE48" s="101"/>
      <c r="AF48" s="101"/>
    </row>
    <row r="49" spans="1:32" x14ac:dyDescent="0.2">
      <c r="A49" s="101"/>
      <c r="B49" s="82"/>
      <c r="C49" s="82"/>
      <c r="D49" s="82"/>
      <c r="E49" s="82"/>
      <c r="F49" s="82"/>
      <c r="G49" s="82"/>
      <c r="H49" s="82"/>
      <c r="I49" s="82"/>
      <c r="J49" s="82"/>
      <c r="K49" s="82"/>
      <c r="L49" s="82"/>
      <c r="M49" s="82"/>
      <c r="N49" s="82"/>
      <c r="O49" s="101"/>
      <c r="P49" s="101"/>
      <c r="Q49" s="101"/>
      <c r="R49" s="101"/>
      <c r="S49" s="101"/>
      <c r="T49" s="101"/>
      <c r="U49" s="101"/>
      <c r="V49" s="101"/>
      <c r="W49" s="101"/>
      <c r="X49" s="101"/>
      <c r="Y49" s="101"/>
      <c r="Z49" s="101"/>
      <c r="AA49" s="101"/>
      <c r="AB49" s="101"/>
      <c r="AC49" s="101"/>
      <c r="AD49" s="101"/>
      <c r="AE49" s="101"/>
      <c r="AF49" s="101"/>
    </row>
    <row r="50" spans="1:32" x14ac:dyDescent="0.2">
      <c r="A50" s="101"/>
      <c r="B50" s="82"/>
      <c r="C50" s="82"/>
      <c r="D50" s="82"/>
      <c r="E50" s="82"/>
      <c r="F50" s="82"/>
      <c r="G50" s="82"/>
      <c r="H50" s="82"/>
      <c r="I50" s="82"/>
      <c r="J50" s="82"/>
      <c r="K50" s="82"/>
      <c r="L50" s="82"/>
      <c r="M50" s="82"/>
      <c r="N50" s="82"/>
      <c r="O50" s="101"/>
      <c r="P50" s="101"/>
      <c r="Q50" s="101"/>
      <c r="R50" s="101"/>
      <c r="S50" s="101"/>
      <c r="T50" s="101"/>
      <c r="U50" s="101"/>
      <c r="V50" s="101"/>
      <c r="W50" s="101"/>
      <c r="X50" s="101"/>
      <c r="Y50" s="101"/>
      <c r="Z50" s="101"/>
      <c r="AA50" s="101"/>
      <c r="AB50" s="101"/>
      <c r="AC50" s="101"/>
      <c r="AD50" s="101"/>
      <c r="AE50" s="101"/>
      <c r="AF50" s="101"/>
    </row>
    <row r="51" spans="1:32" x14ac:dyDescent="0.2">
      <c r="A51" s="101"/>
      <c r="B51" s="82"/>
      <c r="C51" s="82"/>
      <c r="D51" s="82"/>
      <c r="E51" s="82"/>
      <c r="F51" s="82"/>
      <c r="G51" s="82"/>
      <c r="H51" s="82"/>
      <c r="I51" s="82"/>
      <c r="J51" s="82"/>
      <c r="K51" s="82"/>
      <c r="L51" s="82"/>
      <c r="M51" s="82"/>
      <c r="N51" s="82"/>
      <c r="O51" s="101"/>
      <c r="P51" s="101"/>
      <c r="Q51" s="101"/>
      <c r="R51" s="101"/>
      <c r="S51" s="101"/>
      <c r="T51" s="101"/>
      <c r="U51" s="101"/>
      <c r="V51" s="101"/>
      <c r="W51" s="101"/>
      <c r="X51" s="101"/>
      <c r="Y51" s="101"/>
      <c r="Z51" s="101"/>
      <c r="AA51" s="101"/>
      <c r="AB51" s="101"/>
      <c r="AC51" s="101"/>
      <c r="AD51" s="101"/>
      <c r="AE51" s="101"/>
      <c r="AF51" s="101"/>
    </row>
    <row r="52" spans="1:32" x14ac:dyDescent="0.2">
      <c r="A52" s="101"/>
      <c r="B52" s="82"/>
      <c r="C52" s="82"/>
      <c r="D52" s="82"/>
      <c r="E52" s="82"/>
      <c r="F52" s="82"/>
      <c r="G52" s="82"/>
      <c r="H52" s="82"/>
      <c r="I52" s="82"/>
      <c r="J52" s="82"/>
      <c r="K52" s="82"/>
      <c r="L52" s="82"/>
      <c r="M52" s="82"/>
      <c r="N52" s="82"/>
      <c r="O52" s="101"/>
      <c r="P52" s="101"/>
      <c r="Q52" s="101"/>
      <c r="R52" s="101"/>
      <c r="S52" s="101"/>
      <c r="T52" s="101"/>
      <c r="U52" s="101"/>
      <c r="V52" s="101"/>
      <c r="W52" s="101"/>
      <c r="X52" s="101"/>
      <c r="Y52" s="101"/>
      <c r="Z52" s="101"/>
      <c r="AA52" s="101"/>
      <c r="AB52" s="101"/>
      <c r="AC52" s="101"/>
      <c r="AD52" s="101"/>
      <c r="AE52" s="101"/>
      <c r="AF52" s="101"/>
    </row>
    <row r="53" spans="1:32" x14ac:dyDescent="0.2">
      <c r="A53" s="101"/>
      <c r="B53" s="82"/>
      <c r="C53" s="82"/>
      <c r="D53" s="82"/>
      <c r="E53" s="82"/>
      <c r="F53" s="82"/>
      <c r="G53" s="82"/>
      <c r="H53" s="82"/>
      <c r="I53" s="82"/>
      <c r="J53" s="82"/>
      <c r="K53" s="82"/>
      <c r="L53" s="82"/>
      <c r="M53" s="82"/>
      <c r="N53" s="82"/>
      <c r="O53" s="101"/>
      <c r="P53" s="101"/>
      <c r="Q53" s="101"/>
      <c r="R53" s="101"/>
      <c r="S53" s="101"/>
      <c r="T53" s="101"/>
      <c r="U53" s="101"/>
      <c r="V53" s="101"/>
      <c r="W53" s="101"/>
      <c r="X53" s="101"/>
      <c r="Y53" s="101"/>
      <c r="Z53" s="101"/>
      <c r="AA53" s="101"/>
      <c r="AB53" s="101"/>
      <c r="AC53" s="101"/>
      <c r="AD53" s="101"/>
      <c r="AE53" s="101"/>
      <c r="AF53" s="101"/>
    </row>
    <row r="54" spans="1:32" x14ac:dyDescent="0.2">
      <c r="B54" s="3"/>
      <c r="C54" s="3"/>
      <c r="D54" s="3"/>
      <c r="E54" s="3"/>
      <c r="F54" s="3"/>
      <c r="G54" s="3"/>
      <c r="H54" s="3"/>
      <c r="I54" s="3"/>
      <c r="J54" s="3"/>
      <c r="K54" s="3"/>
      <c r="L54" s="3"/>
      <c r="M54" s="3"/>
      <c r="N54" s="3"/>
    </row>
    <row r="55" spans="1:32" x14ac:dyDescent="0.2">
      <c r="B55" s="3"/>
      <c r="C55" s="3"/>
      <c r="D55" s="3"/>
      <c r="E55" s="3"/>
      <c r="F55" s="3"/>
      <c r="G55" s="3"/>
      <c r="H55" s="3"/>
      <c r="I55" s="3"/>
      <c r="J55" s="3"/>
      <c r="K55" s="3"/>
      <c r="L55" s="3"/>
      <c r="M55" s="3"/>
      <c r="N55" s="3"/>
    </row>
    <row r="56" spans="1:32" x14ac:dyDescent="0.2">
      <c r="B56" s="3"/>
      <c r="C56" s="3"/>
      <c r="D56" s="3"/>
      <c r="E56" s="3"/>
      <c r="F56" s="3"/>
      <c r="G56" s="3"/>
      <c r="H56" s="3"/>
      <c r="I56" s="3"/>
      <c r="J56" s="3"/>
      <c r="K56" s="3"/>
      <c r="L56" s="3"/>
      <c r="M56" s="3"/>
      <c r="N56" s="3"/>
    </row>
    <row r="57" spans="1:32" x14ac:dyDescent="0.2">
      <c r="B57" s="3"/>
      <c r="C57" s="3"/>
      <c r="D57" s="3"/>
      <c r="E57" s="3"/>
      <c r="F57" s="3"/>
      <c r="G57" s="3"/>
      <c r="H57" s="3"/>
      <c r="I57" s="3"/>
      <c r="J57" s="3"/>
      <c r="K57" s="3"/>
      <c r="L57" s="3"/>
      <c r="M57" s="3"/>
      <c r="N57" s="3"/>
    </row>
    <row r="58" spans="1:32" x14ac:dyDescent="0.2">
      <c r="B58" s="3"/>
      <c r="C58" s="3"/>
      <c r="D58" s="3"/>
      <c r="E58" s="3"/>
      <c r="F58" s="3"/>
      <c r="G58" s="3"/>
      <c r="H58" s="3"/>
      <c r="I58" s="3"/>
      <c r="J58" s="3"/>
      <c r="K58" s="3"/>
      <c r="L58" s="3"/>
      <c r="M58" s="3"/>
      <c r="N58" s="3"/>
    </row>
    <row r="59" spans="1:32" x14ac:dyDescent="0.2">
      <c r="B59" s="3"/>
      <c r="C59" s="3"/>
      <c r="D59" s="3"/>
      <c r="E59" s="3"/>
      <c r="F59" s="3"/>
      <c r="G59" s="3"/>
      <c r="H59" s="3"/>
      <c r="I59" s="3"/>
      <c r="J59" s="3"/>
      <c r="K59" s="3"/>
      <c r="L59" s="3"/>
      <c r="M59" s="3"/>
      <c r="N59" s="3"/>
    </row>
    <row r="60" spans="1:32" x14ac:dyDescent="0.2">
      <c r="B60" s="3"/>
      <c r="C60" s="3"/>
      <c r="D60" s="3"/>
      <c r="E60" s="3"/>
      <c r="F60" s="3"/>
      <c r="G60" s="3"/>
      <c r="H60" s="3"/>
      <c r="I60" s="3"/>
      <c r="J60" s="3"/>
      <c r="K60" s="3"/>
      <c r="L60" s="3"/>
      <c r="M60" s="3"/>
      <c r="N60" s="3"/>
    </row>
    <row r="61" spans="1:32" x14ac:dyDescent="0.2">
      <c r="B61" s="3"/>
      <c r="C61" s="3"/>
      <c r="D61" s="3"/>
      <c r="E61" s="3"/>
      <c r="F61" s="3"/>
      <c r="G61" s="3"/>
      <c r="H61" s="3"/>
      <c r="I61" s="3"/>
      <c r="J61" s="3"/>
      <c r="K61" s="3"/>
      <c r="L61" s="3"/>
      <c r="M61" s="3"/>
      <c r="N61" s="3"/>
    </row>
    <row r="62" spans="1:32" x14ac:dyDescent="0.2">
      <c r="B62" s="3"/>
      <c r="C62" s="3"/>
      <c r="D62" s="3"/>
      <c r="E62" s="3"/>
      <c r="F62" s="3"/>
      <c r="G62" s="3"/>
      <c r="H62" s="3"/>
      <c r="I62" s="3"/>
      <c r="J62" s="3"/>
      <c r="K62" s="3"/>
      <c r="L62" s="3"/>
      <c r="M62" s="3"/>
      <c r="N62" s="3"/>
    </row>
    <row r="63" spans="1:32" x14ac:dyDescent="0.2">
      <c r="B63" s="3"/>
      <c r="C63" s="3"/>
      <c r="D63" s="3"/>
      <c r="E63" s="3"/>
      <c r="F63" s="3"/>
      <c r="G63" s="3"/>
      <c r="H63" s="3"/>
      <c r="I63" s="3"/>
      <c r="J63" s="3"/>
      <c r="K63" s="3"/>
      <c r="L63" s="3"/>
      <c r="M63" s="3"/>
      <c r="N63" s="3"/>
    </row>
    <row r="64" spans="1:32" x14ac:dyDescent="0.2">
      <c r="B64" s="3"/>
      <c r="C64" s="3"/>
      <c r="D64" s="3"/>
      <c r="E64" s="3"/>
      <c r="F64" s="3"/>
      <c r="G64" s="3"/>
      <c r="H64" s="3"/>
      <c r="I64" s="3"/>
      <c r="J64" s="3"/>
      <c r="K64" s="3"/>
      <c r="L64" s="3"/>
      <c r="M64" s="3"/>
      <c r="N64" s="3"/>
    </row>
    <row r="65" spans="2:14" x14ac:dyDescent="0.2">
      <c r="B65" s="3"/>
      <c r="C65" s="3"/>
      <c r="D65" s="3"/>
      <c r="E65" s="3"/>
      <c r="F65" s="3"/>
      <c r="G65" s="3"/>
      <c r="H65" s="3"/>
      <c r="I65" s="3"/>
      <c r="J65" s="3"/>
      <c r="K65" s="3"/>
      <c r="L65" s="3"/>
      <c r="M65" s="3"/>
      <c r="N65" s="3"/>
    </row>
    <row r="66" spans="2:14" x14ac:dyDescent="0.2">
      <c r="B66" s="3"/>
      <c r="C66" s="3"/>
      <c r="D66" s="3"/>
      <c r="E66" s="3"/>
      <c r="F66" s="3"/>
      <c r="G66" s="3"/>
      <c r="H66" s="3"/>
      <c r="I66" s="3"/>
      <c r="J66" s="3"/>
      <c r="K66" s="3"/>
      <c r="L66" s="3"/>
      <c r="M66" s="3"/>
      <c r="N66" s="3"/>
    </row>
    <row r="67" spans="2:14" x14ac:dyDescent="0.2">
      <c r="B67" s="3"/>
      <c r="C67" s="3"/>
      <c r="D67" s="3"/>
      <c r="E67" s="3"/>
      <c r="F67" s="3"/>
      <c r="G67" s="3"/>
      <c r="H67" s="3"/>
      <c r="I67" s="3"/>
      <c r="J67" s="3"/>
      <c r="K67" s="3"/>
      <c r="L67" s="3"/>
      <c r="M67" s="3"/>
      <c r="N67" s="3"/>
    </row>
    <row r="68" spans="2:14" x14ac:dyDescent="0.2">
      <c r="B68" s="3"/>
      <c r="C68" s="3"/>
      <c r="D68" s="3"/>
      <c r="E68" s="3"/>
      <c r="F68" s="3"/>
      <c r="G68" s="3"/>
      <c r="H68" s="3"/>
      <c r="I68" s="3"/>
      <c r="J68" s="3"/>
      <c r="K68" s="3"/>
      <c r="L68" s="3"/>
      <c r="M68" s="3"/>
      <c r="N68" s="3"/>
    </row>
    <row r="69" spans="2:14" x14ac:dyDescent="0.2">
      <c r="B69" s="3"/>
      <c r="C69" s="3"/>
      <c r="D69" s="3"/>
      <c r="E69" s="3"/>
      <c r="F69" s="3"/>
      <c r="G69" s="3"/>
      <c r="H69" s="3"/>
      <c r="I69" s="3"/>
      <c r="J69" s="3"/>
      <c r="K69" s="3"/>
      <c r="L69" s="3"/>
      <c r="M69" s="3"/>
      <c r="N69" s="3"/>
    </row>
    <row r="70" spans="2:14" x14ac:dyDescent="0.2">
      <c r="B70" s="3"/>
      <c r="C70" s="3"/>
      <c r="D70" s="3"/>
      <c r="E70" s="3"/>
      <c r="F70" s="3"/>
      <c r="G70" s="3"/>
      <c r="H70" s="3"/>
      <c r="I70" s="3"/>
      <c r="J70" s="3"/>
      <c r="K70" s="3"/>
      <c r="L70" s="3"/>
      <c r="M70" s="3"/>
      <c r="N70" s="3"/>
    </row>
    <row r="71" spans="2:14" x14ac:dyDescent="0.2">
      <c r="B71" s="3"/>
      <c r="C71" s="3"/>
      <c r="D71" s="3"/>
      <c r="E71" s="3"/>
      <c r="F71" s="3"/>
      <c r="G71" s="3"/>
      <c r="H71" s="3"/>
      <c r="I71" s="3"/>
      <c r="J71" s="3"/>
      <c r="K71" s="3"/>
      <c r="L71" s="3"/>
      <c r="M71" s="3"/>
      <c r="N71" s="3"/>
    </row>
    <row r="72" spans="2:14" x14ac:dyDescent="0.2">
      <c r="B72" s="3"/>
      <c r="C72" s="3"/>
      <c r="D72" s="3"/>
      <c r="E72" s="3"/>
      <c r="F72" s="3"/>
      <c r="G72" s="3"/>
      <c r="H72" s="3"/>
      <c r="I72" s="3"/>
      <c r="J72" s="3"/>
      <c r="K72" s="3"/>
      <c r="L72" s="3"/>
      <c r="M72" s="3"/>
      <c r="N72" s="3"/>
    </row>
    <row r="73" spans="2:14" x14ac:dyDescent="0.2">
      <c r="B73" s="3"/>
      <c r="C73" s="3"/>
      <c r="D73" s="3"/>
      <c r="E73" s="3"/>
      <c r="F73" s="3"/>
      <c r="G73" s="3"/>
      <c r="H73" s="3"/>
      <c r="I73" s="3"/>
      <c r="J73" s="3"/>
      <c r="K73" s="3"/>
      <c r="L73" s="3"/>
      <c r="M73" s="3"/>
      <c r="N73" s="3"/>
    </row>
    <row r="74" spans="2:14" x14ac:dyDescent="0.2">
      <c r="B74" s="3"/>
      <c r="C74" s="3"/>
      <c r="D74" s="3"/>
      <c r="E74" s="3"/>
      <c r="F74" s="3"/>
      <c r="G74" s="3"/>
      <c r="H74" s="3"/>
      <c r="I74" s="3"/>
      <c r="J74" s="3"/>
      <c r="K74" s="3"/>
      <c r="L74" s="3"/>
      <c r="M74" s="3"/>
      <c r="N74" s="3"/>
    </row>
    <row r="75" spans="2:14" x14ac:dyDescent="0.2">
      <c r="B75" s="3"/>
      <c r="C75" s="3"/>
      <c r="D75" s="3"/>
      <c r="E75" s="3"/>
      <c r="F75" s="3"/>
      <c r="G75" s="3"/>
      <c r="H75" s="3"/>
      <c r="I75" s="3"/>
      <c r="J75" s="3"/>
      <c r="K75" s="3"/>
      <c r="L75" s="3"/>
      <c r="M75" s="3"/>
      <c r="N75" s="3"/>
    </row>
    <row r="76" spans="2:14" x14ac:dyDescent="0.2">
      <c r="B76" s="3"/>
      <c r="C76" s="3"/>
      <c r="D76" s="3"/>
      <c r="E76" s="3"/>
      <c r="F76" s="3"/>
      <c r="G76" s="3"/>
      <c r="H76" s="3"/>
      <c r="I76" s="3"/>
      <c r="J76" s="3"/>
      <c r="K76" s="3"/>
      <c r="L76" s="3"/>
      <c r="M76" s="3"/>
      <c r="N76" s="3"/>
    </row>
    <row r="77" spans="2:14" x14ac:dyDescent="0.2">
      <c r="B77" s="3"/>
      <c r="C77" s="3"/>
      <c r="D77" s="3"/>
      <c r="E77" s="3"/>
      <c r="F77" s="3"/>
      <c r="G77" s="3"/>
      <c r="H77" s="3"/>
      <c r="I77" s="3"/>
      <c r="J77" s="3"/>
      <c r="K77" s="3"/>
      <c r="L77" s="3"/>
      <c r="M77" s="3"/>
      <c r="N77" s="3"/>
    </row>
    <row r="78" spans="2:14" x14ac:dyDescent="0.2">
      <c r="B78" s="3"/>
      <c r="C78" s="3"/>
      <c r="D78" s="3"/>
      <c r="E78" s="3"/>
      <c r="F78" s="3"/>
      <c r="G78" s="3"/>
      <c r="H78" s="3"/>
      <c r="I78" s="3"/>
      <c r="J78" s="3"/>
      <c r="K78" s="3"/>
      <c r="L78" s="3"/>
      <c r="M78" s="3"/>
      <c r="N78" s="3"/>
    </row>
    <row r="79" spans="2:14" x14ac:dyDescent="0.2">
      <c r="B79" s="3"/>
      <c r="C79" s="3"/>
      <c r="D79" s="3"/>
      <c r="E79" s="3"/>
      <c r="F79" s="3"/>
      <c r="G79" s="3"/>
      <c r="H79" s="3"/>
      <c r="I79" s="3"/>
      <c r="J79" s="3"/>
      <c r="K79" s="3"/>
      <c r="L79" s="3"/>
      <c r="M79" s="3"/>
      <c r="N79" s="3"/>
    </row>
    <row r="80" spans="2:14" x14ac:dyDescent="0.2">
      <c r="B80" s="3"/>
      <c r="C80" s="3"/>
      <c r="D80" s="3"/>
      <c r="E80" s="3"/>
      <c r="F80" s="3"/>
      <c r="G80" s="3"/>
      <c r="H80" s="3"/>
      <c r="I80" s="3"/>
      <c r="J80" s="3"/>
      <c r="K80" s="3"/>
      <c r="L80" s="3"/>
      <c r="M80" s="3"/>
      <c r="N80" s="3"/>
    </row>
    <row r="81" spans="2:14" x14ac:dyDescent="0.2">
      <c r="B81" s="3"/>
      <c r="C81" s="3"/>
      <c r="D81" s="3"/>
      <c r="E81" s="3"/>
      <c r="F81" s="3"/>
      <c r="G81" s="3"/>
      <c r="H81" s="3"/>
      <c r="I81" s="3"/>
      <c r="J81" s="3"/>
      <c r="K81" s="3"/>
      <c r="L81" s="3"/>
      <c r="M81" s="3"/>
      <c r="N81" s="3"/>
    </row>
    <row r="82" spans="2:14" x14ac:dyDescent="0.2">
      <c r="B82" s="3"/>
      <c r="C82" s="3"/>
      <c r="D82" s="3"/>
      <c r="E82" s="3"/>
      <c r="F82" s="3"/>
      <c r="G82" s="3"/>
      <c r="H82" s="3"/>
      <c r="I82" s="3"/>
      <c r="J82" s="3"/>
      <c r="K82" s="3"/>
      <c r="L82" s="3"/>
      <c r="M82" s="3"/>
      <c r="N82" s="3"/>
    </row>
    <row r="83" spans="2:14" x14ac:dyDescent="0.2">
      <c r="B83" s="3"/>
      <c r="C83" s="3"/>
      <c r="D83" s="3"/>
      <c r="E83" s="3"/>
      <c r="F83" s="3"/>
      <c r="G83" s="3"/>
      <c r="H83" s="3"/>
      <c r="I83" s="3"/>
      <c r="J83" s="3"/>
      <c r="K83" s="3"/>
      <c r="L83" s="3"/>
      <c r="M83" s="3"/>
      <c r="N83" s="3"/>
    </row>
    <row r="84" spans="2:14" x14ac:dyDescent="0.2">
      <c r="B84" s="3"/>
      <c r="C84" s="3"/>
      <c r="D84" s="3"/>
      <c r="E84" s="3"/>
      <c r="F84" s="3"/>
      <c r="G84" s="3"/>
      <c r="H84" s="3"/>
      <c r="I84" s="3"/>
      <c r="J84" s="3"/>
      <c r="K84" s="3"/>
      <c r="L84" s="3"/>
      <c r="M84" s="3"/>
      <c r="N84" s="3"/>
    </row>
    <row r="85" spans="2:14" x14ac:dyDescent="0.2">
      <c r="B85" s="3"/>
      <c r="C85" s="3"/>
      <c r="D85" s="3"/>
      <c r="E85" s="3"/>
      <c r="F85" s="3"/>
      <c r="G85" s="3"/>
      <c r="H85" s="3"/>
      <c r="I85" s="3"/>
      <c r="J85" s="3"/>
      <c r="K85" s="3"/>
      <c r="L85" s="3"/>
      <c r="M85" s="3"/>
      <c r="N85" s="3"/>
    </row>
    <row r="86" spans="2:14" x14ac:dyDescent="0.2">
      <c r="B86" s="3"/>
      <c r="C86" s="3"/>
      <c r="D86" s="3"/>
      <c r="E86" s="3"/>
      <c r="F86" s="3"/>
      <c r="G86" s="3"/>
      <c r="H86" s="3"/>
      <c r="I86" s="3"/>
      <c r="J86" s="3"/>
      <c r="K86" s="3"/>
      <c r="L86" s="3"/>
      <c r="M86" s="3"/>
      <c r="N86" s="3"/>
    </row>
    <row r="87" spans="2:14" x14ac:dyDescent="0.2">
      <c r="B87" s="3"/>
      <c r="C87" s="3"/>
      <c r="D87" s="3"/>
      <c r="E87" s="3"/>
      <c r="F87" s="3"/>
      <c r="G87" s="3"/>
      <c r="H87" s="3"/>
      <c r="I87" s="3"/>
      <c r="J87" s="3"/>
      <c r="K87" s="3"/>
      <c r="L87" s="3"/>
      <c r="M87" s="3"/>
      <c r="N87" s="3"/>
    </row>
    <row r="88" spans="2:14" x14ac:dyDescent="0.2">
      <c r="B88" s="3"/>
      <c r="C88" s="3"/>
      <c r="D88" s="3"/>
      <c r="E88" s="3"/>
      <c r="F88" s="3"/>
      <c r="G88" s="3"/>
      <c r="H88" s="3"/>
      <c r="I88" s="3"/>
      <c r="J88" s="3"/>
      <c r="K88" s="3"/>
      <c r="L88" s="3"/>
      <c r="M88" s="3"/>
      <c r="N88" s="3"/>
    </row>
    <row r="89" spans="2:14" x14ac:dyDescent="0.2">
      <c r="B89" s="3"/>
      <c r="C89" s="3"/>
      <c r="D89" s="3"/>
      <c r="E89" s="3"/>
      <c r="F89" s="3"/>
      <c r="G89" s="3"/>
      <c r="H89" s="3"/>
      <c r="I89" s="3"/>
      <c r="J89" s="3"/>
      <c r="K89" s="3"/>
      <c r="L89" s="3"/>
      <c r="M89" s="3"/>
      <c r="N89" s="3"/>
    </row>
    <row r="90" spans="2:14" x14ac:dyDescent="0.2">
      <c r="B90" s="3"/>
      <c r="C90" s="3"/>
      <c r="D90" s="3"/>
      <c r="E90" s="3"/>
      <c r="F90" s="3"/>
      <c r="G90" s="3"/>
      <c r="H90" s="3"/>
      <c r="I90" s="3"/>
      <c r="J90" s="3"/>
      <c r="K90" s="3"/>
      <c r="L90" s="3"/>
      <c r="M90" s="3"/>
      <c r="N90" s="3"/>
    </row>
    <row r="91" spans="2:14" x14ac:dyDescent="0.2">
      <c r="B91" s="3"/>
      <c r="C91" s="3"/>
      <c r="D91" s="3"/>
      <c r="E91" s="3"/>
      <c r="F91" s="3"/>
      <c r="G91" s="3"/>
      <c r="H91" s="3"/>
      <c r="I91" s="3"/>
      <c r="J91" s="3"/>
      <c r="K91" s="3"/>
      <c r="L91" s="3"/>
      <c r="M91" s="3"/>
      <c r="N91" s="3"/>
    </row>
    <row r="92" spans="2:14" x14ac:dyDescent="0.2">
      <c r="B92" s="3"/>
      <c r="C92" s="3"/>
      <c r="D92" s="3"/>
      <c r="E92" s="3"/>
      <c r="F92" s="3"/>
      <c r="G92" s="3"/>
      <c r="H92" s="3"/>
      <c r="I92" s="3"/>
      <c r="J92" s="3"/>
      <c r="K92" s="3"/>
      <c r="L92" s="3"/>
      <c r="M92" s="3"/>
      <c r="N92" s="3"/>
    </row>
    <row r="93" spans="2:14" x14ac:dyDescent="0.2">
      <c r="B93" s="3"/>
      <c r="C93" s="3"/>
      <c r="D93" s="3"/>
      <c r="E93" s="3"/>
      <c r="F93" s="3"/>
      <c r="G93" s="3"/>
      <c r="H93" s="3"/>
      <c r="I93" s="3"/>
      <c r="J93" s="3"/>
      <c r="K93" s="3"/>
      <c r="L93" s="3"/>
      <c r="M93" s="3"/>
      <c r="N93" s="3"/>
    </row>
    <row r="94" spans="2:14" x14ac:dyDescent="0.2">
      <c r="B94" s="3"/>
      <c r="C94" s="3"/>
      <c r="D94" s="3"/>
      <c r="E94" s="3"/>
      <c r="F94" s="3"/>
      <c r="G94" s="3"/>
      <c r="H94" s="3"/>
      <c r="I94" s="3"/>
      <c r="J94" s="3"/>
      <c r="K94" s="3"/>
      <c r="L94" s="3"/>
      <c r="M94" s="3"/>
      <c r="N94" s="3"/>
    </row>
    <row r="95" spans="2:14" x14ac:dyDescent="0.2">
      <c r="B95" s="3"/>
      <c r="C95" s="3"/>
      <c r="D95" s="3"/>
      <c r="E95" s="3"/>
      <c r="F95" s="3"/>
      <c r="G95" s="3"/>
      <c r="H95" s="3"/>
      <c r="I95" s="3"/>
      <c r="J95" s="3"/>
      <c r="K95" s="3"/>
      <c r="L95" s="3"/>
      <c r="M95" s="3"/>
      <c r="N95" s="3"/>
    </row>
    <row r="96" spans="2:14" x14ac:dyDescent="0.2">
      <c r="B96" s="3"/>
      <c r="C96" s="3"/>
      <c r="D96" s="3"/>
      <c r="E96" s="3"/>
      <c r="F96" s="3"/>
      <c r="G96" s="3"/>
      <c r="H96" s="3"/>
      <c r="I96" s="3"/>
      <c r="J96" s="3"/>
      <c r="K96" s="3"/>
      <c r="L96" s="3"/>
      <c r="M96" s="3"/>
      <c r="N96" s="3"/>
    </row>
    <row r="97" spans="2:14" x14ac:dyDescent="0.2">
      <c r="B97" s="3"/>
      <c r="C97" s="3"/>
      <c r="D97" s="3"/>
      <c r="E97" s="3"/>
      <c r="F97" s="3"/>
      <c r="G97" s="3"/>
      <c r="H97" s="3"/>
      <c r="I97" s="3"/>
      <c r="J97" s="3"/>
      <c r="K97" s="3"/>
      <c r="L97" s="3"/>
      <c r="M97" s="3"/>
      <c r="N97" s="3"/>
    </row>
    <row r="98" spans="2:14" x14ac:dyDescent="0.2">
      <c r="B98" s="3"/>
      <c r="C98" s="3"/>
      <c r="D98" s="3"/>
      <c r="E98" s="3"/>
      <c r="F98" s="3"/>
      <c r="G98" s="3"/>
      <c r="H98" s="3"/>
      <c r="I98" s="3"/>
      <c r="J98" s="3"/>
      <c r="K98" s="3"/>
      <c r="L98" s="3"/>
      <c r="M98" s="3"/>
      <c r="N98" s="3"/>
    </row>
    <row r="99" spans="2:14" x14ac:dyDescent="0.2">
      <c r="B99" s="3"/>
      <c r="C99" s="3"/>
      <c r="D99" s="3"/>
      <c r="E99" s="3"/>
      <c r="F99" s="3"/>
      <c r="G99" s="3"/>
      <c r="H99" s="3"/>
      <c r="I99" s="3"/>
      <c r="J99" s="3"/>
      <c r="K99" s="3"/>
      <c r="L99" s="3"/>
      <c r="M99" s="3"/>
      <c r="N99" s="3"/>
    </row>
    <row r="100" spans="2:14" x14ac:dyDescent="0.2">
      <c r="B100" s="3"/>
      <c r="C100" s="3"/>
      <c r="D100" s="3"/>
      <c r="E100" s="3"/>
      <c r="F100" s="3"/>
      <c r="G100" s="3"/>
      <c r="H100" s="3"/>
      <c r="I100" s="3"/>
      <c r="J100" s="3"/>
      <c r="K100" s="3"/>
      <c r="L100" s="3"/>
      <c r="M100" s="3"/>
      <c r="N100" s="3"/>
    </row>
    <row r="101" spans="2:14" x14ac:dyDescent="0.2">
      <c r="B101" s="3"/>
      <c r="C101" s="3"/>
      <c r="D101" s="3"/>
      <c r="E101" s="3"/>
      <c r="F101" s="3"/>
      <c r="G101" s="3"/>
      <c r="H101" s="3"/>
      <c r="I101" s="3"/>
      <c r="J101" s="3"/>
      <c r="K101" s="3"/>
      <c r="L101" s="3"/>
      <c r="M101" s="3"/>
      <c r="N101" s="3"/>
    </row>
    <row r="102" spans="2:14" x14ac:dyDescent="0.2">
      <c r="B102" s="3"/>
      <c r="C102" s="3"/>
      <c r="D102" s="3"/>
      <c r="E102" s="3"/>
      <c r="F102" s="3"/>
      <c r="G102" s="3"/>
      <c r="H102" s="3"/>
      <c r="I102" s="3"/>
      <c r="J102" s="3"/>
      <c r="K102" s="3"/>
      <c r="L102" s="3"/>
      <c r="M102" s="3"/>
      <c r="N102" s="3"/>
    </row>
    <row r="103" spans="2:14" x14ac:dyDescent="0.2">
      <c r="B103" s="3"/>
      <c r="C103" s="3"/>
      <c r="D103" s="3"/>
      <c r="E103" s="3"/>
      <c r="F103" s="3"/>
      <c r="G103" s="3"/>
      <c r="H103" s="3"/>
      <c r="I103" s="3"/>
      <c r="J103" s="3"/>
      <c r="K103" s="3"/>
      <c r="L103" s="3"/>
      <c r="M103" s="3"/>
      <c r="N103" s="3"/>
    </row>
    <row r="104" spans="2:14" x14ac:dyDescent="0.2">
      <c r="B104" s="3"/>
      <c r="C104" s="3"/>
      <c r="D104" s="3"/>
      <c r="E104" s="3"/>
      <c r="F104" s="3"/>
      <c r="G104" s="3"/>
      <c r="H104" s="3"/>
      <c r="I104" s="3"/>
      <c r="J104" s="3"/>
      <c r="K104" s="3"/>
      <c r="L104" s="3"/>
      <c r="M104" s="3"/>
      <c r="N104" s="3"/>
    </row>
    <row r="105" spans="2:14" x14ac:dyDescent="0.2">
      <c r="B105" s="3"/>
      <c r="C105" s="3"/>
      <c r="D105" s="3"/>
      <c r="E105" s="3"/>
      <c r="F105" s="3"/>
      <c r="G105" s="3"/>
      <c r="H105" s="3"/>
      <c r="I105" s="3"/>
      <c r="J105" s="3"/>
      <c r="K105" s="3"/>
      <c r="L105" s="3"/>
      <c r="M105" s="3"/>
      <c r="N105" s="3"/>
    </row>
    <row r="106" spans="2:14" x14ac:dyDescent="0.2">
      <c r="B106" s="3"/>
      <c r="C106" s="3"/>
      <c r="D106" s="3"/>
      <c r="E106" s="3"/>
      <c r="F106" s="3"/>
      <c r="G106" s="3"/>
      <c r="H106" s="3"/>
      <c r="I106" s="3"/>
      <c r="J106" s="3"/>
      <c r="K106" s="3"/>
      <c r="L106" s="3"/>
      <c r="M106" s="3"/>
      <c r="N106" s="3"/>
    </row>
    <row r="107" spans="2:14" x14ac:dyDescent="0.2">
      <c r="B107" s="3"/>
      <c r="C107" s="3"/>
      <c r="D107" s="3"/>
      <c r="E107" s="3"/>
      <c r="F107" s="3"/>
      <c r="G107" s="3"/>
      <c r="H107" s="3"/>
      <c r="I107" s="3"/>
      <c r="J107" s="3"/>
      <c r="K107" s="3"/>
      <c r="L107" s="3"/>
      <c r="M107" s="3"/>
      <c r="N107" s="3"/>
    </row>
    <row r="108" spans="2:14" x14ac:dyDescent="0.2">
      <c r="B108" s="3"/>
      <c r="C108" s="3"/>
      <c r="D108" s="3"/>
      <c r="E108" s="3"/>
      <c r="F108" s="3"/>
      <c r="G108" s="3"/>
      <c r="H108" s="3"/>
      <c r="I108" s="3"/>
      <c r="J108" s="3"/>
      <c r="K108" s="3"/>
      <c r="L108" s="3"/>
      <c r="M108" s="3"/>
      <c r="N108" s="3"/>
    </row>
    <row r="109" spans="2:14" x14ac:dyDescent="0.2">
      <c r="B109" s="3"/>
      <c r="C109" s="3"/>
      <c r="D109" s="3"/>
      <c r="E109" s="3"/>
      <c r="F109" s="3"/>
      <c r="G109" s="3"/>
      <c r="H109" s="3"/>
      <c r="I109" s="3"/>
      <c r="J109" s="3"/>
      <c r="K109" s="3"/>
      <c r="L109" s="3"/>
      <c r="M109" s="3"/>
      <c r="N109" s="3"/>
    </row>
    <row r="110" spans="2:14" x14ac:dyDescent="0.2">
      <c r="B110" s="3"/>
      <c r="C110" s="3"/>
      <c r="D110" s="3"/>
      <c r="E110" s="3"/>
      <c r="F110" s="3"/>
      <c r="G110" s="3"/>
      <c r="H110" s="3"/>
      <c r="I110" s="3"/>
      <c r="J110" s="3"/>
      <c r="K110" s="3"/>
      <c r="L110" s="3"/>
      <c r="M110" s="3"/>
      <c r="N110" s="3"/>
    </row>
    <row r="111" spans="2:14" x14ac:dyDescent="0.2">
      <c r="B111" s="3"/>
      <c r="C111" s="3"/>
      <c r="D111" s="3"/>
      <c r="E111" s="3"/>
      <c r="F111" s="3"/>
      <c r="G111" s="3"/>
      <c r="H111" s="3"/>
      <c r="I111" s="3"/>
      <c r="J111" s="3"/>
      <c r="K111" s="3"/>
      <c r="L111" s="3"/>
      <c r="M111" s="3"/>
      <c r="N111" s="3"/>
    </row>
    <row r="112" spans="2:14" x14ac:dyDescent="0.2">
      <c r="B112" s="3"/>
      <c r="C112" s="3"/>
      <c r="D112" s="3"/>
      <c r="E112" s="3"/>
      <c r="F112" s="3"/>
      <c r="G112" s="3"/>
      <c r="H112" s="3"/>
      <c r="I112" s="3"/>
      <c r="J112" s="3"/>
      <c r="K112" s="3"/>
      <c r="L112" s="3"/>
      <c r="M112" s="3"/>
      <c r="N112" s="3"/>
    </row>
    <row r="113" spans="2:14" x14ac:dyDescent="0.2">
      <c r="B113" s="3"/>
      <c r="C113" s="3"/>
      <c r="D113" s="3"/>
      <c r="E113" s="3"/>
      <c r="F113" s="3"/>
      <c r="G113" s="3"/>
      <c r="H113" s="3"/>
      <c r="I113" s="3"/>
      <c r="J113" s="3"/>
      <c r="K113" s="3"/>
      <c r="L113" s="3"/>
      <c r="M113" s="3"/>
      <c r="N113" s="3"/>
    </row>
    <row r="114" spans="2:14" x14ac:dyDescent="0.2">
      <c r="B114" s="3"/>
      <c r="C114" s="3"/>
      <c r="D114" s="3"/>
      <c r="E114" s="3"/>
      <c r="F114" s="3"/>
      <c r="G114" s="3"/>
      <c r="H114" s="3"/>
      <c r="I114" s="3"/>
      <c r="J114" s="3"/>
      <c r="K114" s="3"/>
      <c r="L114" s="3"/>
      <c r="M114" s="3"/>
      <c r="N114" s="3"/>
    </row>
    <row r="115" spans="2:14" x14ac:dyDescent="0.2">
      <c r="B115" s="3"/>
      <c r="C115" s="3"/>
      <c r="D115" s="3"/>
      <c r="E115" s="3"/>
      <c r="F115" s="3"/>
      <c r="G115" s="3"/>
      <c r="H115" s="3"/>
      <c r="I115" s="3"/>
      <c r="J115" s="3"/>
      <c r="K115" s="3"/>
      <c r="L115" s="3"/>
      <c r="M115" s="3"/>
      <c r="N115" s="3"/>
    </row>
    <row r="116" spans="2:14" x14ac:dyDescent="0.2">
      <c r="B116" s="3"/>
      <c r="C116" s="3"/>
      <c r="D116" s="3"/>
      <c r="E116" s="3"/>
      <c r="F116" s="3"/>
      <c r="G116" s="3"/>
      <c r="H116" s="3"/>
      <c r="I116" s="3"/>
      <c r="J116" s="3"/>
      <c r="K116" s="3"/>
      <c r="L116" s="3"/>
      <c r="M116" s="3"/>
      <c r="N116" s="3"/>
    </row>
    <row r="117" spans="2:14" x14ac:dyDescent="0.2">
      <c r="B117" s="3"/>
      <c r="C117" s="3"/>
      <c r="D117" s="3"/>
      <c r="E117" s="3"/>
      <c r="F117" s="3"/>
      <c r="G117" s="3"/>
      <c r="H117" s="3"/>
      <c r="I117" s="3"/>
      <c r="J117" s="3"/>
      <c r="K117" s="3"/>
      <c r="L117" s="3"/>
      <c r="M117" s="3"/>
      <c r="N117" s="3"/>
    </row>
    <row r="118" spans="2:14" x14ac:dyDescent="0.2">
      <c r="B118" s="3"/>
      <c r="C118" s="3"/>
      <c r="D118" s="3"/>
      <c r="E118" s="3"/>
      <c r="F118" s="3"/>
      <c r="G118" s="3"/>
      <c r="H118" s="3"/>
      <c r="I118" s="3"/>
      <c r="J118" s="3"/>
      <c r="K118" s="3"/>
      <c r="L118" s="3"/>
      <c r="M118" s="3"/>
      <c r="N118" s="3"/>
    </row>
    <row r="119" spans="2:14" x14ac:dyDescent="0.2">
      <c r="B119" s="3"/>
      <c r="C119" s="3"/>
      <c r="D119" s="3"/>
      <c r="E119" s="3"/>
      <c r="F119" s="3"/>
      <c r="G119" s="3"/>
      <c r="H119" s="3"/>
      <c r="I119" s="3"/>
      <c r="J119" s="3"/>
      <c r="K119" s="3"/>
      <c r="L119" s="3"/>
      <c r="M119" s="3"/>
      <c r="N119" s="3"/>
    </row>
    <row r="120" spans="2:14" x14ac:dyDescent="0.2">
      <c r="B120" s="3"/>
      <c r="C120" s="3"/>
      <c r="D120" s="3"/>
      <c r="E120" s="3"/>
      <c r="F120" s="3"/>
      <c r="G120" s="3"/>
      <c r="H120" s="3"/>
      <c r="I120" s="3"/>
      <c r="J120" s="3"/>
      <c r="K120" s="3"/>
      <c r="L120" s="3"/>
      <c r="M120" s="3"/>
      <c r="N120" s="3"/>
    </row>
    <row r="121" spans="2:14" x14ac:dyDescent="0.2">
      <c r="B121" s="3"/>
      <c r="C121" s="3"/>
      <c r="D121" s="3"/>
      <c r="E121" s="3"/>
      <c r="F121" s="3"/>
      <c r="G121" s="3"/>
      <c r="H121" s="3"/>
      <c r="I121" s="3"/>
      <c r="J121" s="3"/>
      <c r="K121" s="3"/>
      <c r="L121" s="3"/>
      <c r="M121" s="3"/>
      <c r="N121" s="3"/>
    </row>
    <row r="122" spans="2:14" x14ac:dyDescent="0.2">
      <c r="B122" s="3"/>
      <c r="C122" s="3"/>
      <c r="D122" s="3"/>
      <c r="E122" s="3"/>
      <c r="F122" s="3"/>
      <c r="G122" s="3"/>
      <c r="H122" s="3"/>
      <c r="I122" s="3"/>
      <c r="J122" s="3"/>
      <c r="K122" s="3"/>
      <c r="L122" s="3"/>
      <c r="M122" s="3"/>
      <c r="N122" s="3"/>
    </row>
    <row r="123" spans="2:14" x14ac:dyDescent="0.2">
      <c r="B123" s="3"/>
      <c r="C123" s="3"/>
      <c r="D123" s="3"/>
      <c r="E123" s="3"/>
      <c r="F123" s="3"/>
      <c r="G123" s="3"/>
      <c r="H123" s="3"/>
      <c r="I123" s="3"/>
      <c r="J123" s="3"/>
      <c r="K123" s="3"/>
      <c r="L123" s="3"/>
      <c r="M123" s="3"/>
      <c r="N123" s="3"/>
    </row>
    <row r="124" spans="2:14" x14ac:dyDescent="0.2">
      <c r="B124" s="3"/>
      <c r="C124" s="3"/>
      <c r="D124" s="3"/>
      <c r="E124" s="3"/>
      <c r="F124" s="3"/>
      <c r="G124" s="3"/>
      <c r="H124" s="3"/>
      <c r="I124" s="3"/>
      <c r="J124" s="3"/>
      <c r="K124" s="3"/>
      <c r="L124" s="3"/>
      <c r="M124" s="3"/>
      <c r="N124" s="3"/>
    </row>
    <row r="125" spans="2:14" x14ac:dyDescent="0.2">
      <c r="B125" s="3"/>
      <c r="C125" s="3"/>
      <c r="D125" s="3"/>
      <c r="E125" s="3"/>
      <c r="F125" s="3"/>
      <c r="G125" s="3"/>
      <c r="H125" s="3"/>
      <c r="I125" s="3"/>
      <c r="J125" s="3"/>
      <c r="K125" s="3"/>
      <c r="L125" s="3"/>
      <c r="M125" s="3"/>
      <c r="N125" s="3"/>
    </row>
    <row r="126" spans="2:14" x14ac:dyDescent="0.2">
      <c r="B126" s="3"/>
      <c r="C126" s="3"/>
      <c r="D126" s="3"/>
      <c r="E126" s="3"/>
      <c r="F126" s="3"/>
      <c r="G126" s="3"/>
      <c r="H126" s="3"/>
      <c r="I126" s="3"/>
      <c r="J126" s="3"/>
      <c r="K126" s="3"/>
      <c r="L126" s="3"/>
      <c r="M126" s="3"/>
      <c r="N126" s="3"/>
    </row>
    <row r="127" spans="2:14" x14ac:dyDescent="0.2">
      <c r="B127" s="3"/>
      <c r="C127" s="3"/>
      <c r="D127" s="3"/>
      <c r="E127" s="3"/>
      <c r="F127" s="3"/>
      <c r="G127" s="3"/>
      <c r="H127" s="3"/>
      <c r="I127" s="3"/>
      <c r="J127" s="3"/>
      <c r="K127" s="3"/>
      <c r="L127" s="3"/>
      <c r="M127" s="3"/>
      <c r="N127" s="3"/>
    </row>
    <row r="128" spans="2:14" x14ac:dyDescent="0.2">
      <c r="B128" s="3"/>
      <c r="C128" s="3"/>
      <c r="D128" s="3"/>
      <c r="E128" s="3"/>
      <c r="F128" s="3"/>
      <c r="G128" s="3"/>
      <c r="H128" s="3"/>
      <c r="I128" s="3"/>
      <c r="J128" s="3"/>
      <c r="K128" s="3"/>
      <c r="L128" s="3"/>
      <c r="M128" s="3"/>
      <c r="N128" s="3"/>
    </row>
    <row r="129" spans="2:14" x14ac:dyDescent="0.2">
      <c r="B129" s="3"/>
      <c r="C129" s="3"/>
      <c r="D129" s="3"/>
      <c r="E129" s="3"/>
      <c r="F129" s="3"/>
      <c r="G129" s="3"/>
      <c r="H129" s="3"/>
      <c r="I129" s="3"/>
      <c r="J129" s="3"/>
      <c r="K129" s="3"/>
      <c r="L129" s="3"/>
      <c r="M129" s="3"/>
      <c r="N129" s="3"/>
    </row>
    <row r="130" spans="2:14" x14ac:dyDescent="0.2">
      <c r="B130" s="3"/>
      <c r="C130" s="3"/>
      <c r="D130" s="3"/>
      <c r="E130" s="3"/>
      <c r="F130" s="3"/>
      <c r="G130" s="3"/>
      <c r="H130" s="3"/>
      <c r="I130" s="3"/>
      <c r="J130" s="3"/>
      <c r="K130" s="3"/>
      <c r="L130" s="3"/>
      <c r="M130" s="3"/>
      <c r="N130" s="3"/>
    </row>
    <row r="131" spans="2:14" x14ac:dyDescent="0.2">
      <c r="B131" s="3"/>
      <c r="C131" s="3"/>
      <c r="D131" s="3"/>
      <c r="E131" s="3"/>
      <c r="F131" s="3"/>
      <c r="G131" s="3"/>
      <c r="H131" s="3"/>
      <c r="I131" s="3"/>
      <c r="J131" s="3"/>
      <c r="K131" s="3"/>
      <c r="L131" s="3"/>
      <c r="M131" s="3"/>
      <c r="N131" s="3"/>
    </row>
    <row r="132" spans="2:14" x14ac:dyDescent="0.2">
      <c r="B132" s="3"/>
      <c r="C132" s="3"/>
      <c r="D132" s="3"/>
      <c r="E132" s="3"/>
      <c r="F132" s="3"/>
      <c r="G132" s="3"/>
      <c r="H132" s="3"/>
      <c r="I132" s="3"/>
      <c r="J132" s="3"/>
      <c r="K132" s="3"/>
      <c r="L132" s="3"/>
      <c r="M132" s="3"/>
      <c r="N132" s="3"/>
    </row>
    <row r="133" spans="2:14" x14ac:dyDescent="0.2">
      <c r="B133" s="3"/>
      <c r="C133" s="3"/>
      <c r="D133" s="3"/>
      <c r="E133" s="3"/>
      <c r="F133" s="3"/>
      <c r="G133" s="3"/>
      <c r="H133" s="3"/>
      <c r="I133" s="3"/>
      <c r="J133" s="3"/>
      <c r="K133" s="3"/>
      <c r="L133" s="3"/>
      <c r="M133" s="3"/>
      <c r="N133" s="3"/>
    </row>
    <row r="134" spans="2:14" x14ac:dyDescent="0.2">
      <c r="B134" s="3"/>
      <c r="C134" s="3"/>
      <c r="D134" s="3"/>
      <c r="E134" s="3"/>
      <c r="F134" s="3"/>
      <c r="G134" s="3"/>
      <c r="H134" s="3"/>
      <c r="I134" s="3"/>
      <c r="J134" s="3"/>
      <c r="K134" s="3"/>
      <c r="L134" s="3"/>
      <c r="M134" s="3"/>
      <c r="N134" s="3"/>
    </row>
    <row r="135" spans="2:14" x14ac:dyDescent="0.2">
      <c r="B135" s="3"/>
      <c r="C135" s="3"/>
      <c r="D135" s="3"/>
      <c r="E135" s="3"/>
      <c r="F135" s="3"/>
      <c r="G135" s="3"/>
      <c r="H135" s="3"/>
      <c r="I135" s="3"/>
      <c r="J135" s="3"/>
      <c r="K135" s="3"/>
      <c r="L135" s="3"/>
      <c r="M135" s="3"/>
      <c r="N135" s="3"/>
    </row>
    <row r="136" spans="2:14" x14ac:dyDescent="0.2">
      <c r="B136" s="3"/>
      <c r="C136" s="3"/>
      <c r="D136" s="3"/>
      <c r="E136" s="3"/>
      <c r="F136" s="3"/>
      <c r="G136" s="3"/>
      <c r="H136" s="3"/>
      <c r="I136" s="3"/>
      <c r="J136" s="3"/>
      <c r="K136" s="3"/>
      <c r="L136" s="3"/>
      <c r="M136" s="3"/>
      <c r="N136" s="3"/>
    </row>
    <row r="137" spans="2:14" x14ac:dyDescent="0.2">
      <c r="B137" s="3"/>
      <c r="C137" s="3"/>
      <c r="D137" s="3"/>
      <c r="E137" s="3"/>
      <c r="F137" s="3"/>
      <c r="G137" s="3"/>
      <c r="H137" s="3"/>
      <c r="I137" s="3"/>
      <c r="J137" s="3"/>
      <c r="K137" s="3"/>
      <c r="L137" s="3"/>
      <c r="M137" s="3"/>
      <c r="N137" s="3"/>
    </row>
    <row r="138" spans="2:14" x14ac:dyDescent="0.2">
      <c r="B138" s="3"/>
      <c r="C138" s="3"/>
      <c r="D138" s="3"/>
      <c r="E138" s="3"/>
      <c r="F138" s="3"/>
      <c r="G138" s="3"/>
      <c r="H138" s="3"/>
      <c r="I138" s="3"/>
      <c r="J138" s="3"/>
      <c r="K138" s="3"/>
      <c r="L138" s="3"/>
      <c r="M138" s="3"/>
      <c r="N138" s="3"/>
    </row>
    <row r="139" spans="2:14" x14ac:dyDescent="0.2">
      <c r="B139" s="3"/>
      <c r="C139" s="3"/>
      <c r="D139" s="3"/>
      <c r="E139" s="3"/>
      <c r="F139" s="3"/>
      <c r="G139" s="3"/>
      <c r="H139" s="3"/>
      <c r="I139" s="3"/>
      <c r="J139" s="3"/>
      <c r="K139" s="3"/>
      <c r="L139" s="3"/>
      <c r="M139" s="3"/>
      <c r="N139" s="3"/>
    </row>
    <row r="140" spans="2:14" x14ac:dyDescent="0.2">
      <c r="B140" s="3"/>
      <c r="C140" s="3"/>
      <c r="D140" s="3"/>
      <c r="E140" s="3"/>
      <c r="F140" s="3"/>
      <c r="G140" s="3"/>
      <c r="H140" s="3"/>
      <c r="I140" s="3"/>
      <c r="J140" s="3"/>
      <c r="K140" s="3"/>
      <c r="L140" s="3"/>
      <c r="M140" s="3"/>
      <c r="N140" s="3"/>
    </row>
    <row r="141" spans="2:14" x14ac:dyDescent="0.2">
      <c r="B141" s="3"/>
      <c r="C141" s="3"/>
      <c r="D141" s="3"/>
      <c r="E141" s="3"/>
      <c r="F141" s="3"/>
      <c r="G141" s="3"/>
      <c r="H141" s="3"/>
      <c r="I141" s="3"/>
      <c r="J141" s="3"/>
      <c r="K141" s="3"/>
      <c r="L141" s="3"/>
      <c r="M141" s="3"/>
      <c r="N141" s="3"/>
    </row>
    <row r="142" spans="2:14" x14ac:dyDescent="0.2">
      <c r="B142" s="3"/>
      <c r="C142" s="3"/>
      <c r="D142" s="3"/>
      <c r="E142" s="3"/>
      <c r="F142" s="3"/>
      <c r="G142" s="3"/>
      <c r="H142" s="3"/>
      <c r="I142" s="3"/>
      <c r="J142" s="3"/>
      <c r="K142" s="3"/>
      <c r="L142" s="3"/>
      <c r="M142" s="3"/>
      <c r="N142" s="3"/>
    </row>
    <row r="143" spans="2:14" x14ac:dyDescent="0.2">
      <c r="B143" s="3"/>
      <c r="C143" s="3"/>
      <c r="D143" s="3"/>
      <c r="E143" s="3"/>
      <c r="F143" s="3"/>
      <c r="G143" s="3"/>
      <c r="H143" s="3"/>
      <c r="I143" s="3"/>
      <c r="J143" s="3"/>
      <c r="K143" s="3"/>
      <c r="L143" s="3"/>
      <c r="M143" s="3"/>
      <c r="N143" s="3"/>
    </row>
    <row r="144" spans="2:14" x14ac:dyDescent="0.2">
      <c r="B144" s="3"/>
      <c r="C144" s="3"/>
      <c r="D144" s="3"/>
      <c r="E144" s="3"/>
      <c r="F144" s="3"/>
      <c r="G144" s="3"/>
      <c r="H144" s="3"/>
      <c r="I144" s="3"/>
      <c r="J144" s="3"/>
      <c r="K144" s="3"/>
      <c r="L144" s="3"/>
      <c r="M144" s="3"/>
      <c r="N144" s="3"/>
    </row>
    <row r="145" spans="2:14" x14ac:dyDescent="0.2">
      <c r="B145" s="3"/>
      <c r="C145" s="3"/>
      <c r="D145" s="3"/>
      <c r="E145" s="3"/>
      <c r="F145" s="3"/>
      <c r="G145" s="3"/>
      <c r="H145" s="3"/>
      <c r="I145" s="3"/>
      <c r="J145" s="3"/>
      <c r="K145" s="3"/>
      <c r="L145" s="3"/>
      <c r="M145" s="3"/>
      <c r="N145" s="3"/>
    </row>
    <row r="146" spans="2:14" x14ac:dyDescent="0.2">
      <c r="B146" s="3"/>
      <c r="C146" s="3"/>
      <c r="D146" s="3"/>
      <c r="E146" s="3"/>
      <c r="F146" s="3"/>
      <c r="G146" s="3"/>
      <c r="H146" s="3"/>
      <c r="I146" s="3"/>
      <c r="J146" s="3"/>
      <c r="K146" s="3"/>
      <c r="L146" s="3"/>
      <c r="M146" s="3"/>
      <c r="N146" s="3"/>
    </row>
    <row r="147" spans="2:14" x14ac:dyDescent="0.2">
      <c r="B147" s="3"/>
      <c r="C147" s="3"/>
      <c r="D147" s="3"/>
      <c r="E147" s="3"/>
      <c r="F147" s="3"/>
      <c r="G147" s="3"/>
      <c r="H147" s="3"/>
      <c r="I147" s="3"/>
      <c r="J147" s="3"/>
      <c r="K147" s="3"/>
      <c r="L147" s="3"/>
      <c r="M147" s="3"/>
      <c r="N147" s="3"/>
    </row>
    <row r="148" spans="2:14" x14ac:dyDescent="0.2">
      <c r="B148" s="3"/>
      <c r="C148" s="3"/>
      <c r="D148" s="3"/>
      <c r="E148" s="3"/>
      <c r="F148" s="3"/>
      <c r="G148" s="3"/>
      <c r="H148" s="3"/>
      <c r="I148" s="3"/>
      <c r="J148" s="3"/>
      <c r="K148" s="3"/>
      <c r="L148" s="3"/>
      <c r="M148" s="3"/>
      <c r="N148" s="3"/>
    </row>
    <row r="149" spans="2:14" x14ac:dyDescent="0.2">
      <c r="B149" s="3"/>
      <c r="C149" s="3"/>
      <c r="D149" s="3"/>
      <c r="E149" s="3"/>
      <c r="F149" s="3"/>
      <c r="G149" s="3"/>
      <c r="H149" s="3"/>
      <c r="I149" s="3"/>
      <c r="J149" s="3"/>
      <c r="K149" s="3"/>
      <c r="L149" s="3"/>
      <c r="M149" s="3"/>
      <c r="N149" s="3"/>
    </row>
    <row r="150" spans="2:14" x14ac:dyDescent="0.2">
      <c r="B150" s="3"/>
      <c r="C150" s="3"/>
      <c r="D150" s="3"/>
      <c r="E150" s="3"/>
      <c r="F150" s="3"/>
      <c r="G150" s="3"/>
      <c r="H150" s="3"/>
      <c r="I150" s="3"/>
      <c r="J150" s="3"/>
      <c r="K150" s="3"/>
      <c r="L150" s="3"/>
      <c r="M150" s="3"/>
      <c r="N150" s="3"/>
    </row>
    <row r="151" spans="2:14" x14ac:dyDescent="0.2">
      <c r="B151" s="3"/>
      <c r="C151" s="3"/>
      <c r="D151" s="3"/>
      <c r="E151" s="3"/>
      <c r="F151" s="3"/>
      <c r="G151" s="3"/>
      <c r="H151" s="3"/>
      <c r="I151" s="3"/>
      <c r="J151" s="3"/>
      <c r="K151" s="3"/>
      <c r="L151" s="3"/>
      <c r="M151" s="3"/>
      <c r="N151" s="3"/>
    </row>
    <row r="152" spans="2:14" x14ac:dyDescent="0.2">
      <c r="B152" s="3"/>
      <c r="C152" s="3"/>
      <c r="D152" s="3"/>
      <c r="E152" s="3"/>
      <c r="F152" s="3"/>
      <c r="G152" s="3"/>
      <c r="H152" s="3"/>
      <c r="I152" s="3"/>
      <c r="J152" s="3"/>
      <c r="K152" s="3"/>
      <c r="L152" s="3"/>
      <c r="M152" s="3"/>
      <c r="N152" s="3"/>
    </row>
    <row r="153" spans="2:14" x14ac:dyDescent="0.2">
      <c r="B153" s="3"/>
      <c r="C153" s="3"/>
      <c r="D153" s="3"/>
      <c r="E153" s="3"/>
      <c r="F153" s="3"/>
      <c r="G153" s="3"/>
      <c r="H153" s="3"/>
      <c r="I153" s="3"/>
      <c r="J153" s="3"/>
      <c r="K153" s="3"/>
      <c r="L153" s="3"/>
      <c r="M153" s="3"/>
      <c r="N153" s="3"/>
    </row>
    <row r="154" spans="2:14" x14ac:dyDescent="0.2">
      <c r="B154" s="3"/>
      <c r="C154" s="3"/>
      <c r="D154" s="3"/>
      <c r="E154" s="3"/>
      <c r="F154" s="3"/>
      <c r="G154" s="3"/>
      <c r="H154" s="3"/>
      <c r="I154" s="3"/>
      <c r="J154" s="3"/>
      <c r="K154" s="3"/>
      <c r="L154" s="3"/>
      <c r="M154" s="3"/>
      <c r="N154" s="3"/>
    </row>
    <row r="155" spans="2:14" x14ac:dyDescent="0.2">
      <c r="B155" s="3"/>
      <c r="C155" s="3"/>
      <c r="D155" s="3"/>
      <c r="E155" s="3"/>
      <c r="F155" s="3"/>
      <c r="G155" s="3"/>
      <c r="H155" s="3"/>
      <c r="I155" s="3"/>
      <c r="J155" s="3"/>
      <c r="K155" s="3"/>
      <c r="L155" s="3"/>
      <c r="M155" s="3"/>
      <c r="N155" s="3"/>
    </row>
    <row r="156" spans="2:14" x14ac:dyDescent="0.2">
      <c r="B156" s="3"/>
      <c r="C156" s="3"/>
      <c r="D156" s="3"/>
      <c r="E156" s="3"/>
      <c r="F156" s="3"/>
      <c r="G156" s="3"/>
      <c r="H156" s="3"/>
      <c r="I156" s="3"/>
      <c r="J156" s="3"/>
      <c r="K156" s="3"/>
      <c r="L156" s="3"/>
      <c r="M156" s="3"/>
      <c r="N156" s="3"/>
    </row>
    <row r="157" spans="2:14" x14ac:dyDescent="0.2">
      <c r="B157" s="3"/>
      <c r="C157" s="3"/>
      <c r="D157" s="3"/>
      <c r="E157" s="3"/>
      <c r="F157" s="3"/>
      <c r="G157" s="3"/>
      <c r="H157" s="3"/>
      <c r="I157" s="3"/>
      <c r="J157" s="3"/>
      <c r="K157" s="3"/>
      <c r="L157" s="3"/>
      <c r="M157" s="3"/>
      <c r="N157" s="3"/>
    </row>
    <row r="158" spans="2:14" x14ac:dyDescent="0.2">
      <c r="B158" s="3"/>
      <c r="C158" s="3"/>
      <c r="D158" s="3"/>
      <c r="E158" s="3"/>
      <c r="F158" s="3"/>
      <c r="G158" s="3"/>
      <c r="H158" s="3"/>
      <c r="I158" s="3"/>
      <c r="J158" s="3"/>
      <c r="K158" s="3"/>
      <c r="L158" s="3"/>
      <c r="M158" s="3"/>
      <c r="N158" s="3"/>
    </row>
    <row r="159" spans="2:14" x14ac:dyDescent="0.2">
      <c r="B159" s="3"/>
      <c r="C159" s="3"/>
      <c r="D159" s="3"/>
      <c r="E159" s="3"/>
      <c r="F159" s="3"/>
      <c r="G159" s="3"/>
      <c r="H159" s="3"/>
      <c r="I159" s="3"/>
      <c r="J159" s="3"/>
      <c r="K159" s="3"/>
      <c r="L159" s="3"/>
      <c r="M159" s="3"/>
      <c r="N159" s="3"/>
    </row>
    <row r="160" spans="2:14" x14ac:dyDescent="0.2">
      <c r="B160" s="3"/>
      <c r="C160" s="3"/>
      <c r="D160" s="3"/>
      <c r="E160" s="3"/>
      <c r="F160" s="3"/>
      <c r="G160" s="3"/>
      <c r="H160" s="3"/>
      <c r="I160" s="3"/>
      <c r="J160" s="3"/>
      <c r="K160" s="3"/>
      <c r="L160" s="3"/>
      <c r="M160" s="3"/>
      <c r="N160" s="3"/>
    </row>
    <row r="161" spans="2:14" x14ac:dyDescent="0.2">
      <c r="B161" s="3"/>
      <c r="C161" s="3"/>
      <c r="D161" s="3"/>
      <c r="E161" s="3"/>
      <c r="F161" s="3"/>
      <c r="G161" s="3"/>
      <c r="H161" s="3"/>
      <c r="I161" s="3"/>
      <c r="J161" s="3"/>
      <c r="K161" s="3"/>
      <c r="L161" s="3"/>
      <c r="M161" s="3"/>
      <c r="N161" s="3"/>
    </row>
    <row r="162" spans="2:14" x14ac:dyDescent="0.2">
      <c r="B162" s="3"/>
      <c r="C162" s="3"/>
      <c r="D162" s="3"/>
      <c r="E162" s="3"/>
      <c r="F162" s="3"/>
      <c r="G162" s="3"/>
      <c r="H162" s="3"/>
      <c r="I162" s="3"/>
      <c r="J162" s="3"/>
      <c r="K162" s="3"/>
      <c r="L162" s="3"/>
      <c r="M162" s="3"/>
      <c r="N162" s="3"/>
    </row>
    <row r="163" spans="2:14" x14ac:dyDescent="0.2">
      <c r="B163" s="3"/>
      <c r="C163" s="3"/>
      <c r="D163" s="3"/>
      <c r="E163" s="3"/>
      <c r="F163" s="3"/>
      <c r="G163" s="3"/>
      <c r="H163" s="3"/>
      <c r="I163" s="3"/>
      <c r="J163" s="3"/>
      <c r="K163" s="3"/>
      <c r="L163" s="3"/>
      <c r="M163" s="3"/>
      <c r="N163" s="3"/>
    </row>
    <row r="164" spans="2:14" x14ac:dyDescent="0.2">
      <c r="B164" s="3"/>
      <c r="C164" s="3"/>
      <c r="D164" s="3"/>
      <c r="E164" s="3"/>
      <c r="F164" s="3"/>
      <c r="G164" s="3"/>
      <c r="H164" s="3"/>
      <c r="I164" s="3"/>
      <c r="J164" s="3"/>
      <c r="K164" s="3"/>
      <c r="L164" s="3"/>
      <c r="M164" s="3"/>
      <c r="N164" s="3"/>
    </row>
    <row r="165" spans="2:14" x14ac:dyDescent="0.2">
      <c r="B165" s="3"/>
      <c r="C165" s="3"/>
      <c r="D165" s="3"/>
      <c r="E165" s="3"/>
      <c r="F165" s="3"/>
      <c r="G165" s="3"/>
      <c r="H165" s="3"/>
      <c r="I165" s="3"/>
      <c r="J165" s="3"/>
      <c r="K165" s="3"/>
      <c r="L165" s="3"/>
      <c r="M165" s="3"/>
      <c r="N165" s="3"/>
    </row>
    <row r="166" spans="2:14" x14ac:dyDescent="0.2">
      <c r="B166" s="3"/>
      <c r="C166" s="3"/>
      <c r="D166" s="3"/>
      <c r="E166" s="3"/>
      <c r="F166" s="3"/>
      <c r="G166" s="3"/>
      <c r="H166" s="3"/>
      <c r="I166" s="3"/>
      <c r="J166" s="3"/>
      <c r="K166" s="3"/>
      <c r="L166" s="3"/>
      <c r="M166" s="3"/>
      <c r="N166" s="3"/>
    </row>
    <row r="167" spans="2:14" x14ac:dyDescent="0.2">
      <c r="B167" s="3"/>
      <c r="C167" s="3"/>
      <c r="D167" s="3"/>
      <c r="E167" s="3"/>
      <c r="F167" s="3"/>
      <c r="G167" s="3"/>
      <c r="H167" s="3"/>
      <c r="I167" s="3"/>
      <c r="J167" s="3"/>
      <c r="K167" s="3"/>
      <c r="L167" s="3"/>
      <c r="M167" s="3"/>
      <c r="N167" s="3"/>
    </row>
    <row r="168" spans="2:14" x14ac:dyDescent="0.2">
      <c r="B168" s="3"/>
      <c r="C168" s="3"/>
      <c r="D168" s="3"/>
      <c r="E168" s="3"/>
      <c r="F168" s="3"/>
      <c r="G168" s="3"/>
      <c r="H168" s="3"/>
      <c r="I168" s="3"/>
      <c r="J168" s="3"/>
      <c r="K168" s="3"/>
      <c r="L168" s="3"/>
      <c r="M168" s="3"/>
      <c r="N168" s="3"/>
    </row>
    <row r="169" spans="2:14" x14ac:dyDescent="0.2">
      <c r="B169" s="3"/>
      <c r="C169" s="3"/>
      <c r="D169" s="3"/>
      <c r="E169" s="3"/>
      <c r="F169" s="3"/>
      <c r="G169" s="3"/>
      <c r="H169" s="3"/>
      <c r="I169" s="3"/>
      <c r="J169" s="3"/>
      <c r="K169" s="3"/>
      <c r="L169" s="3"/>
      <c r="M169" s="3"/>
      <c r="N169" s="3"/>
    </row>
    <row r="170" spans="2:14" x14ac:dyDescent="0.2">
      <c r="B170" s="3"/>
      <c r="C170" s="3"/>
      <c r="D170" s="3"/>
      <c r="E170" s="3"/>
      <c r="F170" s="3"/>
      <c r="G170" s="3"/>
      <c r="H170" s="3"/>
      <c r="I170" s="3"/>
      <c r="J170" s="3"/>
      <c r="K170" s="3"/>
      <c r="L170" s="3"/>
      <c r="M170" s="3"/>
      <c r="N170" s="3"/>
    </row>
    <row r="171" spans="2:14" x14ac:dyDescent="0.2">
      <c r="B171" s="3"/>
      <c r="C171" s="3"/>
      <c r="D171" s="3"/>
      <c r="E171" s="3"/>
      <c r="F171" s="3"/>
      <c r="G171" s="3"/>
      <c r="H171" s="3"/>
      <c r="I171" s="3"/>
      <c r="J171" s="3"/>
      <c r="K171" s="3"/>
      <c r="L171" s="3"/>
      <c r="M171" s="3"/>
      <c r="N171" s="3"/>
    </row>
    <row r="172" spans="2:14" x14ac:dyDescent="0.2">
      <c r="B172" s="3"/>
      <c r="C172" s="3"/>
      <c r="D172" s="3"/>
      <c r="E172" s="3"/>
      <c r="F172" s="3"/>
      <c r="G172" s="3"/>
      <c r="H172" s="3"/>
      <c r="I172" s="3"/>
      <c r="J172" s="3"/>
      <c r="K172" s="3"/>
      <c r="L172" s="3"/>
      <c r="M172" s="3"/>
      <c r="N172" s="3"/>
    </row>
    <row r="173" spans="2:14" x14ac:dyDescent="0.2">
      <c r="B173" s="3"/>
      <c r="C173" s="3"/>
      <c r="D173" s="3"/>
      <c r="E173" s="3"/>
      <c r="F173" s="3"/>
      <c r="G173" s="3"/>
      <c r="H173" s="3"/>
      <c r="I173" s="3"/>
      <c r="J173" s="3"/>
      <c r="K173" s="3"/>
      <c r="L173" s="3"/>
      <c r="M173" s="3"/>
      <c r="N173" s="3"/>
    </row>
    <row r="174" spans="2:14" x14ac:dyDescent="0.2">
      <c r="B174" s="3"/>
      <c r="C174" s="3"/>
      <c r="D174" s="3"/>
      <c r="E174" s="3"/>
      <c r="F174" s="3"/>
      <c r="G174" s="3"/>
      <c r="H174" s="3"/>
      <c r="I174" s="3"/>
      <c r="J174" s="3"/>
      <c r="K174" s="3"/>
      <c r="L174" s="3"/>
      <c r="M174" s="3"/>
      <c r="N174" s="3"/>
    </row>
    <row r="175" spans="2:14" x14ac:dyDescent="0.2">
      <c r="B175" s="3"/>
      <c r="C175" s="3"/>
      <c r="D175" s="3"/>
      <c r="E175" s="3"/>
      <c r="F175" s="3"/>
      <c r="G175" s="3"/>
      <c r="H175" s="3"/>
      <c r="I175" s="3"/>
      <c r="J175" s="3"/>
      <c r="K175" s="3"/>
      <c r="L175" s="3"/>
      <c r="M175" s="3"/>
      <c r="N175" s="3"/>
    </row>
    <row r="176" spans="2:14" x14ac:dyDescent="0.2">
      <c r="B176" s="3"/>
      <c r="C176" s="3"/>
      <c r="D176" s="3"/>
      <c r="E176" s="3"/>
      <c r="F176" s="3"/>
      <c r="G176" s="3"/>
      <c r="H176" s="3"/>
      <c r="I176" s="3"/>
      <c r="J176" s="3"/>
      <c r="K176" s="3"/>
      <c r="L176" s="3"/>
      <c r="M176" s="3"/>
      <c r="N176" s="3"/>
    </row>
    <row r="177" spans="2:14" x14ac:dyDescent="0.2">
      <c r="B177" s="3"/>
      <c r="C177" s="3"/>
      <c r="D177" s="3"/>
      <c r="E177" s="3"/>
      <c r="F177" s="3"/>
      <c r="G177" s="3"/>
      <c r="H177" s="3"/>
      <c r="I177" s="3"/>
      <c r="J177" s="3"/>
      <c r="K177" s="3"/>
      <c r="L177" s="3"/>
      <c r="M177" s="3"/>
      <c r="N177" s="3"/>
    </row>
    <row r="178" spans="2:14" x14ac:dyDescent="0.2">
      <c r="B178" s="3"/>
      <c r="C178" s="3"/>
      <c r="D178" s="3"/>
      <c r="E178" s="3"/>
      <c r="F178" s="3"/>
      <c r="G178" s="3"/>
      <c r="H178" s="3"/>
      <c r="I178" s="3"/>
      <c r="J178" s="3"/>
      <c r="K178" s="3"/>
      <c r="L178" s="3"/>
      <c r="M178" s="3"/>
      <c r="N178" s="3"/>
    </row>
    <row r="179" spans="2:14" x14ac:dyDescent="0.2">
      <c r="B179" s="3"/>
      <c r="C179" s="3"/>
      <c r="D179" s="3"/>
      <c r="E179" s="3"/>
      <c r="F179" s="3"/>
      <c r="G179" s="3"/>
      <c r="H179" s="3"/>
      <c r="I179" s="3"/>
      <c r="J179" s="3"/>
      <c r="K179" s="3"/>
      <c r="L179" s="3"/>
      <c r="M179" s="3"/>
      <c r="N179" s="3"/>
    </row>
    <row r="180" spans="2:14" x14ac:dyDescent="0.2">
      <c r="B180" s="3"/>
      <c r="C180" s="3"/>
      <c r="D180" s="3"/>
      <c r="E180" s="3"/>
      <c r="F180" s="3"/>
      <c r="G180" s="3"/>
      <c r="H180" s="3"/>
      <c r="I180" s="3"/>
      <c r="J180" s="3"/>
      <c r="K180" s="3"/>
      <c r="L180" s="3"/>
      <c r="M180" s="3"/>
      <c r="N180" s="3"/>
    </row>
    <row r="181" spans="2:14" x14ac:dyDescent="0.2">
      <c r="B181" s="3"/>
      <c r="C181" s="3"/>
      <c r="D181" s="3"/>
      <c r="E181" s="3"/>
      <c r="F181" s="3"/>
      <c r="G181" s="3"/>
      <c r="H181" s="3"/>
      <c r="I181" s="3"/>
      <c r="J181" s="3"/>
      <c r="K181" s="3"/>
      <c r="L181" s="3"/>
      <c r="M181" s="3"/>
      <c r="N181" s="3"/>
    </row>
    <row r="182" spans="2:14" x14ac:dyDescent="0.2">
      <c r="B182" s="3"/>
      <c r="C182" s="3"/>
      <c r="D182" s="3"/>
      <c r="E182" s="3"/>
      <c r="F182" s="3"/>
      <c r="G182" s="3"/>
      <c r="H182" s="3"/>
      <c r="I182" s="3"/>
      <c r="J182" s="3"/>
      <c r="K182" s="3"/>
      <c r="L182" s="3"/>
      <c r="M182" s="3"/>
      <c r="N182" s="3"/>
    </row>
    <row r="183" spans="2:14" x14ac:dyDescent="0.2">
      <c r="B183" s="3"/>
      <c r="C183" s="3"/>
      <c r="D183" s="3"/>
      <c r="E183" s="3"/>
      <c r="F183" s="3"/>
      <c r="G183" s="3"/>
      <c r="H183" s="3"/>
      <c r="I183" s="3"/>
      <c r="J183" s="3"/>
      <c r="K183" s="3"/>
      <c r="L183" s="3"/>
      <c r="M183" s="3"/>
      <c r="N183" s="3"/>
    </row>
    <row r="184" spans="2:14" x14ac:dyDescent="0.2">
      <c r="B184" s="3"/>
      <c r="C184" s="3"/>
      <c r="D184" s="3"/>
      <c r="E184" s="3"/>
      <c r="F184" s="3"/>
      <c r="G184" s="3"/>
      <c r="H184" s="3"/>
      <c r="I184" s="3"/>
      <c r="J184" s="3"/>
      <c r="K184" s="3"/>
      <c r="L184" s="3"/>
      <c r="M184" s="3"/>
      <c r="N184" s="3"/>
    </row>
    <row r="185" spans="2:14" x14ac:dyDescent="0.2">
      <c r="B185" s="3"/>
      <c r="C185" s="3"/>
      <c r="D185" s="3"/>
      <c r="E185" s="3"/>
      <c r="F185" s="3"/>
      <c r="G185" s="3"/>
      <c r="H185" s="3"/>
      <c r="I185" s="3"/>
      <c r="J185" s="3"/>
      <c r="K185" s="3"/>
      <c r="L185" s="3"/>
      <c r="M185" s="3"/>
      <c r="N185" s="3"/>
    </row>
    <row r="186" spans="2:14" x14ac:dyDescent="0.2">
      <c r="B186" s="3"/>
      <c r="C186" s="3"/>
      <c r="D186" s="3"/>
      <c r="E186" s="3"/>
      <c r="F186" s="3"/>
      <c r="G186" s="3"/>
      <c r="H186" s="3"/>
      <c r="I186" s="3"/>
      <c r="J186" s="3"/>
      <c r="K186" s="3"/>
      <c r="L186" s="3"/>
      <c r="M186" s="3"/>
      <c r="N186" s="3"/>
    </row>
    <row r="187" spans="2:14" x14ac:dyDescent="0.2">
      <c r="B187" s="3"/>
      <c r="C187" s="3"/>
      <c r="D187" s="3"/>
      <c r="E187" s="3"/>
      <c r="F187" s="3"/>
      <c r="G187" s="3"/>
      <c r="H187" s="3"/>
      <c r="I187" s="3"/>
      <c r="J187" s="3"/>
      <c r="K187" s="3"/>
      <c r="L187" s="3"/>
      <c r="M187" s="3"/>
      <c r="N187" s="3"/>
    </row>
    <row r="188" spans="2:14" x14ac:dyDescent="0.2">
      <c r="B188" s="3"/>
      <c r="C188" s="3"/>
      <c r="D188" s="3"/>
      <c r="E188" s="3"/>
      <c r="F188" s="3"/>
      <c r="G188" s="3"/>
      <c r="H188" s="3"/>
      <c r="I188" s="3"/>
      <c r="J188" s="3"/>
      <c r="K188" s="3"/>
      <c r="L188" s="3"/>
      <c r="M188" s="3"/>
      <c r="N188" s="3"/>
    </row>
    <row r="189" spans="2:14" x14ac:dyDescent="0.2">
      <c r="B189" s="3"/>
      <c r="C189" s="3"/>
      <c r="D189" s="3"/>
      <c r="E189" s="3"/>
      <c r="F189" s="3"/>
      <c r="G189" s="3"/>
      <c r="H189" s="3"/>
      <c r="I189" s="3"/>
      <c r="J189" s="3"/>
      <c r="K189" s="3"/>
      <c r="L189" s="3"/>
      <c r="M189" s="3"/>
      <c r="N189" s="3"/>
    </row>
    <row r="190" spans="2:14" x14ac:dyDescent="0.2">
      <c r="B190" s="3"/>
      <c r="C190" s="3"/>
      <c r="D190" s="3"/>
      <c r="E190" s="3"/>
      <c r="F190" s="3"/>
      <c r="G190" s="3"/>
      <c r="H190" s="3"/>
      <c r="I190" s="3"/>
      <c r="J190" s="3"/>
      <c r="K190" s="3"/>
      <c r="L190" s="3"/>
      <c r="M190" s="3"/>
      <c r="N190" s="3"/>
    </row>
    <row r="191" spans="2:14" x14ac:dyDescent="0.2">
      <c r="B191" s="3"/>
      <c r="C191" s="3"/>
      <c r="D191" s="3"/>
      <c r="E191" s="3"/>
      <c r="F191" s="3"/>
      <c r="G191" s="3"/>
      <c r="H191" s="3"/>
      <c r="I191" s="3"/>
      <c r="J191" s="3"/>
      <c r="K191" s="3"/>
      <c r="L191" s="3"/>
      <c r="M191" s="3"/>
      <c r="N191" s="3"/>
    </row>
    <row r="192" spans="2:14" x14ac:dyDescent="0.2">
      <c r="B192" s="3"/>
      <c r="C192" s="3"/>
      <c r="D192" s="3"/>
      <c r="E192" s="3"/>
      <c r="F192" s="3"/>
      <c r="G192" s="3"/>
      <c r="H192" s="3"/>
      <c r="I192" s="3"/>
      <c r="J192" s="3"/>
      <c r="K192" s="3"/>
      <c r="L192" s="3"/>
      <c r="M192" s="3"/>
      <c r="N192" s="3"/>
    </row>
    <row r="193" spans="2:14" x14ac:dyDescent="0.2">
      <c r="B193" s="3"/>
      <c r="C193" s="3"/>
      <c r="D193" s="3"/>
      <c r="E193" s="3"/>
      <c r="F193" s="3"/>
      <c r="G193" s="3"/>
      <c r="H193" s="3"/>
      <c r="I193" s="3"/>
      <c r="J193" s="3"/>
      <c r="K193" s="3"/>
      <c r="L193" s="3"/>
      <c r="M193" s="3"/>
      <c r="N193" s="3"/>
    </row>
    <row r="194" spans="2:14" x14ac:dyDescent="0.2">
      <c r="B194" s="3"/>
      <c r="C194" s="3"/>
      <c r="D194" s="3"/>
      <c r="E194" s="3"/>
      <c r="F194" s="3"/>
      <c r="G194" s="3"/>
      <c r="H194" s="3"/>
      <c r="I194" s="3"/>
      <c r="J194" s="3"/>
      <c r="K194" s="3"/>
      <c r="L194" s="3"/>
      <c r="M194" s="3"/>
      <c r="N194" s="3"/>
    </row>
    <row r="195" spans="2:14" x14ac:dyDescent="0.2">
      <c r="B195" s="3"/>
      <c r="C195" s="3"/>
      <c r="D195" s="3"/>
      <c r="E195" s="3"/>
      <c r="F195" s="3"/>
      <c r="G195" s="3"/>
      <c r="H195" s="3"/>
      <c r="I195" s="3"/>
      <c r="J195" s="3"/>
      <c r="K195" s="3"/>
      <c r="L195" s="3"/>
      <c r="M195" s="3"/>
      <c r="N195" s="3"/>
    </row>
    <row r="196" spans="2:14" x14ac:dyDescent="0.2">
      <c r="B196" s="3"/>
      <c r="C196" s="3"/>
      <c r="D196" s="3"/>
      <c r="E196" s="3"/>
      <c r="F196" s="3"/>
      <c r="G196" s="3"/>
      <c r="H196" s="3"/>
      <c r="I196" s="3"/>
      <c r="J196" s="3"/>
      <c r="K196" s="3"/>
      <c r="L196" s="3"/>
      <c r="M196" s="3"/>
      <c r="N196" s="3"/>
    </row>
    <row r="197" spans="2:14" x14ac:dyDescent="0.2">
      <c r="B197" s="3"/>
      <c r="C197" s="3"/>
      <c r="D197" s="3"/>
      <c r="E197" s="3"/>
      <c r="F197" s="3"/>
      <c r="G197" s="3"/>
      <c r="H197" s="3"/>
      <c r="I197" s="3"/>
      <c r="J197" s="3"/>
      <c r="K197" s="3"/>
      <c r="L197" s="3"/>
      <c r="M197" s="3"/>
      <c r="N197" s="3"/>
    </row>
    <row r="198" spans="2:14" x14ac:dyDescent="0.2">
      <c r="B198" s="3"/>
      <c r="C198" s="3"/>
      <c r="D198" s="3"/>
      <c r="E198" s="3"/>
      <c r="F198" s="3"/>
      <c r="G198" s="3"/>
      <c r="H198" s="3"/>
      <c r="I198" s="3"/>
      <c r="J198" s="3"/>
      <c r="K198" s="3"/>
      <c r="L198" s="3"/>
      <c r="M198" s="3"/>
      <c r="N198" s="3"/>
    </row>
    <row r="199" spans="2:14" x14ac:dyDescent="0.2">
      <c r="B199" s="3"/>
      <c r="C199" s="3"/>
      <c r="D199" s="3"/>
      <c r="E199" s="3"/>
      <c r="F199" s="3"/>
      <c r="G199" s="3"/>
      <c r="H199" s="3"/>
      <c r="I199" s="3"/>
      <c r="J199" s="3"/>
      <c r="K199" s="3"/>
      <c r="L199" s="3"/>
      <c r="M199" s="3"/>
      <c r="N199" s="3"/>
    </row>
    <row r="200" spans="2:14" x14ac:dyDescent="0.2">
      <c r="B200" s="3"/>
      <c r="C200" s="3"/>
      <c r="D200" s="3"/>
      <c r="E200" s="3"/>
      <c r="F200" s="3"/>
      <c r="G200" s="3"/>
      <c r="H200" s="3"/>
      <c r="I200" s="3"/>
      <c r="J200" s="3"/>
      <c r="K200" s="3"/>
      <c r="L200" s="3"/>
      <c r="M200" s="3"/>
      <c r="N200" s="3"/>
    </row>
    <row r="201" spans="2:14" x14ac:dyDescent="0.2">
      <c r="B201" s="3"/>
      <c r="C201" s="3"/>
      <c r="D201" s="3"/>
      <c r="E201" s="3"/>
      <c r="F201" s="3"/>
      <c r="G201" s="3"/>
      <c r="H201" s="3"/>
      <c r="I201" s="3"/>
      <c r="J201" s="3"/>
      <c r="K201" s="3"/>
      <c r="L201" s="3"/>
      <c r="M201" s="3"/>
      <c r="N201" s="3"/>
    </row>
    <row r="202" spans="2:14" x14ac:dyDescent="0.2">
      <c r="B202" s="3"/>
      <c r="C202" s="3"/>
      <c r="D202" s="3"/>
      <c r="E202" s="3"/>
      <c r="F202" s="3"/>
      <c r="G202" s="3"/>
      <c r="H202" s="3"/>
      <c r="I202" s="3"/>
      <c r="J202" s="3"/>
      <c r="K202" s="3"/>
      <c r="L202" s="3"/>
      <c r="M202" s="3"/>
      <c r="N202" s="3"/>
    </row>
    <row r="203" spans="2:14" x14ac:dyDescent="0.2">
      <c r="B203" s="3"/>
      <c r="C203" s="3"/>
      <c r="D203" s="3"/>
      <c r="E203" s="3"/>
      <c r="F203" s="3"/>
      <c r="G203" s="3"/>
      <c r="H203" s="3"/>
      <c r="I203" s="3"/>
      <c r="J203" s="3"/>
      <c r="K203" s="3"/>
      <c r="L203" s="3"/>
      <c r="M203" s="3"/>
      <c r="N203" s="3"/>
    </row>
    <row r="204" spans="2:14" x14ac:dyDescent="0.2">
      <c r="B204" s="3"/>
      <c r="C204" s="3"/>
      <c r="D204" s="3"/>
      <c r="E204" s="3"/>
      <c r="F204" s="3"/>
      <c r="G204" s="3"/>
      <c r="H204" s="3"/>
      <c r="I204" s="3"/>
      <c r="J204" s="3"/>
      <c r="K204" s="3"/>
      <c r="L204" s="3"/>
      <c r="M204" s="3"/>
      <c r="N204" s="3"/>
    </row>
    <row r="205" spans="2:14" x14ac:dyDescent="0.2">
      <c r="B205" s="3"/>
      <c r="C205" s="3"/>
      <c r="D205" s="3"/>
      <c r="E205" s="3"/>
      <c r="F205" s="3"/>
      <c r="G205" s="3"/>
      <c r="H205" s="3"/>
      <c r="I205" s="3"/>
      <c r="J205" s="3"/>
      <c r="K205" s="3"/>
      <c r="L205" s="3"/>
      <c r="M205" s="3"/>
      <c r="N205" s="3"/>
    </row>
    <row r="206" spans="2:14" x14ac:dyDescent="0.2">
      <c r="B206" s="3"/>
      <c r="C206" s="3"/>
      <c r="D206" s="3"/>
      <c r="E206" s="3"/>
      <c r="F206" s="3"/>
      <c r="G206" s="3"/>
      <c r="H206" s="3"/>
      <c r="I206" s="3"/>
      <c r="J206" s="3"/>
      <c r="K206" s="3"/>
      <c r="L206" s="3"/>
      <c r="M206" s="3"/>
      <c r="N206" s="3"/>
    </row>
    <row r="207" spans="2:14" x14ac:dyDescent="0.2">
      <c r="B207" s="3"/>
      <c r="C207" s="3"/>
      <c r="D207" s="3"/>
      <c r="E207" s="3"/>
      <c r="F207" s="3"/>
      <c r="G207" s="3"/>
      <c r="H207" s="3"/>
      <c r="I207" s="3"/>
      <c r="J207" s="3"/>
      <c r="K207" s="3"/>
      <c r="L207" s="3"/>
      <c r="M207" s="3"/>
      <c r="N207" s="3"/>
    </row>
    <row r="208" spans="2:14" x14ac:dyDescent="0.2">
      <c r="B208" s="3"/>
      <c r="C208" s="3"/>
      <c r="D208" s="3"/>
      <c r="E208" s="3"/>
      <c r="F208" s="3"/>
      <c r="G208" s="3"/>
      <c r="H208" s="3"/>
      <c r="I208" s="3"/>
      <c r="J208" s="3"/>
      <c r="K208" s="3"/>
      <c r="L208" s="3"/>
      <c r="M208" s="3"/>
      <c r="N208" s="3"/>
    </row>
    <row r="209" spans="2:14" x14ac:dyDescent="0.2">
      <c r="B209" s="3"/>
      <c r="C209" s="3"/>
      <c r="D209" s="3"/>
      <c r="E209" s="3"/>
      <c r="F209" s="3"/>
      <c r="G209" s="3"/>
      <c r="H209" s="3"/>
      <c r="I209" s="3"/>
      <c r="J209" s="3"/>
      <c r="K209" s="3"/>
      <c r="L209" s="3"/>
      <c r="M209" s="3"/>
      <c r="N209" s="3"/>
    </row>
    <row r="210" spans="2:14" x14ac:dyDescent="0.2">
      <c r="B210" s="3"/>
      <c r="C210" s="3"/>
      <c r="D210" s="3"/>
      <c r="E210" s="3"/>
      <c r="F210" s="3"/>
      <c r="G210" s="3"/>
      <c r="H210" s="3"/>
      <c r="I210" s="3"/>
      <c r="J210" s="3"/>
      <c r="K210" s="3"/>
      <c r="L210" s="3"/>
      <c r="M210" s="3"/>
      <c r="N210" s="3"/>
    </row>
    <row r="211" spans="2:14" x14ac:dyDescent="0.2">
      <c r="B211" s="3"/>
      <c r="C211" s="3"/>
      <c r="D211" s="3"/>
      <c r="E211" s="3"/>
      <c r="F211" s="3"/>
      <c r="G211" s="3"/>
      <c r="H211" s="3"/>
      <c r="I211" s="3"/>
      <c r="J211" s="3"/>
      <c r="K211" s="3"/>
      <c r="L211" s="3"/>
      <c r="M211" s="3"/>
      <c r="N211" s="3"/>
    </row>
    <row r="212" spans="2:14" x14ac:dyDescent="0.2">
      <c r="B212" s="3"/>
      <c r="C212" s="3"/>
      <c r="D212" s="3"/>
      <c r="E212" s="3"/>
      <c r="F212" s="3"/>
      <c r="G212" s="3"/>
      <c r="H212" s="3"/>
      <c r="I212" s="3"/>
      <c r="J212" s="3"/>
      <c r="K212" s="3"/>
      <c r="L212" s="3"/>
      <c r="M212" s="3"/>
      <c r="N212" s="3"/>
    </row>
    <row r="213" spans="2:14" x14ac:dyDescent="0.2">
      <c r="B213" s="3"/>
      <c r="C213" s="3"/>
      <c r="D213" s="3"/>
      <c r="E213" s="3"/>
      <c r="F213" s="3"/>
      <c r="G213" s="3"/>
      <c r="H213" s="3"/>
      <c r="I213" s="3"/>
      <c r="J213" s="3"/>
      <c r="K213" s="3"/>
      <c r="L213" s="3"/>
      <c r="M213" s="3"/>
      <c r="N213" s="3"/>
    </row>
    <row r="214" spans="2:14" x14ac:dyDescent="0.2">
      <c r="B214" s="3"/>
      <c r="C214" s="3"/>
      <c r="D214" s="3"/>
      <c r="E214" s="3"/>
      <c r="F214" s="3"/>
      <c r="G214" s="3"/>
      <c r="H214" s="3"/>
      <c r="I214" s="3"/>
      <c r="J214" s="3"/>
      <c r="K214" s="3"/>
      <c r="L214" s="3"/>
      <c r="M214" s="3"/>
      <c r="N214" s="3"/>
    </row>
    <row r="215" spans="2:14" x14ac:dyDescent="0.2">
      <c r="B215" s="3"/>
      <c r="C215" s="3"/>
      <c r="D215" s="3"/>
      <c r="E215" s="3"/>
      <c r="F215" s="3"/>
      <c r="G215" s="3"/>
      <c r="H215" s="3"/>
      <c r="I215" s="3"/>
      <c r="J215" s="3"/>
      <c r="K215" s="3"/>
      <c r="L215" s="3"/>
      <c r="M215" s="3"/>
      <c r="N215" s="3"/>
    </row>
    <row r="216" spans="2:14" x14ac:dyDescent="0.2">
      <c r="B216" s="3"/>
      <c r="C216" s="3"/>
      <c r="D216" s="3"/>
      <c r="E216" s="3"/>
      <c r="F216" s="3"/>
      <c r="G216" s="3"/>
      <c r="H216" s="3"/>
      <c r="I216" s="3"/>
      <c r="J216" s="3"/>
      <c r="K216" s="3"/>
      <c r="L216" s="3"/>
      <c r="M216" s="3"/>
      <c r="N216" s="3"/>
    </row>
    <row r="217" spans="2:14" x14ac:dyDescent="0.2">
      <c r="B217" s="3"/>
      <c r="C217" s="3"/>
      <c r="D217" s="3"/>
      <c r="E217" s="3"/>
      <c r="F217" s="3"/>
      <c r="G217" s="3"/>
      <c r="H217" s="3"/>
      <c r="I217" s="3"/>
      <c r="J217" s="3"/>
      <c r="K217" s="3"/>
      <c r="L217" s="3"/>
      <c r="M217" s="3"/>
      <c r="N217" s="3"/>
    </row>
    <row r="218" spans="2:14" x14ac:dyDescent="0.2">
      <c r="B218" s="3"/>
      <c r="C218" s="3"/>
      <c r="D218" s="3"/>
      <c r="E218" s="3"/>
      <c r="F218" s="3"/>
      <c r="G218" s="3"/>
      <c r="H218" s="3"/>
      <c r="I218" s="3"/>
      <c r="J218" s="3"/>
      <c r="K218" s="3"/>
      <c r="L218" s="3"/>
      <c r="M218" s="3"/>
      <c r="N218" s="3"/>
    </row>
    <row r="219" spans="2:14" x14ac:dyDescent="0.2">
      <c r="B219" s="3"/>
      <c r="C219" s="3"/>
      <c r="D219" s="3"/>
      <c r="E219" s="3"/>
      <c r="F219" s="3"/>
      <c r="G219" s="3"/>
      <c r="H219" s="3"/>
      <c r="I219" s="3"/>
      <c r="J219" s="3"/>
      <c r="K219" s="3"/>
      <c r="L219" s="3"/>
      <c r="M219" s="3"/>
      <c r="N219" s="3"/>
    </row>
    <row r="220" spans="2:14" x14ac:dyDescent="0.2">
      <c r="B220" s="3"/>
      <c r="C220" s="3"/>
      <c r="D220" s="3"/>
      <c r="E220" s="3"/>
      <c r="F220" s="3"/>
      <c r="G220" s="3"/>
      <c r="H220" s="3"/>
      <c r="I220" s="3"/>
      <c r="J220" s="3"/>
      <c r="K220" s="3"/>
      <c r="L220" s="3"/>
      <c r="M220" s="3"/>
      <c r="N220" s="3"/>
    </row>
    <row r="221" spans="2:14" x14ac:dyDescent="0.2">
      <c r="B221" s="3"/>
      <c r="C221" s="3"/>
      <c r="D221" s="3"/>
      <c r="E221" s="3"/>
      <c r="F221" s="3"/>
      <c r="G221" s="3"/>
      <c r="H221" s="3"/>
      <c r="I221" s="3"/>
      <c r="J221" s="3"/>
      <c r="K221" s="3"/>
      <c r="L221" s="3"/>
      <c r="M221" s="3"/>
      <c r="N221" s="3"/>
    </row>
    <row r="222" spans="2:14" x14ac:dyDescent="0.2">
      <c r="B222" s="3"/>
      <c r="C222" s="3"/>
      <c r="D222" s="3"/>
      <c r="E222" s="3"/>
      <c r="F222" s="3"/>
      <c r="G222" s="3"/>
      <c r="H222" s="3"/>
      <c r="I222" s="3"/>
      <c r="J222" s="3"/>
      <c r="K222" s="3"/>
      <c r="L222" s="3"/>
      <c r="M222" s="3"/>
      <c r="N222" s="3"/>
    </row>
    <row r="223" spans="2:14" x14ac:dyDescent="0.2">
      <c r="B223" s="3"/>
      <c r="C223" s="3"/>
      <c r="D223" s="3"/>
      <c r="E223" s="3"/>
      <c r="F223" s="3"/>
      <c r="G223" s="3"/>
      <c r="H223" s="3"/>
      <c r="I223" s="3"/>
      <c r="J223" s="3"/>
      <c r="K223" s="3"/>
      <c r="L223" s="3"/>
      <c r="M223" s="3"/>
      <c r="N223" s="3"/>
    </row>
    <row r="224" spans="2:14" x14ac:dyDescent="0.2">
      <c r="B224" s="3"/>
      <c r="C224" s="3"/>
      <c r="D224" s="3"/>
      <c r="E224" s="3"/>
      <c r="F224" s="3"/>
      <c r="G224" s="3"/>
      <c r="H224" s="3"/>
      <c r="I224" s="3"/>
      <c r="J224" s="3"/>
      <c r="K224" s="3"/>
      <c r="L224" s="3"/>
      <c r="M224" s="3"/>
      <c r="N224" s="3"/>
    </row>
    <row r="225" spans="2:14" x14ac:dyDescent="0.2">
      <c r="B225" s="3"/>
      <c r="C225" s="3"/>
      <c r="D225" s="3"/>
      <c r="E225" s="3"/>
      <c r="F225" s="3"/>
      <c r="G225" s="3"/>
      <c r="H225" s="3"/>
      <c r="I225" s="3"/>
      <c r="J225" s="3"/>
      <c r="K225" s="3"/>
      <c r="L225" s="3"/>
      <c r="M225" s="3"/>
      <c r="N225" s="3"/>
    </row>
    <row r="226" spans="2:14" x14ac:dyDescent="0.2">
      <c r="B226" s="3"/>
      <c r="C226" s="3"/>
      <c r="D226" s="3"/>
      <c r="E226" s="3"/>
      <c r="F226" s="3"/>
      <c r="G226" s="3"/>
      <c r="H226" s="3"/>
      <c r="I226" s="3"/>
      <c r="J226" s="3"/>
      <c r="K226" s="3"/>
      <c r="L226" s="3"/>
      <c r="M226" s="3"/>
      <c r="N226" s="3"/>
    </row>
    <row r="227" spans="2:14" x14ac:dyDescent="0.2">
      <c r="B227" s="3"/>
      <c r="C227" s="3"/>
      <c r="D227" s="3"/>
      <c r="E227" s="3"/>
      <c r="F227" s="3"/>
      <c r="G227" s="3"/>
      <c r="H227" s="3"/>
      <c r="I227" s="3"/>
      <c r="J227" s="3"/>
      <c r="K227" s="3"/>
      <c r="L227" s="3"/>
      <c r="M227" s="3"/>
      <c r="N227" s="3"/>
    </row>
    <row r="228" spans="2:14" x14ac:dyDescent="0.2">
      <c r="B228" s="3"/>
      <c r="C228" s="3"/>
      <c r="D228" s="3"/>
      <c r="E228" s="3"/>
      <c r="F228" s="3"/>
      <c r="G228" s="3"/>
      <c r="H228" s="3"/>
      <c r="I228" s="3"/>
      <c r="J228" s="3"/>
      <c r="K228" s="3"/>
      <c r="L228" s="3"/>
      <c r="M228" s="3"/>
      <c r="N228" s="3"/>
    </row>
    <row r="229" spans="2:14" x14ac:dyDescent="0.2">
      <c r="B229" s="3"/>
      <c r="C229" s="3"/>
      <c r="D229" s="3"/>
      <c r="E229" s="3"/>
      <c r="F229" s="3"/>
      <c r="G229" s="3"/>
      <c r="H229" s="3"/>
      <c r="I229" s="3"/>
      <c r="J229" s="3"/>
      <c r="K229" s="3"/>
      <c r="L229" s="3"/>
      <c r="M229" s="3"/>
      <c r="N229" s="3"/>
    </row>
    <row r="230" spans="2:14" x14ac:dyDescent="0.2">
      <c r="B230" s="3"/>
      <c r="C230" s="3"/>
      <c r="D230" s="3"/>
      <c r="E230" s="3"/>
      <c r="F230" s="3"/>
      <c r="G230" s="3"/>
      <c r="H230" s="3"/>
      <c r="I230" s="3"/>
      <c r="J230" s="3"/>
      <c r="K230" s="3"/>
      <c r="L230" s="3"/>
      <c r="M230" s="3"/>
      <c r="N230" s="3"/>
    </row>
    <row r="231" spans="2:14" x14ac:dyDescent="0.2">
      <c r="B231" s="3"/>
      <c r="C231" s="3"/>
      <c r="D231" s="3"/>
      <c r="E231" s="3"/>
      <c r="F231" s="3"/>
      <c r="G231" s="3"/>
      <c r="H231" s="3"/>
      <c r="I231" s="3"/>
      <c r="J231" s="3"/>
      <c r="K231" s="3"/>
      <c r="L231" s="3"/>
      <c r="M231" s="3"/>
      <c r="N231" s="3"/>
    </row>
    <row r="232" spans="2:14" x14ac:dyDescent="0.2">
      <c r="B232" s="3"/>
      <c r="C232" s="3"/>
      <c r="D232" s="3"/>
      <c r="E232" s="3"/>
      <c r="F232" s="3"/>
      <c r="G232" s="3"/>
      <c r="H232" s="3"/>
      <c r="I232" s="3"/>
      <c r="J232" s="3"/>
      <c r="K232" s="3"/>
      <c r="L232" s="3"/>
      <c r="M232" s="3"/>
      <c r="N232" s="3"/>
    </row>
    <row r="233" spans="2:14" x14ac:dyDescent="0.2">
      <c r="B233" s="3"/>
      <c r="C233" s="3"/>
      <c r="D233" s="3"/>
      <c r="E233" s="3"/>
      <c r="F233" s="3"/>
      <c r="G233" s="3"/>
      <c r="H233" s="3"/>
      <c r="I233" s="3"/>
      <c r="J233" s="3"/>
      <c r="K233" s="3"/>
      <c r="L233" s="3"/>
      <c r="M233" s="3"/>
      <c r="N233" s="3"/>
    </row>
    <row r="234" spans="2:14" x14ac:dyDescent="0.2">
      <c r="B234" s="3"/>
      <c r="C234" s="3"/>
      <c r="D234" s="3"/>
      <c r="E234" s="3"/>
      <c r="F234" s="3"/>
      <c r="G234" s="3"/>
      <c r="H234" s="3"/>
      <c r="I234" s="3"/>
      <c r="J234" s="3"/>
      <c r="K234" s="3"/>
      <c r="L234" s="3"/>
      <c r="M234" s="3"/>
      <c r="N234" s="3"/>
    </row>
    <row r="235" spans="2:14" x14ac:dyDescent="0.2">
      <c r="B235" s="3"/>
      <c r="C235" s="3"/>
      <c r="D235" s="3"/>
      <c r="E235" s="3"/>
      <c r="F235" s="3"/>
      <c r="G235" s="3"/>
      <c r="H235" s="3"/>
      <c r="I235" s="3"/>
      <c r="J235" s="3"/>
      <c r="K235" s="3"/>
      <c r="L235" s="3"/>
      <c r="M235" s="3"/>
      <c r="N235" s="3"/>
    </row>
    <row r="236" spans="2:14" x14ac:dyDescent="0.2">
      <c r="B236" s="3"/>
      <c r="C236" s="3"/>
      <c r="D236" s="3"/>
      <c r="E236" s="3"/>
      <c r="F236" s="3"/>
      <c r="G236" s="3"/>
      <c r="H236" s="3"/>
      <c r="I236" s="3"/>
      <c r="J236" s="3"/>
      <c r="K236" s="3"/>
      <c r="L236" s="3"/>
      <c r="M236" s="3"/>
      <c r="N236" s="3"/>
    </row>
    <row r="237" spans="2:14" x14ac:dyDescent="0.2">
      <c r="B237" s="3"/>
      <c r="C237" s="3"/>
      <c r="D237" s="3"/>
      <c r="E237" s="3"/>
      <c r="F237" s="3"/>
      <c r="G237" s="3"/>
      <c r="H237" s="3"/>
      <c r="I237" s="3"/>
      <c r="J237" s="3"/>
      <c r="K237" s="3"/>
      <c r="L237" s="3"/>
      <c r="M237" s="3"/>
      <c r="N237" s="3"/>
    </row>
    <row r="238" spans="2:14" x14ac:dyDescent="0.2">
      <c r="B238" s="3"/>
      <c r="C238" s="3"/>
      <c r="D238" s="3"/>
      <c r="E238" s="3"/>
      <c r="F238" s="3"/>
      <c r="G238" s="3"/>
      <c r="H238" s="3"/>
      <c r="I238" s="3"/>
      <c r="J238" s="3"/>
      <c r="K238" s="3"/>
      <c r="L238" s="3"/>
      <c r="M238" s="3"/>
      <c r="N238" s="3"/>
    </row>
    <row r="239" spans="2:14" x14ac:dyDescent="0.2">
      <c r="B239" s="3"/>
      <c r="C239" s="3"/>
      <c r="D239" s="3"/>
      <c r="E239" s="3"/>
      <c r="F239" s="3"/>
      <c r="G239" s="3"/>
      <c r="H239" s="3"/>
      <c r="I239" s="3"/>
      <c r="J239" s="3"/>
      <c r="K239" s="3"/>
      <c r="L239" s="3"/>
      <c r="M239" s="3"/>
      <c r="N239" s="3"/>
    </row>
    <row r="240" spans="2:14" x14ac:dyDescent="0.2">
      <c r="B240" s="3"/>
      <c r="C240" s="3"/>
      <c r="D240" s="3"/>
      <c r="E240" s="3"/>
      <c r="F240" s="3"/>
      <c r="G240" s="3"/>
      <c r="H240" s="3"/>
      <c r="I240" s="3"/>
      <c r="J240" s="3"/>
      <c r="K240" s="3"/>
      <c r="L240" s="3"/>
      <c r="M240" s="3"/>
      <c r="N240" s="3"/>
    </row>
    <row r="241" spans="2:14" x14ac:dyDescent="0.2">
      <c r="B241" s="3"/>
      <c r="C241" s="3"/>
      <c r="D241" s="3"/>
      <c r="E241" s="3"/>
      <c r="F241" s="3"/>
      <c r="G241" s="3"/>
      <c r="H241" s="3"/>
      <c r="I241" s="3"/>
      <c r="J241" s="3"/>
      <c r="K241" s="3"/>
      <c r="L241" s="3"/>
      <c r="M241" s="3"/>
      <c r="N241" s="3"/>
    </row>
    <row r="242" spans="2:14" x14ac:dyDescent="0.2">
      <c r="B242" s="3"/>
      <c r="C242" s="3"/>
      <c r="D242" s="3"/>
      <c r="E242" s="3"/>
      <c r="F242" s="3"/>
      <c r="G242" s="3"/>
      <c r="H242" s="3"/>
      <c r="I242" s="3"/>
      <c r="J242" s="3"/>
      <c r="K242" s="3"/>
      <c r="L242" s="3"/>
      <c r="M242" s="3"/>
      <c r="N242" s="3"/>
    </row>
    <row r="243" spans="2:14" x14ac:dyDescent="0.2">
      <c r="B243" s="3"/>
      <c r="C243" s="3"/>
      <c r="D243" s="3"/>
      <c r="E243" s="3"/>
      <c r="F243" s="3"/>
      <c r="G243" s="3"/>
      <c r="H243" s="3"/>
      <c r="I243" s="3"/>
      <c r="J243" s="3"/>
      <c r="K243" s="3"/>
      <c r="L243" s="3"/>
      <c r="M243" s="3"/>
      <c r="N243" s="3"/>
    </row>
    <row r="244" spans="2:14" x14ac:dyDescent="0.2">
      <c r="B244" s="3"/>
      <c r="C244" s="3"/>
      <c r="D244" s="3"/>
      <c r="E244" s="3"/>
      <c r="F244" s="3"/>
      <c r="G244" s="3"/>
      <c r="H244" s="3"/>
      <c r="I244" s="3"/>
      <c r="J244" s="3"/>
      <c r="K244" s="3"/>
      <c r="L244" s="3"/>
      <c r="M244" s="3"/>
      <c r="N244" s="3"/>
    </row>
    <row r="245" spans="2:14" x14ac:dyDescent="0.2">
      <c r="B245" s="3"/>
      <c r="C245" s="3"/>
      <c r="D245" s="3"/>
      <c r="E245" s="3"/>
      <c r="F245" s="3"/>
      <c r="G245" s="3"/>
      <c r="H245" s="3"/>
      <c r="I245" s="3"/>
      <c r="J245" s="3"/>
      <c r="K245" s="3"/>
      <c r="L245" s="3"/>
      <c r="M245" s="3"/>
      <c r="N245" s="3"/>
    </row>
    <row r="246" spans="2:14" x14ac:dyDescent="0.2">
      <c r="B246" s="3"/>
      <c r="C246" s="3"/>
      <c r="D246" s="3"/>
      <c r="E246" s="3"/>
      <c r="F246" s="3"/>
      <c r="G246" s="3"/>
      <c r="H246" s="3"/>
      <c r="I246" s="3"/>
      <c r="J246" s="3"/>
      <c r="K246" s="3"/>
      <c r="L246" s="3"/>
      <c r="M246" s="3"/>
      <c r="N246" s="3"/>
    </row>
    <row r="247" spans="2:14" x14ac:dyDescent="0.2">
      <c r="B247" s="3"/>
      <c r="C247" s="3"/>
      <c r="D247" s="3"/>
      <c r="E247" s="3"/>
      <c r="F247" s="3"/>
      <c r="G247" s="3"/>
      <c r="H247" s="3"/>
      <c r="I247" s="3"/>
      <c r="J247" s="3"/>
      <c r="K247" s="3"/>
      <c r="L247" s="3"/>
      <c r="M247" s="3"/>
      <c r="N247" s="3"/>
    </row>
    <row r="248" spans="2:14" x14ac:dyDescent="0.2">
      <c r="B248" s="3"/>
      <c r="C248" s="3"/>
      <c r="D248" s="3"/>
      <c r="E248" s="3"/>
      <c r="F248" s="3"/>
      <c r="G248" s="3"/>
      <c r="H248" s="3"/>
      <c r="I248" s="3"/>
      <c r="J248" s="3"/>
      <c r="K248" s="3"/>
      <c r="L248" s="3"/>
      <c r="M248" s="3"/>
      <c r="N248" s="3"/>
    </row>
    <row r="249" spans="2:14" x14ac:dyDescent="0.2">
      <c r="B249" s="3"/>
      <c r="C249" s="3"/>
      <c r="D249" s="3"/>
      <c r="E249" s="3"/>
      <c r="F249" s="3"/>
      <c r="G249" s="3"/>
      <c r="H249" s="3"/>
      <c r="I249" s="3"/>
      <c r="J249" s="3"/>
      <c r="K249" s="3"/>
      <c r="L249" s="3"/>
      <c r="M249" s="3"/>
      <c r="N249" s="3"/>
    </row>
    <row r="250" spans="2:14" x14ac:dyDescent="0.2">
      <c r="B250" s="3"/>
      <c r="C250" s="3"/>
      <c r="D250" s="3"/>
      <c r="E250" s="3"/>
      <c r="F250" s="3"/>
      <c r="G250" s="3"/>
      <c r="H250" s="3"/>
      <c r="I250" s="3"/>
      <c r="J250" s="3"/>
      <c r="K250" s="3"/>
      <c r="L250" s="3"/>
      <c r="M250" s="3"/>
      <c r="N250" s="3"/>
    </row>
    <row r="251" spans="2:14" x14ac:dyDescent="0.2">
      <c r="B251" s="3"/>
      <c r="C251" s="3"/>
      <c r="D251" s="3"/>
      <c r="E251" s="3"/>
      <c r="F251" s="3"/>
      <c r="G251" s="3"/>
      <c r="H251" s="3"/>
      <c r="I251" s="3"/>
      <c r="J251" s="3"/>
      <c r="K251" s="3"/>
      <c r="L251" s="3"/>
      <c r="M251" s="3"/>
      <c r="N251" s="3"/>
    </row>
    <row r="252" spans="2:14" x14ac:dyDescent="0.2">
      <c r="B252" s="3"/>
      <c r="C252" s="3"/>
      <c r="D252" s="3"/>
      <c r="E252" s="3"/>
      <c r="F252" s="3"/>
      <c r="G252" s="3"/>
      <c r="H252" s="3"/>
      <c r="I252" s="3"/>
      <c r="J252" s="3"/>
      <c r="K252" s="3"/>
      <c r="L252" s="3"/>
      <c r="M252" s="3"/>
      <c r="N252" s="3"/>
    </row>
    <row r="253" spans="2:14" x14ac:dyDescent="0.2">
      <c r="B253" s="3"/>
      <c r="C253" s="3"/>
      <c r="D253" s="3"/>
      <c r="E253" s="3"/>
      <c r="F253" s="3"/>
      <c r="G253" s="3"/>
      <c r="H253" s="3"/>
      <c r="I253" s="3"/>
      <c r="J253" s="3"/>
      <c r="K253" s="3"/>
      <c r="L253" s="3"/>
      <c r="M253" s="3"/>
      <c r="N253" s="3"/>
    </row>
    <row r="254" spans="2:14" x14ac:dyDescent="0.2">
      <c r="B254" s="3"/>
      <c r="C254" s="3"/>
      <c r="D254" s="3"/>
      <c r="E254" s="3"/>
      <c r="F254" s="3"/>
      <c r="G254" s="3"/>
      <c r="H254" s="3"/>
      <c r="I254" s="3"/>
      <c r="J254" s="3"/>
      <c r="K254" s="3"/>
      <c r="L254" s="3"/>
      <c r="M254" s="3"/>
      <c r="N254" s="3"/>
    </row>
    <row r="255" spans="2:14" x14ac:dyDescent="0.2">
      <c r="B255" s="3"/>
      <c r="C255" s="3"/>
      <c r="D255" s="3"/>
      <c r="E255" s="3"/>
      <c r="F255" s="3"/>
      <c r="G255" s="3"/>
      <c r="H255" s="3"/>
      <c r="I255" s="3"/>
      <c r="J255" s="3"/>
      <c r="K255" s="3"/>
      <c r="L255" s="3"/>
      <c r="M255" s="3"/>
      <c r="N255" s="3"/>
    </row>
    <row r="256" spans="2:14" x14ac:dyDescent="0.2">
      <c r="B256" s="3"/>
      <c r="C256" s="3"/>
      <c r="D256" s="3"/>
      <c r="E256" s="3"/>
      <c r="F256" s="3"/>
      <c r="G256" s="3"/>
      <c r="H256" s="3"/>
      <c r="I256" s="3"/>
      <c r="J256" s="3"/>
      <c r="K256" s="3"/>
      <c r="L256" s="3"/>
      <c r="M256" s="3"/>
      <c r="N256" s="3"/>
    </row>
    <row r="257" spans="2:14" x14ac:dyDescent="0.2">
      <c r="B257" s="3"/>
      <c r="C257" s="3"/>
      <c r="D257" s="3"/>
      <c r="E257" s="3"/>
      <c r="F257" s="3"/>
      <c r="G257" s="3"/>
      <c r="H257" s="3"/>
      <c r="I257" s="3"/>
      <c r="J257" s="3"/>
      <c r="K257" s="3"/>
      <c r="L257" s="3"/>
      <c r="M257" s="3"/>
      <c r="N257" s="3"/>
    </row>
    <row r="258" spans="2:14" x14ac:dyDescent="0.2">
      <c r="B258" s="3"/>
      <c r="C258" s="3"/>
      <c r="D258" s="3"/>
      <c r="E258" s="3"/>
      <c r="F258" s="3"/>
      <c r="G258" s="3"/>
      <c r="H258" s="3"/>
      <c r="J258" s="3"/>
      <c r="K258" s="3"/>
      <c r="L258" s="3"/>
      <c r="M258" s="3"/>
    </row>
    <row r="259" spans="2:14" x14ac:dyDescent="0.2">
      <c r="B259" s="3"/>
      <c r="C259" s="3"/>
      <c r="D259" s="3"/>
      <c r="E259" s="3"/>
      <c r="F259" s="3"/>
      <c r="G259" s="3"/>
      <c r="H259" s="3"/>
      <c r="J259" s="3"/>
      <c r="K259" s="3"/>
      <c r="L259" s="3"/>
      <c r="M259" s="3"/>
    </row>
    <row r="260" spans="2:14" x14ac:dyDescent="0.2">
      <c r="B260" s="3"/>
      <c r="C260" s="3"/>
      <c r="D260" s="3"/>
      <c r="E260" s="3"/>
      <c r="F260" s="3"/>
      <c r="G260" s="3"/>
      <c r="H260" s="3"/>
      <c r="J260" s="3"/>
      <c r="K260" s="3"/>
      <c r="L260" s="3"/>
      <c r="M260" s="3"/>
    </row>
    <row r="261" spans="2:14" x14ac:dyDescent="0.2">
      <c r="B261" s="3"/>
      <c r="C261" s="3"/>
      <c r="D261" s="3"/>
      <c r="E261" s="3"/>
      <c r="F261" s="3"/>
      <c r="G261" s="3"/>
      <c r="H261" s="3"/>
      <c r="J261" s="3"/>
      <c r="K261" s="3"/>
      <c r="L261" s="3"/>
      <c r="M261" s="3"/>
    </row>
    <row r="262" spans="2:14" x14ac:dyDescent="0.2">
      <c r="B262" s="3"/>
      <c r="C262" s="3"/>
      <c r="D262" s="3"/>
      <c r="E262" s="3"/>
      <c r="F262" s="3"/>
      <c r="G262" s="3"/>
      <c r="H262" s="3"/>
      <c r="J262" s="3"/>
      <c r="K262" s="3"/>
      <c r="L262" s="3"/>
      <c r="M262" s="3"/>
    </row>
    <row r="263" spans="2:14" x14ac:dyDescent="0.2">
      <c r="B263" s="3"/>
      <c r="C263" s="3"/>
      <c r="D263" s="3"/>
      <c r="E263" s="3"/>
      <c r="F263" s="3"/>
      <c r="G263" s="3"/>
      <c r="H263" s="3"/>
      <c r="J263" s="3"/>
      <c r="K263" s="3"/>
      <c r="L263" s="3"/>
      <c r="M263" s="3"/>
    </row>
    <row r="264" spans="2:14" x14ac:dyDescent="0.2">
      <c r="B264" s="3"/>
      <c r="C264" s="3"/>
      <c r="D264" s="3"/>
      <c r="E264" s="3"/>
      <c r="F264" s="3"/>
      <c r="G264" s="3"/>
      <c r="H264" s="3"/>
      <c r="J264" s="3"/>
      <c r="K264" s="3"/>
      <c r="L264" s="3"/>
      <c r="M264" s="3"/>
    </row>
    <row r="265" spans="2:14" x14ac:dyDescent="0.2">
      <c r="B265" s="3"/>
      <c r="C265" s="3"/>
      <c r="D265" s="3"/>
      <c r="E265" s="3"/>
      <c r="F265" s="3"/>
      <c r="G265" s="3"/>
      <c r="H265" s="3"/>
      <c r="J265" s="3"/>
      <c r="K265" s="3"/>
      <c r="L265" s="3"/>
      <c r="M265" s="3"/>
    </row>
    <row r="266" spans="2:14" x14ac:dyDescent="0.2">
      <c r="B266" s="3"/>
      <c r="C266" s="3"/>
      <c r="D266" s="3"/>
      <c r="E266" s="3"/>
      <c r="F266" s="3"/>
      <c r="G266" s="3"/>
      <c r="H266" s="3"/>
      <c r="J266" s="3"/>
      <c r="K266" s="3"/>
      <c r="L266" s="3"/>
      <c r="M266" s="3"/>
    </row>
    <row r="267" spans="2:14" x14ac:dyDescent="0.2">
      <c r="B267" s="3"/>
      <c r="C267" s="3"/>
      <c r="D267" s="3"/>
      <c r="E267" s="3"/>
      <c r="F267" s="3"/>
      <c r="G267" s="3"/>
      <c r="H267" s="3"/>
      <c r="J267" s="3"/>
      <c r="K267" s="3"/>
      <c r="L267" s="3"/>
      <c r="M267" s="3"/>
    </row>
    <row r="268" spans="2:14" x14ac:dyDescent="0.2">
      <c r="B268" s="3"/>
      <c r="C268" s="3"/>
      <c r="D268" s="3"/>
      <c r="E268" s="3"/>
      <c r="F268" s="3"/>
      <c r="G268" s="3"/>
      <c r="H268" s="3"/>
      <c r="J268" s="3"/>
      <c r="K268" s="3"/>
      <c r="L268" s="3"/>
      <c r="M268" s="3"/>
    </row>
    <row r="269" spans="2:14" x14ac:dyDescent="0.2">
      <c r="B269" s="3"/>
      <c r="C269" s="3"/>
      <c r="D269" s="3"/>
      <c r="E269" s="3"/>
      <c r="F269" s="3"/>
      <c r="G269" s="3"/>
      <c r="H269" s="3"/>
      <c r="J269" s="3"/>
      <c r="K269" s="3"/>
      <c r="L269" s="3"/>
      <c r="M269" s="3"/>
    </row>
  </sheetData>
  <mergeCells count="8">
    <mergeCell ref="A1:P1"/>
    <mergeCell ref="R1:AC2"/>
    <mergeCell ref="O3:O4"/>
    <mergeCell ref="AD3:AD4"/>
    <mergeCell ref="B2:O2"/>
    <mergeCell ref="B3:B4"/>
    <mergeCell ref="C3:C4"/>
    <mergeCell ref="D3:D4"/>
  </mergeCells>
  <phoneticPr fontId="1" type="noConversion"/>
  <dataValidations count="2">
    <dataValidation type="list" showInputMessage="1" showErrorMessage="1" sqref="V5:V33">
      <formula1>$R$39:$R$41</formula1>
    </dataValidation>
    <dataValidation type="list" showInputMessage="1" showErrorMessage="1" sqref="D5:D33">
      <formula1>$R$39:$R$41</formula1>
    </dataValidation>
  </dataValidations>
  <printOptions horizontalCentered="1"/>
  <pageMargins left="0.38200000000000001" right="0.38200000000000001" top="0.35" bottom="0.35" header="0.25" footer="0"/>
  <pageSetup firstPageNumber="31" orientation="landscape" useFirstPageNumber="1"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A1:AP74"/>
  <sheetViews>
    <sheetView showGridLines="0" showZeros="0" zoomScale="75" zoomScaleNormal="75" workbookViewId="0">
      <selection activeCell="N1" sqref="N1:P1"/>
    </sheetView>
  </sheetViews>
  <sheetFormatPr defaultRowHeight="12.75" x14ac:dyDescent="0.2"/>
  <cols>
    <col min="1" max="1" width="1.7109375" customWidth="1"/>
    <col min="2" max="2" width="11.42578125" customWidth="1"/>
    <col min="3" max="3" width="20.85546875" bestFit="1" customWidth="1"/>
    <col min="4" max="4" width="8.5703125" bestFit="1" customWidth="1"/>
    <col min="5" max="5" width="8.7109375" bestFit="1" customWidth="1"/>
    <col min="6" max="6" width="9.85546875" bestFit="1" customWidth="1"/>
    <col min="7" max="7" width="9.85546875" customWidth="1"/>
    <col min="8" max="8" width="8.7109375" bestFit="1" customWidth="1"/>
    <col min="9" max="10" width="8.28515625" customWidth="1"/>
    <col min="11" max="11" width="25.140625" customWidth="1"/>
    <col min="12" max="12" width="1.7109375" customWidth="1"/>
    <col min="13" max="13" width="8.85546875" customWidth="1"/>
    <col min="14" max="14" width="26.7109375" customWidth="1"/>
    <col min="15" max="15" width="10.28515625" customWidth="1"/>
    <col min="16" max="16" width="13.28515625" bestFit="1" customWidth="1"/>
    <col min="17" max="17" width="12.85546875" customWidth="1"/>
  </cols>
  <sheetData>
    <row r="1" spans="1:42" s="4" customFormat="1" ht="18" x14ac:dyDescent="0.2">
      <c r="A1" s="1433" t="str">
        <f>UPPER("Concrete Curb Ramp Summary Table")</f>
        <v>CONCRETE CURB RAMP SUMMARY TABLE</v>
      </c>
      <c r="B1" s="1496"/>
      <c r="C1" s="1496"/>
      <c r="D1" s="1496"/>
      <c r="E1" s="1496"/>
      <c r="F1" s="1496"/>
      <c r="G1" s="1496"/>
      <c r="H1" s="1496"/>
      <c r="I1" s="1496"/>
      <c r="J1" s="1496"/>
      <c r="K1" s="1496"/>
      <c r="L1" s="1496"/>
      <c r="M1" s="101"/>
      <c r="N1" s="1187" t="s">
        <v>947</v>
      </c>
      <c r="O1" s="1187"/>
      <c r="P1" s="1187"/>
      <c r="Q1" s="231"/>
      <c r="R1" s="101"/>
      <c r="S1" s="101"/>
      <c r="T1" s="101"/>
      <c r="U1" s="101"/>
      <c r="V1" s="101"/>
      <c r="W1" s="101"/>
      <c r="X1" s="101"/>
      <c r="Y1" s="101"/>
      <c r="Z1" s="101"/>
      <c r="AA1" s="101"/>
      <c r="AB1" s="101"/>
      <c r="AC1" s="101"/>
      <c r="AD1" s="101"/>
      <c r="AE1" s="101"/>
      <c r="AF1" s="101"/>
      <c r="AG1" s="101"/>
      <c r="AH1" s="101"/>
      <c r="AI1" s="101"/>
      <c r="AJ1" s="101"/>
      <c r="AK1" s="101"/>
      <c r="AL1" s="101"/>
      <c r="AM1" s="101"/>
      <c r="AN1" s="101"/>
      <c r="AO1" s="101"/>
      <c r="AP1" s="101"/>
    </row>
    <row r="2" spans="1:42" s="4" customFormat="1" ht="12.75" customHeight="1" thickBot="1" x14ac:dyDescent="0.25">
      <c r="A2" s="101"/>
      <c r="B2" s="1507"/>
      <c r="C2" s="1507"/>
      <c r="D2" s="1507"/>
      <c r="E2" s="1507"/>
      <c r="F2" s="1507"/>
      <c r="G2" s="1507"/>
      <c r="H2" s="1507"/>
      <c r="I2" s="1507"/>
      <c r="J2" s="1507"/>
      <c r="K2" s="1507"/>
      <c r="L2" s="156"/>
      <c r="M2" s="101"/>
      <c r="N2" s="1508" t="s">
        <v>562</v>
      </c>
      <c r="O2" s="1508"/>
      <c r="P2" s="194"/>
      <c r="Q2" s="91" t="s">
        <v>565</v>
      </c>
      <c r="R2" s="101"/>
      <c r="S2" s="101"/>
      <c r="T2" s="101"/>
      <c r="U2" s="101"/>
      <c r="V2" s="101"/>
      <c r="W2" s="101"/>
      <c r="X2" s="101"/>
      <c r="Y2" s="101"/>
      <c r="Z2" s="101"/>
      <c r="AA2" s="101"/>
      <c r="AB2" s="101"/>
      <c r="AC2" s="101"/>
      <c r="AD2" s="101"/>
      <c r="AE2" s="101"/>
      <c r="AF2" s="101"/>
      <c r="AG2" s="101"/>
      <c r="AH2" s="101"/>
      <c r="AI2" s="101"/>
      <c r="AJ2" s="101"/>
      <c r="AK2" s="101"/>
      <c r="AL2" s="101"/>
      <c r="AM2" s="101"/>
      <c r="AN2" s="101"/>
      <c r="AO2" s="101"/>
      <c r="AP2" s="101"/>
    </row>
    <row r="3" spans="1:42" s="4" customFormat="1" ht="51" customHeight="1" x14ac:dyDescent="0.2">
      <c r="A3" s="101"/>
      <c r="B3" s="1509" t="s">
        <v>208</v>
      </c>
      <c r="C3" s="1511" t="s">
        <v>523</v>
      </c>
      <c r="D3" s="1513" t="s">
        <v>203</v>
      </c>
      <c r="E3" s="237" t="s">
        <v>943</v>
      </c>
      <c r="F3" s="236" t="s">
        <v>944</v>
      </c>
      <c r="G3" s="236" t="s">
        <v>945</v>
      </c>
      <c r="H3" s="150" t="s">
        <v>946</v>
      </c>
      <c r="I3" s="235" t="str">
        <f>IF(P2=0,"Fill-in curb type",P2)</f>
        <v>Fill-in curb type</v>
      </c>
      <c r="J3" s="150" t="s">
        <v>756</v>
      </c>
      <c r="K3" s="1497" t="s">
        <v>87</v>
      </c>
      <c r="L3" s="36"/>
      <c r="M3" s="36"/>
      <c r="N3" s="1506" t="s">
        <v>948</v>
      </c>
      <c r="O3" s="1506"/>
      <c r="P3" s="251"/>
      <c r="Q3" s="1125"/>
      <c r="R3" s="101"/>
      <c r="S3" s="207"/>
      <c r="T3" s="40"/>
      <c r="U3" s="101"/>
      <c r="V3" s="101"/>
      <c r="W3" s="101"/>
      <c r="X3" s="101"/>
      <c r="Y3" s="101"/>
      <c r="Z3" s="101"/>
      <c r="AA3" s="101"/>
      <c r="AB3" s="101"/>
      <c r="AC3" s="101"/>
      <c r="AD3" s="101"/>
      <c r="AE3" s="101"/>
      <c r="AF3" s="101"/>
      <c r="AG3" s="101"/>
      <c r="AH3" s="101"/>
      <c r="AI3" s="101"/>
      <c r="AJ3" s="101"/>
      <c r="AK3" s="101"/>
      <c r="AL3" s="101"/>
      <c r="AM3" s="101"/>
      <c r="AN3" s="101"/>
      <c r="AO3" s="101"/>
      <c r="AP3" s="101"/>
    </row>
    <row r="4" spans="1:42" s="4" customFormat="1" ht="13.5" thickBot="1" x14ac:dyDescent="0.25">
      <c r="A4" s="101"/>
      <c r="B4" s="1510"/>
      <c r="C4" s="1512"/>
      <c r="D4" s="1514"/>
      <c r="E4" s="290" t="s">
        <v>210</v>
      </c>
      <c r="F4" s="286" t="s">
        <v>210</v>
      </c>
      <c r="G4" s="286" t="s">
        <v>210</v>
      </c>
      <c r="H4" s="287" t="s">
        <v>210</v>
      </c>
      <c r="I4" s="285" t="s">
        <v>19</v>
      </c>
      <c r="J4" s="287" t="s">
        <v>210</v>
      </c>
      <c r="K4" s="1498"/>
      <c r="L4" s="33"/>
      <c r="M4" s="33"/>
      <c r="N4" s="327"/>
      <c r="R4" s="101"/>
      <c r="S4" s="207"/>
      <c r="T4" s="207"/>
      <c r="U4" s="101"/>
      <c r="V4" s="101"/>
      <c r="W4" s="101"/>
      <c r="X4" s="101"/>
      <c r="Y4" s="101"/>
      <c r="Z4" s="101"/>
      <c r="AA4" s="101"/>
      <c r="AB4" s="101"/>
      <c r="AC4" s="101"/>
      <c r="AD4" s="101"/>
      <c r="AE4" s="101"/>
      <c r="AF4" s="101"/>
      <c r="AG4" s="101"/>
      <c r="AH4" s="101"/>
      <c r="AI4" s="101"/>
      <c r="AJ4" s="101"/>
      <c r="AK4" s="101"/>
      <c r="AL4" s="101"/>
      <c r="AM4" s="101"/>
      <c r="AN4" s="101"/>
      <c r="AO4" s="101"/>
      <c r="AP4" s="101"/>
    </row>
    <row r="5" spans="1:42" s="4" customFormat="1" ht="12.75" customHeight="1" x14ac:dyDescent="0.2">
      <c r="A5" s="101"/>
      <c r="B5" s="347"/>
      <c r="C5" s="544"/>
      <c r="D5" s="1126"/>
      <c r="E5" s="44"/>
      <c r="F5" s="45"/>
      <c r="G5" s="45"/>
      <c r="H5" s="122"/>
      <c r="I5" s="857"/>
      <c r="J5" s="122"/>
      <c r="K5" s="1137"/>
      <c r="L5" s="530"/>
      <c r="M5" s="530"/>
      <c r="N5" s="327"/>
      <c r="R5" s="101"/>
      <c r="S5" s="40"/>
      <c r="T5" s="207"/>
      <c r="U5" s="101"/>
      <c r="V5" s="101"/>
      <c r="W5" s="101"/>
      <c r="X5" s="101"/>
      <c r="Y5" s="101"/>
      <c r="Z5" s="101"/>
      <c r="AA5" s="101"/>
      <c r="AB5" s="101"/>
      <c r="AC5" s="101"/>
      <c r="AD5" s="101"/>
      <c r="AE5" s="101"/>
      <c r="AF5" s="101"/>
      <c r="AG5" s="101"/>
      <c r="AH5" s="101"/>
      <c r="AI5" s="101"/>
      <c r="AJ5" s="101"/>
      <c r="AK5" s="101"/>
      <c r="AL5" s="101"/>
      <c r="AM5" s="101"/>
      <c r="AN5" s="101"/>
      <c r="AO5" s="101"/>
      <c r="AP5" s="101"/>
    </row>
    <row r="6" spans="1:42" s="4" customFormat="1" ht="12.75" customHeight="1" x14ac:dyDescent="0.2">
      <c r="A6" s="101"/>
      <c r="B6" s="347"/>
      <c r="C6" s="544"/>
      <c r="D6" s="1127"/>
      <c r="E6" s="44"/>
      <c r="F6" s="45"/>
      <c r="G6" s="45"/>
      <c r="H6" s="122"/>
      <c r="I6" s="857"/>
      <c r="J6" s="122"/>
      <c r="K6" s="1137"/>
      <c r="L6" s="530"/>
      <c r="M6" s="530"/>
      <c r="N6" s="327"/>
      <c r="R6" s="101"/>
      <c r="S6" s="40"/>
      <c r="T6" s="207"/>
      <c r="U6" s="101"/>
      <c r="V6" s="101"/>
      <c r="W6" s="101"/>
      <c r="X6" s="101"/>
      <c r="Y6" s="101"/>
      <c r="Z6" s="101"/>
      <c r="AA6" s="101"/>
      <c r="AB6" s="101"/>
      <c r="AC6" s="101"/>
      <c r="AD6" s="101"/>
      <c r="AE6" s="101"/>
      <c r="AF6" s="101"/>
      <c r="AG6" s="101"/>
      <c r="AH6" s="101"/>
      <c r="AI6" s="101"/>
      <c r="AJ6" s="101"/>
      <c r="AK6" s="101"/>
      <c r="AL6" s="101"/>
      <c r="AM6" s="101"/>
      <c r="AN6" s="101"/>
      <c r="AO6" s="101"/>
      <c r="AP6" s="101"/>
    </row>
    <row r="7" spans="1:42" s="4" customFormat="1" ht="12.75" customHeight="1" x14ac:dyDescent="0.2">
      <c r="A7" s="101"/>
      <c r="B7" s="347"/>
      <c r="C7" s="544"/>
      <c r="D7" s="1127"/>
      <c r="E7" s="44"/>
      <c r="F7" s="45"/>
      <c r="G7" s="45"/>
      <c r="H7" s="122"/>
      <c r="I7" s="857"/>
      <c r="J7" s="122"/>
      <c r="K7" s="1137"/>
      <c r="L7" s="530"/>
      <c r="M7" s="530"/>
      <c r="N7" s="327"/>
      <c r="R7" s="101"/>
      <c r="S7" s="40"/>
      <c r="T7" s="207"/>
      <c r="U7" s="101"/>
      <c r="V7" s="101"/>
      <c r="W7" s="101"/>
      <c r="X7" s="101"/>
      <c r="Y7" s="101"/>
      <c r="Z7" s="101"/>
      <c r="AA7" s="101"/>
      <c r="AB7" s="101"/>
      <c r="AC7" s="101"/>
      <c r="AD7" s="101"/>
      <c r="AE7" s="101"/>
      <c r="AF7" s="101"/>
      <c r="AG7" s="101"/>
      <c r="AH7" s="101"/>
      <c r="AI7" s="101"/>
      <c r="AJ7" s="101"/>
      <c r="AK7" s="101"/>
      <c r="AL7" s="101"/>
      <c r="AM7" s="101"/>
      <c r="AN7" s="101"/>
      <c r="AO7" s="101"/>
      <c r="AP7" s="101"/>
    </row>
    <row r="8" spans="1:42" s="4" customFormat="1" ht="12.75" customHeight="1" x14ac:dyDescent="0.2">
      <c r="A8" s="101"/>
      <c r="B8" s="347"/>
      <c r="C8" s="544"/>
      <c r="D8" s="1127"/>
      <c r="E8" s="44"/>
      <c r="F8" s="45"/>
      <c r="G8" s="45"/>
      <c r="H8" s="122"/>
      <c r="I8" s="857"/>
      <c r="J8" s="122"/>
      <c r="K8" s="1137"/>
      <c r="L8" s="530"/>
      <c r="M8" s="530"/>
      <c r="N8" s="40"/>
      <c r="R8" s="101"/>
      <c r="S8" s="40"/>
      <c r="T8" s="207"/>
      <c r="U8" s="101"/>
      <c r="V8" s="101"/>
      <c r="W8" s="101"/>
      <c r="X8" s="101"/>
      <c r="Y8" s="101"/>
      <c r="Z8" s="101"/>
      <c r="AA8" s="101"/>
      <c r="AB8" s="101"/>
      <c r="AC8" s="101"/>
      <c r="AD8" s="101"/>
      <c r="AE8" s="101"/>
      <c r="AF8" s="101"/>
      <c r="AG8" s="101"/>
      <c r="AH8" s="101"/>
      <c r="AI8" s="101"/>
      <c r="AJ8" s="101"/>
      <c r="AK8" s="101"/>
      <c r="AL8" s="101"/>
      <c r="AM8" s="101"/>
      <c r="AN8" s="101"/>
      <c r="AO8" s="101"/>
      <c r="AP8" s="101"/>
    </row>
    <row r="9" spans="1:42" s="4" customFormat="1" ht="12.75" customHeight="1" x14ac:dyDescent="0.2">
      <c r="A9" s="101"/>
      <c r="B9" s="347"/>
      <c r="C9" s="544"/>
      <c r="D9" s="1127"/>
      <c r="E9" s="44"/>
      <c r="F9" s="45"/>
      <c r="G9" s="45"/>
      <c r="H9" s="122"/>
      <c r="I9" s="857"/>
      <c r="J9" s="122"/>
      <c r="K9" s="1137"/>
      <c r="L9" s="530"/>
      <c r="M9" s="530"/>
      <c r="N9" s="40"/>
      <c r="R9" s="33"/>
      <c r="S9" s="40"/>
      <c r="T9" s="207"/>
      <c r="U9" s="101"/>
      <c r="V9" s="101"/>
      <c r="W9" s="101"/>
      <c r="X9" s="101"/>
      <c r="Y9" s="101"/>
      <c r="Z9" s="101"/>
      <c r="AA9" s="101"/>
      <c r="AB9" s="101"/>
      <c r="AC9" s="101"/>
      <c r="AD9" s="101"/>
      <c r="AE9" s="101"/>
      <c r="AF9" s="101"/>
      <c r="AG9" s="101"/>
      <c r="AH9" s="101"/>
      <c r="AI9" s="101"/>
      <c r="AJ9" s="101"/>
      <c r="AK9" s="101"/>
      <c r="AL9" s="101"/>
      <c r="AM9" s="101"/>
      <c r="AN9" s="101"/>
      <c r="AO9" s="101"/>
      <c r="AP9" s="101"/>
    </row>
    <row r="10" spans="1:42" s="4" customFormat="1" ht="12.75" customHeight="1" x14ac:dyDescent="0.2">
      <c r="A10" s="101"/>
      <c r="B10" s="347"/>
      <c r="C10" s="544"/>
      <c r="D10" s="1127"/>
      <c r="E10" s="44"/>
      <c r="F10" s="45"/>
      <c r="G10" s="45"/>
      <c r="H10" s="122"/>
      <c r="I10" s="857"/>
      <c r="J10" s="122"/>
      <c r="K10" s="1137"/>
      <c r="L10" s="530"/>
      <c r="M10" s="530"/>
      <c r="N10" s="40"/>
      <c r="R10" s="101"/>
      <c r="S10" s="101"/>
      <c r="T10" s="101"/>
      <c r="U10" s="101"/>
      <c r="V10" s="101"/>
      <c r="W10" s="101"/>
      <c r="X10" s="101"/>
      <c r="Y10" s="101"/>
      <c r="Z10" s="101"/>
      <c r="AA10" s="101"/>
      <c r="AB10" s="101"/>
      <c r="AC10" s="101"/>
      <c r="AD10" s="101"/>
      <c r="AE10" s="101"/>
      <c r="AF10" s="101"/>
      <c r="AG10" s="101"/>
      <c r="AH10" s="101"/>
      <c r="AI10" s="101"/>
      <c r="AJ10" s="101"/>
      <c r="AK10" s="101"/>
      <c r="AL10" s="101"/>
      <c r="AM10" s="101"/>
      <c r="AN10" s="101"/>
      <c r="AO10" s="101"/>
      <c r="AP10" s="101"/>
    </row>
    <row r="11" spans="1:42" s="4" customFormat="1" ht="12.75" customHeight="1" x14ac:dyDescent="0.2">
      <c r="A11" s="101"/>
      <c r="B11" s="347"/>
      <c r="C11" s="544"/>
      <c r="D11" s="1127"/>
      <c r="E11" s="44"/>
      <c r="F11" s="45"/>
      <c r="G11" s="45"/>
      <c r="H11" s="122"/>
      <c r="I11" s="857"/>
      <c r="J11" s="122"/>
      <c r="K11" s="1137"/>
      <c r="L11" s="530"/>
      <c r="M11" s="530"/>
      <c r="N11" s="40"/>
      <c r="R11" s="101"/>
      <c r="S11" s="101"/>
      <c r="T11" s="101"/>
      <c r="U11" s="101"/>
      <c r="V11" s="101"/>
      <c r="W11" s="101"/>
      <c r="X11" s="101"/>
      <c r="Y11" s="101"/>
      <c r="Z11" s="101"/>
      <c r="AA11" s="101"/>
      <c r="AB11" s="101"/>
      <c r="AC11" s="101"/>
      <c r="AD11" s="101"/>
      <c r="AE11" s="101"/>
      <c r="AF11" s="101"/>
      <c r="AG11" s="101"/>
      <c r="AH11" s="101"/>
      <c r="AI11" s="101"/>
      <c r="AJ11" s="101"/>
      <c r="AK11" s="101"/>
      <c r="AL11" s="101"/>
      <c r="AM11" s="101"/>
      <c r="AN11" s="101"/>
      <c r="AO11" s="101"/>
      <c r="AP11" s="101"/>
    </row>
    <row r="12" spans="1:42" s="4" customFormat="1" ht="12.75" customHeight="1" x14ac:dyDescent="0.2">
      <c r="A12" s="101"/>
      <c r="B12" s="347"/>
      <c r="C12" s="544"/>
      <c r="D12" s="1127"/>
      <c r="E12" s="44"/>
      <c r="F12" s="45"/>
      <c r="G12" s="45"/>
      <c r="H12" s="122"/>
      <c r="I12" s="857"/>
      <c r="J12" s="122"/>
      <c r="K12" s="1137"/>
      <c r="L12" s="530"/>
      <c r="M12" s="530"/>
      <c r="N12" s="40"/>
      <c r="R12" s="101"/>
      <c r="S12" s="234"/>
      <c r="T12" s="101"/>
      <c r="U12" s="101"/>
      <c r="V12" s="101"/>
      <c r="W12" s="101"/>
      <c r="X12" s="101"/>
      <c r="Y12" s="101"/>
      <c r="Z12" s="101"/>
      <c r="AA12" s="101"/>
      <c r="AB12" s="101"/>
      <c r="AC12" s="101"/>
      <c r="AD12" s="101"/>
      <c r="AE12" s="101"/>
      <c r="AF12" s="101"/>
      <c r="AG12" s="101"/>
      <c r="AH12" s="101"/>
      <c r="AI12" s="101"/>
      <c r="AJ12" s="101"/>
      <c r="AK12" s="101"/>
      <c r="AL12" s="101"/>
      <c r="AM12" s="101"/>
      <c r="AN12" s="101"/>
      <c r="AO12" s="101"/>
      <c r="AP12" s="101"/>
    </row>
    <row r="13" spans="1:42" s="4" customFormat="1" ht="12.75" customHeight="1" x14ac:dyDescent="0.2">
      <c r="A13" s="101"/>
      <c r="B13" s="347"/>
      <c r="C13" s="544"/>
      <c r="D13" s="1127"/>
      <c r="E13" s="44"/>
      <c r="F13" s="45"/>
      <c r="G13" s="45"/>
      <c r="H13" s="122"/>
      <c r="I13" s="857"/>
      <c r="J13" s="122"/>
      <c r="K13" s="1137"/>
      <c r="L13" s="530"/>
      <c r="M13" s="530"/>
      <c r="N13" s="1124"/>
      <c r="R13" s="101"/>
      <c r="S13" s="101"/>
      <c r="T13" s="101"/>
      <c r="U13" s="101"/>
      <c r="V13" s="101"/>
      <c r="W13" s="101"/>
      <c r="X13" s="101"/>
      <c r="Y13" s="101"/>
      <c r="Z13" s="101"/>
      <c r="AA13" s="101"/>
      <c r="AB13" s="101"/>
      <c r="AC13" s="101"/>
      <c r="AD13" s="101"/>
      <c r="AE13" s="101"/>
      <c r="AF13" s="101"/>
      <c r="AG13" s="101"/>
      <c r="AH13" s="101"/>
      <c r="AI13" s="101"/>
      <c r="AJ13" s="101"/>
      <c r="AK13" s="101"/>
      <c r="AL13" s="101"/>
      <c r="AM13" s="101"/>
      <c r="AN13" s="101"/>
      <c r="AO13" s="101"/>
      <c r="AP13" s="101"/>
    </row>
    <row r="14" spans="1:42" s="4" customFormat="1" ht="12.75" customHeight="1" x14ac:dyDescent="0.2">
      <c r="A14" s="101"/>
      <c r="B14" s="347"/>
      <c r="C14" s="544"/>
      <c r="D14" s="1127"/>
      <c r="E14" s="44"/>
      <c r="F14" s="45"/>
      <c r="G14" s="45"/>
      <c r="H14" s="122"/>
      <c r="I14" s="857"/>
      <c r="J14" s="122"/>
      <c r="K14" s="1137"/>
      <c r="L14" s="530"/>
      <c r="M14" s="530"/>
      <c r="N14" s="40"/>
      <c r="R14" s="101"/>
      <c r="S14" s="101"/>
      <c r="T14" s="101"/>
      <c r="U14" s="101"/>
      <c r="V14" s="101"/>
      <c r="W14" s="101"/>
      <c r="X14" s="101"/>
      <c r="Y14" s="101"/>
      <c r="Z14" s="101"/>
      <c r="AA14" s="101"/>
      <c r="AB14" s="101"/>
      <c r="AC14" s="101"/>
      <c r="AD14" s="101"/>
      <c r="AE14" s="101"/>
      <c r="AF14" s="101"/>
      <c r="AG14" s="101"/>
      <c r="AH14" s="101"/>
      <c r="AI14" s="101"/>
      <c r="AJ14" s="101"/>
      <c r="AK14" s="101"/>
      <c r="AL14" s="101"/>
      <c r="AM14" s="101"/>
      <c r="AN14" s="101"/>
      <c r="AO14" s="101"/>
      <c r="AP14" s="101"/>
    </row>
    <row r="15" spans="1:42" s="4" customFormat="1" ht="12.75" customHeight="1" x14ac:dyDescent="0.2">
      <c r="A15" s="101"/>
      <c r="B15" s="347"/>
      <c r="C15" s="544"/>
      <c r="D15" s="1127"/>
      <c r="E15" s="44"/>
      <c r="F15" s="45"/>
      <c r="G15" s="45"/>
      <c r="H15" s="122"/>
      <c r="I15" s="857"/>
      <c r="J15" s="122"/>
      <c r="K15" s="1137"/>
      <c r="L15" s="530"/>
      <c r="M15" s="530"/>
      <c r="N15" s="40"/>
      <c r="R15" s="101"/>
      <c r="S15" s="101"/>
      <c r="T15" s="101"/>
      <c r="U15" s="101"/>
      <c r="V15" s="101"/>
      <c r="W15" s="101"/>
      <c r="X15" s="101"/>
      <c r="Y15" s="101"/>
      <c r="Z15" s="101"/>
      <c r="AA15" s="101"/>
      <c r="AB15" s="101"/>
      <c r="AC15" s="101"/>
      <c r="AD15" s="101"/>
      <c r="AE15" s="101"/>
      <c r="AF15" s="101"/>
      <c r="AG15" s="101"/>
      <c r="AH15" s="101"/>
      <c r="AI15" s="101"/>
      <c r="AJ15" s="101"/>
      <c r="AK15" s="101"/>
      <c r="AL15" s="101"/>
      <c r="AM15" s="101"/>
      <c r="AN15" s="101"/>
      <c r="AO15" s="101"/>
      <c r="AP15" s="101"/>
    </row>
    <row r="16" spans="1:42" s="4" customFormat="1" ht="12.75" customHeight="1" x14ac:dyDescent="0.2">
      <c r="A16" s="101"/>
      <c r="B16" s="347"/>
      <c r="C16" s="544"/>
      <c r="D16" s="1127"/>
      <c r="E16" s="44"/>
      <c r="F16" s="45"/>
      <c r="G16" s="45"/>
      <c r="H16" s="122"/>
      <c r="I16" s="857"/>
      <c r="J16" s="122"/>
      <c r="K16" s="1137"/>
      <c r="L16" s="530"/>
      <c r="M16" s="530"/>
      <c r="N16" s="40"/>
      <c r="R16" s="101"/>
      <c r="S16" s="101"/>
      <c r="T16" s="101"/>
      <c r="U16" s="101"/>
      <c r="V16" s="101"/>
      <c r="W16" s="101"/>
      <c r="X16" s="101"/>
      <c r="Y16" s="101"/>
      <c r="Z16" s="101"/>
      <c r="AA16" s="101"/>
      <c r="AB16" s="101"/>
      <c r="AC16" s="101"/>
      <c r="AD16" s="101"/>
      <c r="AE16" s="101"/>
      <c r="AF16" s="101"/>
      <c r="AG16" s="101"/>
      <c r="AH16" s="101"/>
      <c r="AI16" s="101"/>
      <c r="AJ16" s="101"/>
      <c r="AK16" s="101"/>
      <c r="AL16" s="101"/>
      <c r="AM16" s="101"/>
      <c r="AN16" s="101"/>
      <c r="AO16" s="101"/>
      <c r="AP16" s="101"/>
    </row>
    <row r="17" spans="1:42" s="4" customFormat="1" ht="12.75" customHeight="1" x14ac:dyDescent="0.2">
      <c r="A17" s="101"/>
      <c r="B17" s="347"/>
      <c r="C17" s="544"/>
      <c r="D17" s="1127"/>
      <c r="E17" s="44"/>
      <c r="F17" s="45"/>
      <c r="G17" s="45"/>
      <c r="H17" s="122"/>
      <c r="I17" s="857"/>
      <c r="J17" s="122"/>
      <c r="K17" s="1137"/>
      <c r="L17" s="530"/>
      <c r="M17" s="530"/>
      <c r="N17" s="40"/>
      <c r="R17" s="475"/>
      <c r="S17" s="475"/>
      <c r="T17" s="475"/>
      <c r="U17" s="33"/>
      <c r="V17" s="101"/>
      <c r="W17" s="101"/>
      <c r="X17" s="101"/>
      <c r="Y17" s="101"/>
      <c r="Z17" s="101"/>
      <c r="AA17" s="101"/>
      <c r="AB17" s="101"/>
      <c r="AC17" s="101"/>
      <c r="AD17" s="101"/>
      <c r="AE17" s="101"/>
      <c r="AF17" s="101"/>
      <c r="AG17" s="101"/>
      <c r="AH17" s="101"/>
      <c r="AI17" s="101"/>
      <c r="AJ17" s="101"/>
      <c r="AK17" s="101"/>
      <c r="AL17" s="101"/>
      <c r="AM17" s="101"/>
      <c r="AN17" s="101"/>
      <c r="AO17" s="101"/>
      <c r="AP17" s="101"/>
    </row>
    <row r="18" spans="1:42" s="4" customFormat="1" ht="12.75" customHeight="1" x14ac:dyDescent="0.2">
      <c r="A18" s="101"/>
      <c r="B18" s="347"/>
      <c r="C18" s="544"/>
      <c r="D18" s="1127"/>
      <c r="E18" s="44"/>
      <c r="F18" s="45"/>
      <c r="G18" s="45"/>
      <c r="H18" s="122"/>
      <c r="I18" s="857"/>
      <c r="J18" s="122"/>
      <c r="K18" s="1137"/>
      <c r="L18" s="530"/>
      <c r="M18" s="530"/>
      <c r="N18" s="40"/>
      <c r="R18" s="475"/>
      <c r="S18" s="475"/>
      <c r="T18" s="475"/>
      <c r="U18" s="33"/>
      <c r="V18" s="101"/>
      <c r="W18" s="101"/>
      <c r="X18" s="101"/>
      <c r="Y18" s="101"/>
      <c r="Z18" s="101"/>
      <c r="AA18" s="101"/>
      <c r="AB18" s="101"/>
      <c r="AC18" s="101"/>
      <c r="AD18" s="101"/>
      <c r="AE18" s="101"/>
      <c r="AF18" s="101"/>
      <c r="AG18" s="101"/>
      <c r="AH18" s="101"/>
      <c r="AI18" s="101"/>
      <c r="AJ18" s="101"/>
      <c r="AK18" s="101"/>
      <c r="AL18" s="101"/>
      <c r="AM18" s="101"/>
      <c r="AN18" s="101"/>
      <c r="AO18" s="101"/>
      <c r="AP18" s="101"/>
    </row>
    <row r="19" spans="1:42" s="4" customFormat="1" ht="12.75" customHeight="1" x14ac:dyDescent="0.2">
      <c r="A19" s="101"/>
      <c r="B19" s="347"/>
      <c r="C19" s="544"/>
      <c r="D19" s="1127"/>
      <c r="E19" s="44"/>
      <c r="F19" s="45"/>
      <c r="G19" s="45"/>
      <c r="H19" s="122"/>
      <c r="I19" s="857"/>
      <c r="J19" s="122"/>
      <c r="K19" s="1137"/>
      <c r="L19" s="530"/>
      <c r="M19" s="530"/>
      <c r="N19" s="40"/>
      <c r="R19" s="475"/>
      <c r="S19" s="475"/>
      <c r="T19" s="475"/>
      <c r="U19" s="33"/>
      <c r="V19" s="101"/>
      <c r="W19" s="101"/>
      <c r="X19" s="101"/>
      <c r="Y19" s="101"/>
      <c r="Z19" s="101"/>
      <c r="AA19" s="101"/>
      <c r="AB19" s="101"/>
      <c r="AC19" s="101"/>
      <c r="AD19" s="101"/>
      <c r="AE19" s="101"/>
      <c r="AF19" s="101"/>
      <c r="AG19" s="101"/>
      <c r="AH19" s="101"/>
      <c r="AI19" s="101"/>
      <c r="AJ19" s="101"/>
      <c r="AK19" s="101"/>
      <c r="AL19" s="101"/>
      <c r="AM19" s="101"/>
      <c r="AN19" s="101"/>
      <c r="AO19" s="101"/>
      <c r="AP19" s="101"/>
    </row>
    <row r="20" spans="1:42" s="4" customFormat="1" ht="12.75" customHeight="1" x14ac:dyDescent="0.2">
      <c r="A20" s="101"/>
      <c r="B20" s="347"/>
      <c r="C20" s="544"/>
      <c r="D20" s="1127"/>
      <c r="E20" s="44"/>
      <c r="F20" s="45"/>
      <c r="G20" s="45"/>
      <c r="H20" s="122"/>
      <c r="I20" s="857"/>
      <c r="J20" s="122"/>
      <c r="K20" s="1137"/>
      <c r="L20" s="530"/>
      <c r="M20" s="530"/>
      <c r="N20" s="40"/>
      <c r="R20" s="475"/>
      <c r="S20" s="475"/>
      <c r="T20" s="475"/>
      <c r="U20" s="33"/>
      <c r="V20" s="101"/>
      <c r="W20" s="101"/>
      <c r="X20" s="101"/>
      <c r="Y20" s="101"/>
      <c r="Z20" s="101"/>
      <c r="AA20" s="101"/>
      <c r="AB20" s="101"/>
      <c r="AC20" s="101"/>
      <c r="AD20" s="101"/>
      <c r="AE20" s="101"/>
      <c r="AF20" s="101"/>
      <c r="AG20" s="101"/>
      <c r="AH20" s="101"/>
      <c r="AI20" s="101"/>
      <c r="AJ20" s="101"/>
      <c r="AK20" s="101"/>
      <c r="AL20" s="101"/>
      <c r="AM20" s="101"/>
      <c r="AN20" s="101"/>
      <c r="AO20" s="101"/>
      <c r="AP20" s="101"/>
    </row>
    <row r="21" spans="1:42" s="4" customFormat="1" ht="12.75" customHeight="1" x14ac:dyDescent="0.2">
      <c r="A21" s="101"/>
      <c r="B21" s="347"/>
      <c r="C21" s="544"/>
      <c r="D21" s="1127"/>
      <c r="E21" s="44"/>
      <c r="F21" s="45"/>
      <c r="G21" s="45"/>
      <c r="H21" s="122"/>
      <c r="I21" s="857"/>
      <c r="J21" s="122"/>
      <c r="K21" s="1137"/>
      <c r="L21" s="530"/>
      <c r="M21" s="530"/>
      <c r="N21" s="40"/>
      <c r="R21" s="475"/>
      <c r="S21" s="475"/>
      <c r="T21" s="475"/>
      <c r="U21" s="33"/>
      <c r="V21" s="101"/>
      <c r="W21" s="101"/>
      <c r="X21" s="101"/>
      <c r="Y21" s="101"/>
      <c r="Z21" s="101"/>
      <c r="AA21" s="101"/>
      <c r="AB21" s="101"/>
      <c r="AC21" s="101"/>
      <c r="AD21" s="101"/>
      <c r="AE21" s="101"/>
      <c r="AF21" s="101"/>
      <c r="AG21" s="101"/>
      <c r="AH21" s="101"/>
      <c r="AI21" s="101"/>
      <c r="AJ21" s="101"/>
      <c r="AK21" s="101"/>
      <c r="AL21" s="101"/>
      <c r="AM21" s="101"/>
      <c r="AN21" s="101"/>
      <c r="AO21" s="101"/>
      <c r="AP21" s="101"/>
    </row>
    <row r="22" spans="1:42" s="4" customFormat="1" ht="12.75" customHeight="1" x14ac:dyDescent="0.2">
      <c r="A22" s="101"/>
      <c r="B22" s="347"/>
      <c r="C22" s="544"/>
      <c r="D22" s="1127"/>
      <c r="E22" s="44"/>
      <c r="F22" s="45"/>
      <c r="G22" s="45"/>
      <c r="H22" s="122"/>
      <c r="I22" s="857"/>
      <c r="J22" s="122"/>
      <c r="K22" s="1137"/>
      <c r="L22" s="530"/>
      <c r="M22" s="530"/>
      <c r="N22" s="40"/>
      <c r="R22" s="475"/>
      <c r="S22" s="475"/>
      <c r="T22" s="475"/>
      <c r="U22" s="33"/>
      <c r="V22" s="101"/>
      <c r="W22" s="101"/>
      <c r="X22" s="101"/>
      <c r="Y22" s="101"/>
      <c r="Z22" s="101"/>
      <c r="AA22" s="101"/>
      <c r="AB22" s="101"/>
      <c r="AC22" s="101"/>
      <c r="AD22" s="101"/>
      <c r="AE22" s="101"/>
      <c r="AF22" s="101"/>
      <c r="AG22" s="101"/>
      <c r="AH22" s="101"/>
      <c r="AI22" s="101"/>
      <c r="AJ22" s="101"/>
      <c r="AK22" s="101"/>
      <c r="AL22" s="101"/>
      <c r="AM22" s="101"/>
      <c r="AN22" s="101"/>
      <c r="AO22" s="101"/>
      <c r="AP22" s="101"/>
    </row>
    <row r="23" spans="1:42" s="4" customFormat="1" ht="12.75" customHeight="1" x14ac:dyDescent="0.2">
      <c r="A23" s="101"/>
      <c r="B23" s="347"/>
      <c r="C23" s="544"/>
      <c r="D23" s="1127"/>
      <c r="E23" s="44"/>
      <c r="F23" s="45"/>
      <c r="G23" s="45"/>
      <c r="H23" s="122"/>
      <c r="I23" s="857"/>
      <c r="J23" s="122"/>
      <c r="K23" s="1137"/>
      <c r="L23" s="530"/>
      <c r="M23" s="530"/>
      <c r="N23" s="40"/>
      <c r="R23" s="475"/>
      <c r="S23" s="475"/>
      <c r="T23" s="475"/>
      <c r="U23" s="33"/>
      <c r="V23" s="101"/>
      <c r="W23" s="101"/>
      <c r="X23" s="101"/>
      <c r="Y23" s="101"/>
      <c r="Z23" s="101"/>
      <c r="AA23" s="101"/>
      <c r="AB23" s="101"/>
      <c r="AC23" s="101"/>
      <c r="AD23" s="101"/>
      <c r="AE23" s="101"/>
      <c r="AF23" s="101"/>
      <c r="AG23" s="101"/>
      <c r="AH23" s="101"/>
      <c r="AI23" s="101"/>
      <c r="AJ23" s="101"/>
      <c r="AK23" s="101"/>
      <c r="AL23" s="101"/>
      <c r="AM23" s="101"/>
      <c r="AN23" s="101"/>
      <c r="AO23" s="101"/>
      <c r="AP23" s="101"/>
    </row>
    <row r="24" spans="1:42" s="4" customFormat="1" ht="12.75" customHeight="1" x14ac:dyDescent="0.2">
      <c r="A24" s="101"/>
      <c r="B24" s="347"/>
      <c r="C24" s="544"/>
      <c r="D24" s="1127"/>
      <c r="E24" s="44"/>
      <c r="F24" s="45"/>
      <c r="G24" s="45"/>
      <c r="H24" s="122"/>
      <c r="I24" s="857"/>
      <c r="J24" s="122"/>
      <c r="K24" s="1137"/>
      <c r="L24" s="530"/>
      <c r="M24" s="530"/>
      <c r="N24" s="40"/>
      <c r="R24" s="475"/>
      <c r="S24" s="475"/>
      <c r="T24" s="475"/>
      <c r="U24" s="33"/>
      <c r="V24" s="101"/>
      <c r="W24" s="101"/>
      <c r="X24" s="101"/>
      <c r="Y24" s="101"/>
      <c r="Z24" s="101"/>
      <c r="AA24" s="101"/>
      <c r="AB24" s="101"/>
      <c r="AC24" s="101"/>
      <c r="AD24" s="101"/>
      <c r="AE24" s="101"/>
      <c r="AF24" s="101"/>
      <c r="AG24" s="101"/>
      <c r="AH24" s="101"/>
      <c r="AI24" s="101"/>
      <c r="AJ24" s="101"/>
      <c r="AK24" s="101"/>
      <c r="AL24" s="101"/>
      <c r="AM24" s="101"/>
      <c r="AN24" s="101"/>
      <c r="AO24" s="101"/>
      <c r="AP24" s="101"/>
    </row>
    <row r="25" spans="1:42" s="4" customFormat="1" ht="12.75" customHeight="1" x14ac:dyDescent="0.2">
      <c r="A25" s="101"/>
      <c r="B25" s="347"/>
      <c r="C25" s="544"/>
      <c r="D25" s="1127"/>
      <c r="E25" s="44"/>
      <c r="F25" s="45"/>
      <c r="G25" s="45"/>
      <c r="H25" s="122"/>
      <c r="I25" s="857"/>
      <c r="J25" s="122"/>
      <c r="K25" s="1137"/>
      <c r="L25" s="530"/>
      <c r="M25" s="530"/>
      <c r="N25" s="40"/>
      <c r="O25" s="40"/>
      <c r="P25" s="101"/>
      <c r="Q25" s="101"/>
      <c r="R25" s="475"/>
      <c r="S25" s="475"/>
      <c r="T25" s="475"/>
      <c r="U25" s="33"/>
      <c r="V25" s="101"/>
      <c r="W25" s="101"/>
      <c r="X25" s="101"/>
      <c r="Y25" s="101"/>
      <c r="Z25" s="101"/>
      <c r="AA25" s="101"/>
      <c r="AB25" s="101"/>
      <c r="AC25" s="101"/>
      <c r="AD25" s="101"/>
      <c r="AE25" s="101"/>
      <c r="AF25" s="101"/>
      <c r="AG25" s="101"/>
      <c r="AH25" s="101"/>
      <c r="AI25" s="101"/>
      <c r="AJ25" s="101"/>
      <c r="AK25" s="101"/>
      <c r="AL25" s="101"/>
      <c r="AM25" s="101"/>
      <c r="AN25" s="101"/>
      <c r="AO25" s="101"/>
      <c r="AP25" s="101"/>
    </row>
    <row r="26" spans="1:42" s="4" customFormat="1" ht="12.75" customHeight="1" x14ac:dyDescent="0.2">
      <c r="A26" s="101"/>
      <c r="B26" s="347"/>
      <c r="C26" s="544"/>
      <c r="D26" s="1127"/>
      <c r="E26" s="44"/>
      <c r="F26" s="45"/>
      <c r="G26" s="45"/>
      <c r="H26" s="122"/>
      <c r="I26" s="857"/>
      <c r="J26" s="122"/>
      <c r="K26" s="1137"/>
      <c r="L26" s="530"/>
      <c r="M26" s="530"/>
      <c r="N26" s="40"/>
      <c r="O26" s="40"/>
      <c r="P26" s="101"/>
      <c r="Q26" s="101"/>
      <c r="R26" s="475"/>
      <c r="S26" s="475"/>
      <c r="T26" s="475"/>
      <c r="U26" s="33"/>
      <c r="V26" s="101"/>
      <c r="W26" s="101"/>
      <c r="X26" s="101"/>
      <c r="Y26" s="101"/>
      <c r="Z26" s="101"/>
      <c r="AA26" s="101"/>
      <c r="AB26" s="101"/>
      <c r="AC26" s="101"/>
      <c r="AD26" s="101"/>
      <c r="AE26" s="101"/>
      <c r="AF26" s="101"/>
      <c r="AG26" s="101"/>
      <c r="AH26" s="101"/>
      <c r="AI26" s="101"/>
      <c r="AJ26" s="101"/>
      <c r="AK26" s="101"/>
      <c r="AL26" s="101"/>
      <c r="AM26" s="101"/>
      <c r="AN26" s="101"/>
      <c r="AO26" s="101"/>
      <c r="AP26" s="101"/>
    </row>
    <row r="27" spans="1:42" s="4" customFormat="1" ht="12.75" customHeight="1" x14ac:dyDescent="0.2">
      <c r="A27" s="101"/>
      <c r="B27" s="347"/>
      <c r="C27" s="544"/>
      <c r="D27" s="1127"/>
      <c r="E27" s="44"/>
      <c r="F27" s="45"/>
      <c r="G27" s="45"/>
      <c r="H27" s="122"/>
      <c r="I27" s="857"/>
      <c r="J27" s="122"/>
      <c r="K27" s="1137"/>
      <c r="L27" s="530"/>
      <c r="M27" s="530"/>
      <c r="N27" s="40"/>
      <c r="O27" s="40"/>
      <c r="P27" s="101"/>
      <c r="Q27" s="101"/>
      <c r="R27" s="475"/>
      <c r="S27" s="475"/>
      <c r="T27" s="475"/>
      <c r="U27" s="33"/>
      <c r="V27" s="101"/>
      <c r="W27" s="101"/>
      <c r="X27" s="101"/>
      <c r="Y27" s="101"/>
      <c r="Z27" s="101"/>
      <c r="AA27" s="101"/>
      <c r="AB27" s="101"/>
      <c r="AC27" s="101"/>
      <c r="AD27" s="101"/>
      <c r="AE27" s="101"/>
      <c r="AF27" s="101"/>
      <c r="AG27" s="101"/>
      <c r="AH27" s="101"/>
      <c r="AI27" s="101"/>
      <c r="AJ27" s="101"/>
      <c r="AK27" s="101"/>
      <c r="AL27" s="101"/>
      <c r="AM27" s="101"/>
      <c r="AN27" s="101"/>
      <c r="AO27" s="101"/>
      <c r="AP27" s="101"/>
    </row>
    <row r="28" spans="1:42" s="4" customFormat="1" ht="12.75" customHeight="1" x14ac:dyDescent="0.2">
      <c r="A28" s="101"/>
      <c r="B28" s="347"/>
      <c r="C28" s="544"/>
      <c r="D28" s="1127"/>
      <c r="E28" s="44"/>
      <c r="F28" s="45"/>
      <c r="G28" s="45"/>
      <c r="H28" s="122"/>
      <c r="I28" s="857"/>
      <c r="J28" s="122"/>
      <c r="K28" s="1137"/>
      <c r="L28" s="530"/>
      <c r="M28" s="530"/>
      <c r="N28" s="40"/>
      <c r="O28" s="40"/>
      <c r="P28" s="101"/>
      <c r="Q28" s="101"/>
      <c r="R28" s="475"/>
      <c r="S28" s="475"/>
      <c r="T28" s="475"/>
      <c r="U28" s="33"/>
      <c r="V28" s="101"/>
      <c r="W28" s="101"/>
      <c r="X28" s="101"/>
      <c r="Y28" s="101"/>
      <c r="Z28" s="101"/>
      <c r="AA28" s="101"/>
      <c r="AB28" s="101"/>
      <c r="AC28" s="101"/>
      <c r="AD28" s="101"/>
      <c r="AE28" s="101"/>
      <c r="AF28" s="101"/>
      <c r="AG28" s="101"/>
      <c r="AH28" s="101"/>
      <c r="AI28" s="101"/>
      <c r="AJ28" s="101"/>
      <c r="AK28" s="101"/>
      <c r="AL28" s="101"/>
      <c r="AM28" s="101"/>
      <c r="AN28" s="101"/>
      <c r="AO28" s="101"/>
      <c r="AP28" s="101"/>
    </row>
    <row r="29" spans="1:42" s="4" customFormat="1" ht="12.75" customHeight="1" x14ac:dyDescent="0.2">
      <c r="A29" s="101"/>
      <c r="B29" s="347"/>
      <c r="C29" s="544"/>
      <c r="D29" s="1127"/>
      <c r="E29" s="44"/>
      <c r="F29" s="45"/>
      <c r="G29" s="45"/>
      <c r="H29" s="122"/>
      <c r="I29" s="857"/>
      <c r="J29" s="122"/>
      <c r="K29" s="1137"/>
      <c r="L29" s="530"/>
      <c r="M29" s="530"/>
      <c r="N29" s="40"/>
      <c r="O29" s="40"/>
      <c r="P29" s="101"/>
      <c r="Q29" s="101"/>
      <c r="R29" s="475"/>
      <c r="S29" s="475"/>
      <c r="T29" s="475"/>
      <c r="U29" s="33"/>
      <c r="V29" s="101"/>
      <c r="W29" s="101"/>
      <c r="X29" s="101"/>
      <c r="Y29" s="101"/>
      <c r="Z29" s="101"/>
      <c r="AA29" s="101"/>
      <c r="AB29" s="101"/>
      <c r="AC29" s="101"/>
      <c r="AD29" s="101"/>
      <c r="AE29" s="101"/>
      <c r="AF29" s="101"/>
      <c r="AG29" s="101"/>
      <c r="AH29" s="101"/>
      <c r="AI29" s="101"/>
      <c r="AJ29" s="101"/>
      <c r="AK29" s="101"/>
      <c r="AL29" s="101"/>
      <c r="AM29" s="101"/>
      <c r="AN29" s="101"/>
      <c r="AO29" s="101"/>
      <c r="AP29" s="101"/>
    </row>
    <row r="30" spans="1:42" s="4" customFormat="1" ht="12.75" customHeight="1" x14ac:dyDescent="0.2">
      <c r="A30" s="101"/>
      <c r="B30" s="347"/>
      <c r="C30" s="544"/>
      <c r="D30" s="1127"/>
      <c r="E30" s="44"/>
      <c r="F30" s="45"/>
      <c r="G30" s="45"/>
      <c r="H30" s="122"/>
      <c r="I30" s="857"/>
      <c r="J30" s="122"/>
      <c r="K30" s="1137"/>
      <c r="L30" s="530"/>
      <c r="M30" s="530"/>
      <c r="N30" s="40"/>
      <c r="O30" s="40"/>
      <c r="P30" s="101"/>
      <c r="Q30" s="101"/>
      <c r="R30" s="475"/>
      <c r="S30" s="475"/>
      <c r="T30" s="475"/>
      <c r="U30" s="33"/>
      <c r="V30" s="101"/>
      <c r="W30" s="101"/>
      <c r="X30" s="101"/>
      <c r="Y30" s="101"/>
      <c r="Z30" s="101"/>
      <c r="AA30" s="101"/>
      <c r="AB30" s="101"/>
      <c r="AC30" s="101"/>
      <c r="AD30" s="101"/>
      <c r="AE30" s="101"/>
      <c r="AF30" s="101"/>
      <c r="AG30" s="101"/>
      <c r="AH30" s="101"/>
      <c r="AI30" s="101"/>
      <c r="AJ30" s="101"/>
      <c r="AK30" s="101"/>
      <c r="AL30" s="101"/>
      <c r="AM30" s="101"/>
      <c r="AN30" s="101"/>
      <c r="AO30" s="101"/>
      <c r="AP30" s="101"/>
    </row>
    <row r="31" spans="1:42" s="4" customFormat="1" ht="12.75" customHeight="1" x14ac:dyDescent="0.2">
      <c r="A31" s="101"/>
      <c r="B31" s="347"/>
      <c r="C31" s="544"/>
      <c r="D31" s="1127"/>
      <c r="E31" s="44"/>
      <c r="F31" s="45"/>
      <c r="G31" s="45"/>
      <c r="H31" s="122"/>
      <c r="I31" s="857"/>
      <c r="J31" s="122"/>
      <c r="K31" s="1137"/>
      <c r="L31" s="530"/>
      <c r="M31" s="530"/>
      <c r="N31" s="40"/>
      <c r="O31" s="40"/>
      <c r="P31" s="101"/>
      <c r="Q31" s="101"/>
      <c r="R31" s="475"/>
      <c r="S31" s="475"/>
      <c r="T31" s="475"/>
      <c r="U31" s="33"/>
      <c r="V31" s="101"/>
      <c r="W31" s="101"/>
      <c r="X31" s="101"/>
      <c r="Y31" s="101"/>
      <c r="Z31" s="101"/>
      <c r="AA31" s="101"/>
      <c r="AB31" s="101"/>
      <c r="AC31" s="101"/>
      <c r="AD31" s="101"/>
      <c r="AE31" s="101"/>
      <c r="AF31" s="101"/>
      <c r="AG31" s="101"/>
      <c r="AH31" s="101"/>
      <c r="AI31" s="101"/>
      <c r="AJ31" s="101"/>
      <c r="AK31" s="101"/>
      <c r="AL31" s="101"/>
      <c r="AM31" s="101"/>
      <c r="AN31" s="101"/>
      <c r="AO31" s="101"/>
      <c r="AP31" s="101"/>
    </row>
    <row r="32" spans="1:42" s="4" customFormat="1" ht="12.75" customHeight="1" x14ac:dyDescent="0.2">
      <c r="A32" s="101"/>
      <c r="B32" s="347"/>
      <c r="C32" s="544"/>
      <c r="D32" s="1127"/>
      <c r="E32" s="44"/>
      <c r="F32" s="45"/>
      <c r="G32" s="45"/>
      <c r="H32" s="122"/>
      <c r="I32" s="857"/>
      <c r="J32" s="122"/>
      <c r="K32" s="1137"/>
      <c r="L32" s="530"/>
      <c r="M32" s="530"/>
      <c r="N32" s="40"/>
      <c r="O32" s="40"/>
      <c r="P32" s="101"/>
      <c r="Q32" s="101"/>
      <c r="R32" s="475"/>
      <c r="S32" s="475"/>
      <c r="T32" s="475"/>
      <c r="U32" s="33"/>
      <c r="V32" s="101"/>
      <c r="W32" s="101"/>
      <c r="X32" s="101"/>
      <c r="Y32" s="101"/>
      <c r="Z32" s="101"/>
      <c r="AA32" s="101"/>
      <c r="AB32" s="101"/>
      <c r="AC32" s="101"/>
      <c r="AD32" s="101"/>
      <c r="AE32" s="101"/>
      <c r="AF32" s="101"/>
      <c r="AG32" s="101"/>
      <c r="AH32" s="101"/>
      <c r="AI32" s="101"/>
      <c r="AJ32" s="101"/>
      <c r="AK32" s="101"/>
      <c r="AL32" s="101"/>
      <c r="AM32" s="101"/>
      <c r="AN32" s="101"/>
      <c r="AO32" s="101"/>
      <c r="AP32" s="101"/>
    </row>
    <row r="33" spans="1:42" s="4" customFormat="1" ht="12.75" customHeight="1" x14ac:dyDescent="0.2">
      <c r="A33" s="101"/>
      <c r="B33" s="347"/>
      <c r="C33" s="544"/>
      <c r="D33" s="1127"/>
      <c r="E33" s="44"/>
      <c r="F33" s="45"/>
      <c r="G33" s="45"/>
      <c r="H33" s="122"/>
      <c r="I33" s="857"/>
      <c r="J33" s="122"/>
      <c r="K33" s="1137"/>
      <c r="L33" s="530"/>
      <c r="M33" s="530"/>
      <c r="N33" s="40"/>
      <c r="O33" s="40"/>
      <c r="P33" s="101"/>
      <c r="Q33" s="101"/>
      <c r="R33" s="475"/>
      <c r="S33" s="475"/>
      <c r="T33" s="475"/>
      <c r="U33" s="33"/>
      <c r="V33" s="101"/>
      <c r="W33" s="101"/>
      <c r="X33" s="101"/>
      <c r="Y33" s="101"/>
      <c r="Z33" s="101"/>
      <c r="AA33" s="101"/>
      <c r="AB33" s="101"/>
      <c r="AC33" s="101"/>
      <c r="AD33" s="101"/>
      <c r="AE33" s="101"/>
      <c r="AF33" s="101"/>
      <c r="AG33" s="101"/>
      <c r="AH33" s="101"/>
      <c r="AI33" s="101"/>
      <c r="AJ33" s="101"/>
      <c r="AK33" s="101"/>
      <c r="AL33" s="101"/>
      <c r="AM33" s="101"/>
      <c r="AN33" s="101"/>
      <c r="AO33" s="101"/>
      <c r="AP33" s="101"/>
    </row>
    <row r="34" spans="1:42" s="4" customFormat="1" ht="12.75" customHeight="1" x14ac:dyDescent="0.2">
      <c r="A34" s="101"/>
      <c r="B34" s="347"/>
      <c r="C34" s="544"/>
      <c r="D34" s="1127"/>
      <c r="E34" s="44"/>
      <c r="F34" s="45"/>
      <c r="G34" s="45"/>
      <c r="H34" s="122"/>
      <c r="I34" s="857"/>
      <c r="J34" s="122"/>
      <c r="K34" s="1137"/>
      <c r="L34" s="530"/>
      <c r="M34" s="530"/>
      <c r="N34" s="40"/>
      <c r="O34" s="40"/>
      <c r="P34" s="101"/>
      <c r="Q34" s="101"/>
      <c r="R34" s="475"/>
      <c r="S34" s="475"/>
      <c r="T34" s="475"/>
      <c r="U34" s="33"/>
      <c r="V34" s="101"/>
      <c r="W34" s="101"/>
      <c r="X34" s="101"/>
      <c r="Y34" s="101"/>
      <c r="Z34" s="101"/>
      <c r="AA34" s="101"/>
      <c r="AB34" s="101"/>
      <c r="AC34" s="101"/>
      <c r="AD34" s="101"/>
      <c r="AE34" s="101"/>
      <c r="AF34" s="101"/>
      <c r="AG34" s="101"/>
      <c r="AH34" s="101"/>
      <c r="AI34" s="101"/>
      <c r="AJ34" s="101"/>
      <c r="AK34" s="101"/>
      <c r="AL34" s="101"/>
      <c r="AM34" s="101"/>
      <c r="AN34" s="101"/>
      <c r="AO34" s="101"/>
      <c r="AP34" s="101"/>
    </row>
    <row r="35" spans="1:42" s="4" customFormat="1" ht="12.75" customHeight="1" x14ac:dyDescent="0.2">
      <c r="A35" s="101"/>
      <c r="B35" s="347"/>
      <c r="C35" s="544"/>
      <c r="D35" s="1127"/>
      <c r="E35" s="44"/>
      <c r="F35" s="45"/>
      <c r="G35" s="45"/>
      <c r="H35" s="122"/>
      <c r="I35" s="857"/>
      <c r="J35" s="122"/>
      <c r="K35" s="1137"/>
      <c r="L35" s="530"/>
      <c r="M35" s="530"/>
      <c r="N35" s="40"/>
      <c r="O35" s="40"/>
      <c r="P35" s="101"/>
      <c r="Q35" s="101"/>
      <c r="R35" s="475"/>
      <c r="S35" s="475"/>
      <c r="T35" s="475"/>
      <c r="U35" s="33"/>
      <c r="V35" s="101"/>
      <c r="W35" s="101"/>
      <c r="X35" s="101"/>
      <c r="Y35" s="101"/>
      <c r="Z35" s="101"/>
      <c r="AA35" s="101"/>
      <c r="AB35" s="101"/>
      <c r="AC35" s="101"/>
      <c r="AD35" s="101"/>
      <c r="AE35" s="101"/>
      <c r="AF35" s="101"/>
      <c r="AG35" s="101"/>
      <c r="AH35" s="101"/>
      <c r="AI35" s="101"/>
      <c r="AJ35" s="101"/>
      <c r="AK35" s="101"/>
      <c r="AL35" s="101"/>
      <c r="AM35" s="101"/>
      <c r="AN35" s="101"/>
      <c r="AO35" s="101"/>
      <c r="AP35" s="101"/>
    </row>
    <row r="36" spans="1:42" s="4" customFormat="1" ht="12.75" customHeight="1" x14ac:dyDescent="0.2">
      <c r="A36" s="101"/>
      <c r="B36" s="347"/>
      <c r="C36" s="544"/>
      <c r="D36" s="1127"/>
      <c r="E36" s="44"/>
      <c r="F36" s="45"/>
      <c r="G36" s="45"/>
      <c r="H36" s="122"/>
      <c r="I36" s="857"/>
      <c r="J36" s="122"/>
      <c r="K36" s="1137"/>
      <c r="L36" s="530"/>
      <c r="M36" s="530"/>
      <c r="N36" s="40"/>
      <c r="O36" s="40"/>
      <c r="P36" s="101"/>
      <c r="Q36" s="101"/>
      <c r="R36" s="475"/>
      <c r="S36" s="475"/>
      <c r="T36" s="475"/>
      <c r="U36" s="33"/>
      <c r="V36" s="101"/>
      <c r="W36" s="101"/>
      <c r="X36" s="101"/>
      <c r="Y36" s="101"/>
      <c r="Z36" s="101"/>
      <c r="AA36" s="101"/>
      <c r="AB36" s="101"/>
      <c r="AC36" s="101"/>
      <c r="AD36" s="101"/>
      <c r="AE36" s="101"/>
      <c r="AF36" s="101"/>
      <c r="AG36" s="101"/>
      <c r="AH36" s="101"/>
      <c r="AI36" s="101"/>
      <c r="AJ36" s="101"/>
      <c r="AK36" s="101"/>
      <c r="AL36" s="101"/>
      <c r="AM36" s="101"/>
      <c r="AN36" s="101"/>
      <c r="AO36" s="101"/>
      <c r="AP36" s="101"/>
    </row>
    <row r="37" spans="1:42" s="4" customFormat="1" ht="12.75" customHeight="1" x14ac:dyDescent="0.2">
      <c r="A37" s="101"/>
      <c r="B37" s="347"/>
      <c r="C37" s="544"/>
      <c r="D37" s="1127"/>
      <c r="E37" s="44"/>
      <c r="F37" s="45"/>
      <c r="G37" s="45"/>
      <c r="H37" s="122"/>
      <c r="I37" s="857"/>
      <c r="J37" s="122"/>
      <c r="K37" s="1137"/>
      <c r="L37" s="530"/>
      <c r="M37" s="530"/>
      <c r="N37" s="40"/>
      <c r="O37" s="40"/>
      <c r="P37" s="101"/>
      <c r="Q37" s="101"/>
      <c r="R37" s="475"/>
      <c r="S37" s="475"/>
      <c r="T37" s="475"/>
      <c r="U37" s="33"/>
      <c r="V37" s="101"/>
      <c r="W37" s="101"/>
      <c r="X37" s="101"/>
      <c r="Y37" s="101"/>
      <c r="Z37" s="101"/>
      <c r="AA37" s="101"/>
      <c r="AB37" s="101"/>
      <c r="AC37" s="101"/>
      <c r="AD37" s="101"/>
      <c r="AE37" s="101"/>
      <c r="AF37" s="101"/>
      <c r="AG37" s="101"/>
      <c r="AH37" s="101"/>
      <c r="AI37" s="101"/>
      <c r="AJ37" s="101"/>
      <c r="AK37" s="101"/>
      <c r="AL37" s="101"/>
      <c r="AM37" s="101"/>
      <c r="AN37" s="101"/>
      <c r="AO37" s="101"/>
      <c r="AP37" s="101"/>
    </row>
    <row r="38" spans="1:42" s="4" customFormat="1" ht="12.75" customHeight="1" x14ac:dyDescent="0.2">
      <c r="A38" s="101"/>
      <c r="B38" s="347"/>
      <c r="C38" s="544"/>
      <c r="D38" s="1127"/>
      <c r="E38" s="44"/>
      <c r="F38" s="45"/>
      <c r="G38" s="45"/>
      <c r="H38" s="122"/>
      <c r="I38" s="857"/>
      <c r="J38" s="122"/>
      <c r="K38" s="1137"/>
      <c r="L38" s="530"/>
      <c r="M38" s="530"/>
      <c r="N38" s="40"/>
      <c r="O38" s="40"/>
      <c r="P38" s="101"/>
      <c r="Q38" s="101"/>
      <c r="R38" s="475"/>
      <c r="S38" s="475"/>
      <c r="T38" s="475"/>
      <c r="U38" s="33"/>
      <c r="V38" s="101"/>
      <c r="W38" s="101"/>
      <c r="X38" s="101"/>
      <c r="Y38" s="101"/>
      <c r="Z38" s="101"/>
      <c r="AA38" s="101"/>
      <c r="AB38" s="101"/>
      <c r="AC38" s="101"/>
      <c r="AD38" s="101"/>
      <c r="AE38" s="101"/>
      <c r="AF38" s="101"/>
      <c r="AG38" s="101"/>
      <c r="AH38" s="101"/>
      <c r="AI38" s="101"/>
      <c r="AJ38" s="101"/>
      <c r="AK38" s="101"/>
      <c r="AL38" s="101"/>
      <c r="AM38" s="101"/>
      <c r="AN38" s="101"/>
      <c r="AO38" s="101"/>
      <c r="AP38" s="101"/>
    </row>
    <row r="39" spans="1:42" s="4" customFormat="1" ht="12.75" customHeight="1" x14ac:dyDescent="0.2">
      <c r="A39" s="101"/>
      <c r="B39" s="347"/>
      <c r="C39" s="544"/>
      <c r="D39" s="1127"/>
      <c r="E39" s="44"/>
      <c r="F39" s="45"/>
      <c r="G39" s="45"/>
      <c r="H39" s="122"/>
      <c r="I39" s="857"/>
      <c r="J39" s="122"/>
      <c r="K39" s="1137"/>
      <c r="L39" s="530"/>
      <c r="M39" s="530"/>
      <c r="N39" s="40"/>
      <c r="O39" s="40"/>
      <c r="P39" s="101"/>
      <c r="Q39" s="101"/>
      <c r="R39" s="475"/>
      <c r="S39" s="475"/>
      <c r="T39" s="475"/>
      <c r="U39" s="33"/>
      <c r="V39" s="101"/>
      <c r="W39" s="101"/>
      <c r="X39" s="101"/>
      <c r="Y39" s="101"/>
      <c r="Z39" s="101"/>
      <c r="AA39" s="101"/>
      <c r="AB39" s="101"/>
      <c r="AC39" s="101"/>
      <c r="AD39" s="101"/>
      <c r="AE39" s="101"/>
      <c r="AF39" s="101"/>
      <c r="AG39" s="101"/>
      <c r="AH39" s="101"/>
      <c r="AI39" s="101"/>
      <c r="AJ39" s="101"/>
      <c r="AK39" s="101"/>
      <c r="AL39" s="101"/>
      <c r="AM39" s="101"/>
      <c r="AN39" s="101"/>
      <c r="AO39" s="101"/>
      <c r="AP39" s="101"/>
    </row>
    <row r="40" spans="1:42" s="4" customFormat="1" ht="12.75" customHeight="1" x14ac:dyDescent="0.2">
      <c r="A40" s="101"/>
      <c r="B40" s="347"/>
      <c r="C40" s="544"/>
      <c r="D40" s="1127"/>
      <c r="E40" s="44"/>
      <c r="F40" s="45"/>
      <c r="G40" s="45"/>
      <c r="H40" s="122"/>
      <c r="I40" s="857"/>
      <c r="J40" s="122"/>
      <c r="K40" s="1137"/>
      <c r="L40" s="530"/>
      <c r="M40" s="530"/>
      <c r="N40" s="40"/>
      <c r="O40" s="40"/>
      <c r="P40" s="101"/>
      <c r="Q40" s="101"/>
      <c r="R40" s="475"/>
      <c r="S40" s="475"/>
      <c r="T40" s="475"/>
      <c r="U40" s="33"/>
      <c r="V40" s="101"/>
      <c r="W40" s="101"/>
      <c r="X40" s="101"/>
      <c r="Y40" s="101"/>
      <c r="Z40" s="101"/>
      <c r="AA40" s="101"/>
      <c r="AB40" s="101"/>
      <c r="AC40" s="101"/>
      <c r="AD40" s="101"/>
      <c r="AE40" s="101"/>
      <c r="AF40" s="101"/>
      <c r="AG40" s="101"/>
      <c r="AH40" s="101"/>
      <c r="AI40" s="101"/>
      <c r="AJ40" s="101"/>
      <c r="AK40" s="101"/>
      <c r="AL40" s="101"/>
      <c r="AM40" s="101"/>
      <c r="AN40" s="101"/>
      <c r="AO40" s="101"/>
      <c r="AP40" s="101"/>
    </row>
    <row r="41" spans="1:42" s="4" customFormat="1" ht="12.75" customHeight="1" x14ac:dyDescent="0.2">
      <c r="A41" s="101"/>
      <c r="B41" s="347"/>
      <c r="C41" s="544"/>
      <c r="D41" s="1127"/>
      <c r="E41" s="44"/>
      <c r="F41" s="45"/>
      <c r="G41" s="45"/>
      <c r="H41" s="122"/>
      <c r="I41" s="857"/>
      <c r="J41" s="122"/>
      <c r="K41" s="1137"/>
      <c r="L41" s="530"/>
      <c r="M41" s="530"/>
      <c r="N41" s="40"/>
      <c r="O41" s="101"/>
      <c r="P41" s="101"/>
      <c r="Q41" s="101"/>
      <c r="R41" s="475"/>
      <c r="S41" s="475"/>
      <c r="T41" s="475"/>
      <c r="U41" s="33"/>
      <c r="V41" s="101"/>
      <c r="W41" s="101"/>
      <c r="X41" s="101"/>
      <c r="Y41" s="101"/>
      <c r="Z41" s="101"/>
      <c r="AA41" s="101"/>
      <c r="AB41" s="101"/>
      <c r="AC41" s="101"/>
      <c r="AD41" s="101"/>
      <c r="AE41" s="101"/>
      <c r="AF41" s="101"/>
      <c r="AG41" s="101"/>
      <c r="AH41" s="101"/>
      <c r="AI41" s="101"/>
      <c r="AJ41" s="101"/>
      <c r="AK41" s="101"/>
      <c r="AL41" s="101"/>
      <c r="AM41" s="101"/>
      <c r="AN41" s="101"/>
      <c r="AO41" s="101"/>
      <c r="AP41" s="101"/>
    </row>
    <row r="42" spans="1:42" s="4" customFormat="1" ht="12.75" customHeight="1" x14ac:dyDescent="0.2">
      <c r="A42" s="101"/>
      <c r="B42" s="347"/>
      <c r="C42" s="544"/>
      <c r="D42" s="1127"/>
      <c r="E42" s="44"/>
      <c r="F42" s="45"/>
      <c r="G42" s="45"/>
      <c r="H42" s="122"/>
      <c r="I42" s="857"/>
      <c r="J42" s="122"/>
      <c r="K42" s="1137"/>
      <c r="L42" s="530"/>
      <c r="M42" s="530"/>
      <c r="N42" s="40"/>
      <c r="O42" s="101"/>
      <c r="P42" s="101"/>
      <c r="Q42" s="101"/>
      <c r="R42" s="475"/>
      <c r="S42" s="475"/>
      <c r="T42" s="475"/>
      <c r="U42" s="33"/>
      <c r="V42" s="101"/>
      <c r="W42" s="101"/>
      <c r="X42" s="101"/>
      <c r="Y42" s="101"/>
      <c r="Z42" s="101"/>
      <c r="AA42" s="101"/>
      <c r="AB42" s="101"/>
      <c r="AC42" s="101"/>
      <c r="AD42" s="101"/>
      <c r="AE42" s="101"/>
      <c r="AF42" s="101"/>
      <c r="AG42" s="101"/>
      <c r="AH42" s="101"/>
      <c r="AI42" s="101"/>
      <c r="AJ42" s="101"/>
      <c r="AK42" s="101"/>
      <c r="AL42" s="101"/>
      <c r="AM42" s="101"/>
      <c r="AN42" s="101"/>
      <c r="AO42" s="101"/>
      <c r="AP42" s="101"/>
    </row>
    <row r="43" spans="1:42" s="4" customFormat="1" ht="12.75" customHeight="1" x14ac:dyDescent="0.2">
      <c r="A43" s="101"/>
      <c r="B43" s="347"/>
      <c r="C43" s="544"/>
      <c r="D43" s="1127"/>
      <c r="E43" s="44"/>
      <c r="F43" s="45"/>
      <c r="G43" s="45"/>
      <c r="H43" s="122"/>
      <c r="I43" s="857"/>
      <c r="J43" s="122"/>
      <c r="K43" s="1137"/>
      <c r="L43" s="530"/>
      <c r="M43" s="530"/>
      <c r="N43" s="40"/>
      <c r="O43" s="101"/>
      <c r="P43" s="101"/>
      <c r="Q43" s="101"/>
      <c r="R43" s="475"/>
      <c r="S43" s="475"/>
      <c r="T43" s="475"/>
      <c r="U43" s="33"/>
      <c r="V43" s="101"/>
      <c r="W43" s="101"/>
      <c r="X43" s="101"/>
      <c r="Y43" s="101"/>
      <c r="Z43" s="101"/>
      <c r="AA43" s="101"/>
      <c r="AB43" s="101"/>
      <c r="AC43" s="101"/>
      <c r="AD43" s="101"/>
      <c r="AE43" s="101"/>
      <c r="AF43" s="101"/>
      <c r="AG43" s="101"/>
      <c r="AH43" s="101"/>
      <c r="AI43" s="101"/>
      <c r="AJ43" s="101"/>
      <c r="AK43" s="101"/>
      <c r="AL43" s="101"/>
      <c r="AM43" s="101"/>
      <c r="AN43" s="101"/>
      <c r="AO43" s="101"/>
      <c r="AP43" s="101"/>
    </row>
    <row r="44" spans="1:42" s="4" customFormat="1" ht="12.75" customHeight="1" x14ac:dyDescent="0.2">
      <c r="A44" s="101"/>
      <c r="B44" s="347"/>
      <c r="C44" s="544"/>
      <c r="D44" s="1127"/>
      <c r="E44" s="44"/>
      <c r="F44" s="45"/>
      <c r="G44" s="45"/>
      <c r="H44" s="122"/>
      <c r="I44" s="857"/>
      <c r="J44" s="122"/>
      <c r="K44" s="1137"/>
      <c r="L44" s="101"/>
      <c r="M44" s="101"/>
      <c r="N44" s="101"/>
      <c r="O44" s="101"/>
      <c r="P44" s="101"/>
      <c r="Q44" s="251"/>
      <c r="R44" s="475"/>
      <c r="S44" s="475"/>
      <c r="T44" s="475"/>
      <c r="U44" s="33"/>
      <c r="V44" s="101"/>
      <c r="W44" s="101"/>
      <c r="X44" s="101"/>
      <c r="Y44" s="101"/>
      <c r="Z44" s="101"/>
      <c r="AA44" s="101"/>
      <c r="AB44" s="101"/>
      <c r="AC44" s="101"/>
      <c r="AD44" s="101"/>
      <c r="AE44" s="101"/>
      <c r="AF44" s="101"/>
      <c r="AG44" s="101"/>
      <c r="AH44" s="101"/>
      <c r="AI44" s="101"/>
      <c r="AJ44" s="101"/>
      <c r="AK44" s="101"/>
      <c r="AL44" s="101"/>
      <c r="AM44" s="101"/>
      <c r="AN44" s="101"/>
      <c r="AO44" s="101"/>
      <c r="AP44" s="101"/>
    </row>
    <row r="45" spans="1:42" s="4" customFormat="1" ht="12.75" customHeight="1" x14ac:dyDescent="0.2">
      <c r="A45" s="101"/>
      <c r="B45" s="347"/>
      <c r="C45" s="544"/>
      <c r="D45" s="1127"/>
      <c r="E45" s="44"/>
      <c r="F45" s="45"/>
      <c r="G45" s="45"/>
      <c r="H45" s="122"/>
      <c r="I45" s="857"/>
      <c r="J45" s="122"/>
      <c r="K45" s="1137"/>
      <c r="L45" s="101"/>
      <c r="M45" s="101"/>
      <c r="N45" s="231"/>
      <c r="O45" s="231"/>
      <c r="P45" s="231"/>
      <c r="Q45" s="231"/>
      <c r="R45" s="475"/>
      <c r="S45" s="475"/>
      <c r="T45" s="475"/>
      <c r="U45" s="33"/>
      <c r="V45" s="101"/>
      <c r="W45" s="101"/>
      <c r="X45" s="101"/>
      <c r="Y45" s="101"/>
      <c r="Z45" s="101"/>
      <c r="AA45" s="101"/>
      <c r="AB45" s="101"/>
      <c r="AC45" s="101"/>
      <c r="AD45" s="101"/>
      <c r="AE45" s="101"/>
      <c r="AF45" s="101"/>
      <c r="AG45" s="101"/>
      <c r="AH45" s="101"/>
      <c r="AI45" s="101"/>
      <c r="AJ45" s="101"/>
      <c r="AK45" s="101"/>
      <c r="AL45" s="101"/>
      <c r="AM45" s="101"/>
      <c r="AN45" s="101"/>
      <c r="AO45" s="101"/>
      <c r="AP45" s="101"/>
    </row>
    <row r="46" spans="1:42" s="4" customFormat="1" ht="12.75" customHeight="1" x14ac:dyDescent="0.2">
      <c r="A46" s="101"/>
      <c r="B46" s="347"/>
      <c r="C46" s="544"/>
      <c r="D46" s="1127"/>
      <c r="E46" s="44"/>
      <c r="F46" s="45"/>
      <c r="G46" s="45"/>
      <c r="H46" s="122"/>
      <c r="I46" s="857"/>
      <c r="J46" s="122"/>
      <c r="K46" s="1137"/>
      <c r="L46" s="101"/>
      <c r="M46" s="86"/>
      <c r="N46" s="1140"/>
      <c r="O46" s="207"/>
      <c r="P46" s="101"/>
      <c r="Q46" s="304"/>
      <c r="R46" s="475"/>
      <c r="S46" s="475"/>
      <c r="T46" s="475"/>
      <c r="U46" s="33"/>
      <c r="V46" s="101"/>
      <c r="W46" s="101"/>
      <c r="X46" s="101"/>
      <c r="Y46" s="101"/>
      <c r="Z46" s="101"/>
      <c r="AA46" s="101"/>
      <c r="AB46" s="101"/>
      <c r="AC46" s="101"/>
      <c r="AD46" s="101"/>
      <c r="AE46" s="101"/>
      <c r="AF46" s="101"/>
      <c r="AG46" s="101"/>
      <c r="AH46" s="101"/>
      <c r="AI46" s="101"/>
      <c r="AJ46" s="101"/>
      <c r="AK46" s="101"/>
      <c r="AL46" s="101"/>
      <c r="AM46" s="101"/>
      <c r="AN46" s="101"/>
      <c r="AO46" s="101"/>
      <c r="AP46" s="101"/>
    </row>
    <row r="47" spans="1:42" s="4" customFormat="1" ht="12.75" customHeight="1" x14ac:dyDescent="0.2">
      <c r="A47" s="101"/>
      <c r="B47" s="347"/>
      <c r="C47" s="544"/>
      <c r="D47" s="1127"/>
      <c r="E47" s="44"/>
      <c r="F47" s="45"/>
      <c r="G47" s="45"/>
      <c r="H47" s="122"/>
      <c r="I47" s="857"/>
      <c r="J47" s="122"/>
      <c r="K47" s="1137"/>
      <c r="L47" s="101"/>
      <c r="M47" s="86"/>
      <c r="O47" s="101"/>
      <c r="R47" s="475"/>
      <c r="S47" s="475"/>
      <c r="T47" s="475"/>
      <c r="U47" s="33"/>
      <c r="V47" s="101"/>
      <c r="W47" s="101"/>
      <c r="X47" s="101"/>
      <c r="Y47" s="101"/>
      <c r="Z47" s="101"/>
      <c r="AA47" s="101"/>
      <c r="AB47" s="101"/>
      <c r="AC47" s="101"/>
      <c r="AD47" s="101"/>
      <c r="AE47" s="101"/>
      <c r="AF47" s="101"/>
      <c r="AG47" s="101"/>
      <c r="AH47" s="101"/>
      <c r="AI47" s="101"/>
      <c r="AJ47" s="101"/>
      <c r="AK47" s="101"/>
      <c r="AL47" s="101"/>
      <c r="AM47" s="101"/>
      <c r="AN47" s="101"/>
      <c r="AO47" s="101"/>
      <c r="AP47" s="101"/>
    </row>
    <row r="48" spans="1:42" s="4" customFormat="1" ht="12.75" customHeight="1" x14ac:dyDescent="0.2">
      <c r="A48" s="101"/>
      <c r="B48" s="347"/>
      <c r="C48" s="544"/>
      <c r="D48" s="1127"/>
      <c r="E48" s="44"/>
      <c r="F48" s="45"/>
      <c r="G48" s="45"/>
      <c r="H48" s="122"/>
      <c r="I48" s="857"/>
      <c r="J48" s="122"/>
      <c r="K48" s="1137"/>
      <c r="L48" s="101"/>
      <c r="M48" s="86"/>
      <c r="O48" s="543"/>
      <c r="R48" s="475"/>
      <c r="S48" s="475"/>
      <c r="T48" s="475"/>
      <c r="U48" s="33"/>
      <c r="V48" s="101"/>
      <c r="W48" s="101"/>
      <c r="X48" s="101"/>
      <c r="Y48" s="101"/>
      <c r="Z48" s="101"/>
      <c r="AA48" s="101"/>
      <c r="AB48" s="101"/>
      <c r="AC48" s="101"/>
      <c r="AD48" s="101"/>
      <c r="AE48" s="101"/>
      <c r="AF48" s="101"/>
      <c r="AG48" s="101"/>
      <c r="AH48" s="101"/>
      <c r="AI48" s="101"/>
      <c r="AJ48" s="101"/>
      <c r="AK48" s="101"/>
      <c r="AL48" s="101"/>
      <c r="AM48" s="101"/>
      <c r="AN48" s="101"/>
      <c r="AO48" s="101"/>
      <c r="AP48" s="101"/>
    </row>
    <row r="49" spans="1:42" s="4" customFormat="1" ht="12.75" customHeight="1" x14ac:dyDescent="0.2">
      <c r="A49" s="101"/>
      <c r="B49" s="347"/>
      <c r="C49" s="544"/>
      <c r="D49" s="1127"/>
      <c r="E49" s="44"/>
      <c r="F49" s="45"/>
      <c r="G49" s="45"/>
      <c r="H49" s="122"/>
      <c r="I49" s="857"/>
      <c r="J49" s="122"/>
      <c r="K49" s="1137"/>
      <c r="L49" s="101"/>
      <c r="M49" s="86"/>
      <c r="O49" s="40"/>
      <c r="R49" s="475"/>
      <c r="S49" s="475"/>
      <c r="T49" s="475"/>
      <c r="U49" s="33"/>
      <c r="V49" s="101"/>
      <c r="W49" s="101"/>
      <c r="X49" s="101"/>
      <c r="Y49" s="101"/>
      <c r="Z49" s="101"/>
      <c r="AA49" s="101"/>
      <c r="AB49" s="101"/>
      <c r="AC49" s="101"/>
      <c r="AD49" s="101"/>
      <c r="AE49" s="101"/>
      <c r="AF49" s="101"/>
      <c r="AG49" s="101"/>
      <c r="AH49" s="101"/>
      <c r="AI49" s="101"/>
      <c r="AJ49" s="101"/>
      <c r="AK49" s="101"/>
      <c r="AL49" s="101"/>
      <c r="AM49" s="101"/>
      <c r="AN49" s="101"/>
      <c r="AO49" s="101"/>
      <c r="AP49" s="101"/>
    </row>
    <row r="50" spans="1:42" s="4" customFormat="1" ht="12.75" customHeight="1" x14ac:dyDescent="0.2">
      <c r="A50" s="101"/>
      <c r="B50" s="347"/>
      <c r="C50" s="544"/>
      <c r="D50" s="1127"/>
      <c r="E50" s="44"/>
      <c r="F50" s="45"/>
      <c r="G50" s="45"/>
      <c r="H50" s="122"/>
      <c r="I50" s="857"/>
      <c r="J50" s="122"/>
      <c r="K50" s="1137"/>
      <c r="L50" s="101"/>
      <c r="M50" s="86"/>
      <c r="O50" s="40"/>
      <c r="R50" s="475"/>
      <c r="S50" s="475"/>
      <c r="T50" s="475"/>
      <c r="U50" s="33"/>
      <c r="V50" s="101"/>
      <c r="W50" s="101"/>
      <c r="X50" s="101"/>
      <c r="Y50" s="101"/>
      <c r="Z50" s="101"/>
      <c r="AA50" s="101"/>
      <c r="AB50" s="101"/>
      <c r="AC50" s="101"/>
      <c r="AD50" s="101"/>
      <c r="AE50" s="101"/>
      <c r="AF50" s="101"/>
      <c r="AG50" s="101"/>
      <c r="AH50" s="101"/>
      <c r="AI50" s="101"/>
      <c r="AJ50" s="101"/>
      <c r="AK50" s="101"/>
      <c r="AL50" s="101"/>
      <c r="AM50" s="101"/>
      <c r="AN50" s="101"/>
      <c r="AO50" s="101"/>
      <c r="AP50" s="101"/>
    </row>
    <row r="51" spans="1:42" s="4" customFormat="1" ht="12.75" customHeight="1" x14ac:dyDescent="0.2">
      <c r="A51" s="101"/>
      <c r="B51" s="347"/>
      <c r="C51" s="544"/>
      <c r="D51" s="1127"/>
      <c r="E51" s="44"/>
      <c r="F51" s="45"/>
      <c r="G51" s="45"/>
      <c r="H51" s="122"/>
      <c r="I51" s="857"/>
      <c r="J51" s="122"/>
      <c r="K51" s="1137"/>
      <c r="L51" s="101"/>
      <c r="M51" s="86"/>
      <c r="O51" s="40"/>
      <c r="R51" s="475"/>
      <c r="S51" s="475"/>
      <c r="T51" s="475"/>
      <c r="U51" s="33"/>
      <c r="V51" s="101"/>
      <c r="W51" s="101"/>
      <c r="X51" s="101"/>
      <c r="Y51" s="101"/>
      <c r="Z51" s="101"/>
      <c r="AA51" s="101"/>
      <c r="AB51" s="101"/>
      <c r="AC51" s="101"/>
      <c r="AD51" s="101"/>
      <c r="AE51" s="101"/>
      <c r="AF51" s="101"/>
      <c r="AG51" s="101"/>
      <c r="AH51" s="101"/>
      <c r="AI51" s="101"/>
      <c r="AJ51" s="101"/>
      <c r="AK51" s="101"/>
      <c r="AL51" s="101"/>
      <c r="AM51" s="101"/>
      <c r="AN51" s="101"/>
      <c r="AO51" s="101"/>
      <c r="AP51" s="101"/>
    </row>
    <row r="52" spans="1:42" s="4" customFormat="1" ht="12.75" customHeight="1" thickBot="1" x14ac:dyDescent="0.25">
      <c r="A52" s="101"/>
      <c r="B52" s="365"/>
      <c r="C52" s="1128"/>
      <c r="D52" s="1129"/>
      <c r="E52" s="1130"/>
      <c r="F52" s="1131"/>
      <c r="G52" s="1131"/>
      <c r="H52" s="368"/>
      <c r="I52" s="1132"/>
      <c r="J52" s="368"/>
      <c r="K52" s="1138"/>
      <c r="L52" s="101"/>
      <c r="M52" s="86"/>
      <c r="O52" s="40"/>
      <c r="R52" s="475"/>
      <c r="S52" s="475"/>
      <c r="T52" s="475"/>
      <c r="U52" s="33"/>
      <c r="V52" s="101"/>
      <c r="W52" s="101"/>
      <c r="X52" s="101"/>
      <c r="Y52" s="101"/>
      <c r="Z52" s="101"/>
      <c r="AA52" s="101"/>
      <c r="AB52" s="101"/>
      <c r="AC52" s="101"/>
      <c r="AD52" s="101"/>
      <c r="AE52" s="101"/>
      <c r="AF52" s="101"/>
      <c r="AG52" s="101"/>
      <c r="AH52" s="101"/>
      <c r="AI52" s="101"/>
      <c r="AJ52" s="101"/>
      <c r="AK52" s="101"/>
      <c r="AL52" s="101"/>
      <c r="AM52" s="101"/>
      <c r="AN52" s="101"/>
      <c r="AO52" s="101"/>
      <c r="AP52" s="101"/>
    </row>
    <row r="53" spans="1:42" s="4" customFormat="1" ht="15" customHeight="1" thickBot="1" x14ac:dyDescent="0.25">
      <c r="A53" s="101"/>
      <c r="B53" s="1503" t="s">
        <v>34</v>
      </c>
      <c r="C53" s="1504"/>
      <c r="D53" s="1505"/>
      <c r="E53" s="1133">
        <f t="shared" ref="E53:J53" si="0">SUM(E5:E52)</f>
        <v>0</v>
      </c>
      <c r="F53" s="1134">
        <f t="shared" si="0"/>
        <v>0</v>
      </c>
      <c r="G53" s="1134">
        <f t="shared" si="0"/>
        <v>0</v>
      </c>
      <c r="H53" s="1135">
        <f t="shared" si="0"/>
        <v>0</v>
      </c>
      <c r="I53" s="1136">
        <f t="shared" si="0"/>
        <v>0</v>
      </c>
      <c r="J53" s="1135">
        <f t="shared" si="0"/>
        <v>0</v>
      </c>
      <c r="K53" s="1139"/>
      <c r="L53" s="101"/>
      <c r="M53" s="86"/>
      <c r="O53" s="40"/>
      <c r="R53" s="475"/>
      <c r="S53" s="475"/>
      <c r="T53" s="475"/>
      <c r="U53" s="33"/>
      <c r="V53" s="101"/>
      <c r="W53" s="101"/>
      <c r="X53" s="101"/>
      <c r="Y53" s="101"/>
      <c r="Z53" s="101"/>
      <c r="AA53" s="101"/>
      <c r="AB53" s="101"/>
      <c r="AC53" s="101"/>
      <c r="AD53" s="101"/>
      <c r="AE53" s="101"/>
      <c r="AF53" s="101"/>
      <c r="AG53" s="101"/>
      <c r="AH53" s="101"/>
      <c r="AI53" s="101"/>
      <c r="AJ53" s="101"/>
      <c r="AK53" s="101"/>
      <c r="AL53" s="101"/>
      <c r="AM53" s="101"/>
      <c r="AN53" s="101"/>
      <c r="AO53" s="101"/>
      <c r="AP53" s="101"/>
    </row>
    <row r="54" spans="1:42" s="4" customFormat="1" ht="6.75" customHeight="1" x14ac:dyDescent="0.2">
      <c r="A54" s="101"/>
      <c r="D54" s="82"/>
      <c r="E54" s="82"/>
      <c r="F54" s="82"/>
      <c r="G54" s="82"/>
      <c r="H54" s="82"/>
      <c r="I54" s="82"/>
      <c r="J54" s="86"/>
      <c r="K54" s="101"/>
      <c r="L54" s="101"/>
      <c r="M54" s="86"/>
      <c r="O54" s="40"/>
      <c r="R54" s="475"/>
      <c r="S54" s="475"/>
      <c r="T54" s="475"/>
      <c r="U54" s="33"/>
      <c r="V54" s="101"/>
      <c r="W54" s="101"/>
      <c r="X54" s="101"/>
      <c r="Y54" s="101"/>
      <c r="Z54" s="101"/>
      <c r="AA54" s="101"/>
      <c r="AB54" s="101"/>
      <c r="AC54" s="101"/>
      <c r="AD54" s="101"/>
      <c r="AE54" s="101"/>
      <c r="AF54" s="101"/>
      <c r="AG54" s="101"/>
      <c r="AH54" s="101"/>
      <c r="AI54" s="101"/>
      <c r="AJ54" s="101"/>
      <c r="AK54" s="101"/>
      <c r="AL54" s="101"/>
      <c r="AM54" s="101"/>
      <c r="AN54" s="101"/>
      <c r="AO54" s="101"/>
      <c r="AP54" s="101"/>
    </row>
    <row r="55" spans="1:42" s="4" customFormat="1" x14ac:dyDescent="0.15">
      <c r="A55" s="101"/>
      <c r="B55" s="30"/>
      <c r="C55" s="30"/>
      <c r="D55" s="30"/>
      <c r="E55" s="30"/>
      <c r="F55" s="30"/>
      <c r="G55" s="30"/>
      <c r="H55" s="30"/>
      <c r="I55" s="30"/>
      <c r="J55" s="30"/>
      <c r="K55" s="30"/>
      <c r="L55" s="30"/>
      <c r="M55" s="30"/>
      <c r="N55" s="30"/>
      <c r="O55" s="40"/>
      <c r="P55" s="207"/>
      <c r="Q55" s="101"/>
      <c r="R55" s="475"/>
      <c r="S55" s="475"/>
      <c r="T55" s="475"/>
      <c r="U55" s="33"/>
      <c r="V55" s="101"/>
      <c r="W55" s="101"/>
      <c r="X55" s="101"/>
      <c r="Y55" s="101"/>
      <c r="Z55" s="101"/>
      <c r="AA55" s="101"/>
      <c r="AB55" s="101"/>
      <c r="AC55" s="101"/>
      <c r="AD55" s="101"/>
      <c r="AE55" s="101"/>
      <c r="AF55" s="101"/>
      <c r="AG55" s="101"/>
      <c r="AH55" s="101"/>
      <c r="AI55" s="101"/>
      <c r="AJ55" s="101"/>
      <c r="AK55" s="101"/>
      <c r="AL55" s="101"/>
      <c r="AM55" s="101"/>
      <c r="AN55" s="101"/>
      <c r="AO55" s="101"/>
      <c r="AP55" s="101"/>
    </row>
    <row r="56" spans="1:42" x14ac:dyDescent="0.2">
      <c r="A56" s="30"/>
      <c r="B56" s="30"/>
      <c r="C56" s="30"/>
      <c r="D56" s="30"/>
      <c r="E56" s="30"/>
      <c r="F56" s="30"/>
      <c r="G56" s="30"/>
      <c r="H56" s="30"/>
      <c r="I56" s="30"/>
      <c r="J56" s="30"/>
      <c r="K56" s="30"/>
      <c r="L56" s="30"/>
      <c r="M56" s="30"/>
      <c r="N56" s="30"/>
      <c r="O56" s="543" t="s">
        <v>47</v>
      </c>
      <c r="P56" s="33"/>
      <c r="Q56" s="101"/>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row>
    <row r="57" spans="1:42" x14ac:dyDescent="0.2">
      <c r="A57" s="30"/>
      <c r="B57" s="30"/>
      <c r="C57" s="30"/>
      <c r="D57" s="30"/>
      <c r="E57" s="30"/>
      <c r="F57" s="30"/>
      <c r="G57" s="30"/>
      <c r="H57" s="30"/>
      <c r="I57" s="30"/>
      <c r="J57" s="30"/>
      <c r="K57" s="30"/>
      <c r="L57" s="30"/>
      <c r="M57" s="30"/>
      <c r="N57" s="30"/>
      <c r="O57" s="174" t="s">
        <v>203</v>
      </c>
      <c r="P57" s="184" t="s">
        <v>563</v>
      </c>
      <c r="Q57" s="101"/>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row>
    <row r="58" spans="1:42" x14ac:dyDescent="0.2">
      <c r="A58" s="30"/>
      <c r="B58" s="30"/>
      <c r="C58" s="30"/>
      <c r="D58" s="30"/>
      <c r="E58" s="30"/>
      <c r="F58" s="30"/>
      <c r="G58" s="30"/>
      <c r="H58" s="30"/>
      <c r="I58" s="30"/>
      <c r="J58" s="30"/>
      <c r="K58" s="30"/>
      <c r="L58" s="30"/>
      <c r="M58" s="30"/>
      <c r="N58" s="30"/>
      <c r="O58" s="220"/>
      <c r="P58" s="181"/>
      <c r="Q58" s="101"/>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row>
    <row r="59" spans="1:42" x14ac:dyDescent="0.2">
      <c r="A59" s="30"/>
      <c r="B59" s="30"/>
      <c r="C59" s="30"/>
      <c r="D59" s="30"/>
      <c r="E59" s="30"/>
      <c r="F59" s="30"/>
      <c r="G59" s="30"/>
      <c r="H59" s="30"/>
      <c r="I59" s="30"/>
      <c r="J59" s="30"/>
      <c r="K59" s="30"/>
      <c r="L59" s="30"/>
      <c r="M59" s="30"/>
      <c r="N59" s="30"/>
      <c r="O59" s="220" t="s">
        <v>204</v>
      </c>
      <c r="P59" s="181" t="s">
        <v>564</v>
      </c>
      <c r="Q59" s="101"/>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row>
    <row r="60" spans="1:42" x14ac:dyDescent="0.2">
      <c r="A60" s="30"/>
      <c r="B60" s="30"/>
      <c r="C60" s="30"/>
      <c r="D60" s="30"/>
      <c r="E60" s="30"/>
      <c r="F60" s="30"/>
      <c r="G60" s="30"/>
      <c r="H60" s="30"/>
      <c r="I60" s="30"/>
      <c r="J60" s="30"/>
      <c r="K60" s="30"/>
      <c r="L60" s="30"/>
      <c r="M60" s="30"/>
      <c r="N60" s="30"/>
      <c r="O60" s="220" t="s">
        <v>206</v>
      </c>
      <c r="P60" s="181" t="s">
        <v>566</v>
      </c>
      <c r="Q60" s="101"/>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row>
    <row r="61" spans="1:42" x14ac:dyDescent="0.2">
      <c r="A61" s="30"/>
      <c r="B61" s="30"/>
      <c r="C61" s="30"/>
      <c r="D61" s="30"/>
      <c r="E61" s="30"/>
      <c r="F61" s="30"/>
      <c r="G61" s="30"/>
      <c r="H61" s="30"/>
      <c r="I61" s="30"/>
      <c r="J61" s="30"/>
      <c r="K61" s="30"/>
      <c r="L61" s="30"/>
      <c r="M61" s="30"/>
      <c r="N61" s="30"/>
      <c r="O61" s="220" t="s">
        <v>205</v>
      </c>
      <c r="P61" s="475"/>
      <c r="Q61" s="101"/>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row>
    <row r="62" spans="1:42" x14ac:dyDescent="0.2">
      <c r="A62" s="30"/>
      <c r="B62" s="30"/>
      <c r="C62" s="30"/>
      <c r="D62" s="30"/>
      <c r="E62" s="30"/>
      <c r="F62" s="30"/>
      <c r="G62" s="30"/>
      <c r="H62" s="30"/>
      <c r="I62" s="30"/>
      <c r="J62" s="30"/>
      <c r="K62" s="30"/>
      <c r="L62" s="30"/>
      <c r="M62" s="30"/>
      <c r="N62" s="30"/>
      <c r="O62" s="220" t="s">
        <v>207</v>
      </c>
      <c r="P62" s="475"/>
      <c r="Q62" s="101"/>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row>
    <row r="63" spans="1:42" x14ac:dyDescent="0.2">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row>
    <row r="64" spans="1:42" x14ac:dyDescent="0.2">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row>
    <row r="65" spans="1:42" x14ac:dyDescent="0.2">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row>
    <row r="66" spans="1:42" x14ac:dyDescent="0.2">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row>
    <row r="67" spans="1:42" x14ac:dyDescent="0.2">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row>
    <row r="68" spans="1:42" x14ac:dyDescent="0.2">
      <c r="A68" s="30"/>
      <c r="B68" s="30"/>
      <c r="C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row>
    <row r="69" spans="1:42" x14ac:dyDescent="0.2">
      <c r="A69" s="30"/>
      <c r="B69" s="30"/>
      <c r="C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row>
    <row r="70" spans="1:42" x14ac:dyDescent="0.2">
      <c r="A70" s="30"/>
      <c r="B70" s="30"/>
      <c r="C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row>
    <row r="71" spans="1:42" x14ac:dyDescent="0.2">
      <c r="A71" s="30"/>
      <c r="B71" s="30"/>
      <c r="C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row>
    <row r="72" spans="1:42" x14ac:dyDescent="0.2">
      <c r="A72" s="30"/>
      <c r="B72" s="30"/>
      <c r="C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row>
    <row r="73" spans="1:42" x14ac:dyDescent="0.2">
      <c r="A73" s="30"/>
      <c r="B73" s="30"/>
      <c r="C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row>
    <row r="74" spans="1:42" x14ac:dyDescent="0.2">
      <c r="A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row>
  </sheetData>
  <mergeCells count="10">
    <mergeCell ref="B53:D53"/>
    <mergeCell ref="N1:P1"/>
    <mergeCell ref="N3:O3"/>
    <mergeCell ref="A1:L1"/>
    <mergeCell ref="B2:K2"/>
    <mergeCell ref="N2:O2"/>
    <mergeCell ref="B3:B4"/>
    <mergeCell ref="C3:C4"/>
    <mergeCell ref="D3:D4"/>
    <mergeCell ref="K3:K4"/>
  </mergeCells>
  <conditionalFormatting sqref="I3">
    <cfRule type="cellIs" dxfId="16" priority="1" stopIfTrue="1" operator="equal">
      <formula>"Fill-in curb type"</formula>
    </cfRule>
  </conditionalFormatting>
  <dataValidations count="2">
    <dataValidation type="list" showInputMessage="1" showErrorMessage="1" sqref="P2">
      <formula1>$P$58:$P$60</formula1>
    </dataValidation>
    <dataValidation type="list" allowBlank="1" showInputMessage="1" showErrorMessage="1" sqref="D5:D52">
      <formula1>$O$58:$O$62</formula1>
    </dataValidation>
  </dataValidations>
  <printOptions horizontalCentered="1"/>
  <pageMargins left="0.35" right="0.35" top="0.38200000000000001" bottom="0.38200000000000001" header="0.5" footer="0.5"/>
  <pageSetup orientation="portrait" r:id="rId1"/>
  <headerFooter alignWithMargins="0"/>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3"/>
  <dimension ref="A1:AI64"/>
  <sheetViews>
    <sheetView showGridLines="0" showZeros="0" zoomScale="75" zoomScaleNormal="75" workbookViewId="0">
      <pane xSplit="11" ySplit="4" topLeftCell="L5" activePane="bottomRight" state="frozen"/>
      <selection pane="topRight" activeCell="L1" sqref="L1"/>
      <selection pane="bottomLeft" activeCell="A5" sqref="A5"/>
      <selection pane="bottomRight" activeCell="N1" sqref="N1:X2"/>
    </sheetView>
  </sheetViews>
  <sheetFormatPr defaultRowHeight="12.75" x14ac:dyDescent="0.2"/>
  <cols>
    <col min="1" max="1" width="1.7109375" customWidth="1"/>
    <col min="2" max="2" width="23.7109375" customWidth="1"/>
    <col min="3" max="4" width="8.85546875" customWidth="1"/>
    <col min="5" max="5" width="9.42578125" bestFit="1" customWidth="1"/>
    <col min="6" max="8" width="7.85546875" customWidth="1"/>
    <col min="9" max="9" width="9.42578125" bestFit="1" customWidth="1"/>
    <col min="10" max="10" width="7.85546875" customWidth="1"/>
    <col min="11" max="11" width="41.28515625" customWidth="1"/>
    <col min="12" max="12" width="1.7109375" customWidth="1"/>
    <col min="13" max="13" width="9.5703125" customWidth="1"/>
    <col min="14" max="14" width="19.7109375" customWidth="1"/>
    <col min="15" max="15" width="19.5703125" customWidth="1"/>
    <col min="16" max="16" width="2.85546875" bestFit="1" customWidth="1"/>
    <col min="17" max="17" width="4.140625" bestFit="1" customWidth="1"/>
    <col min="19" max="19" width="12.5703125" bestFit="1" customWidth="1"/>
    <col min="24" max="24" width="19.7109375" customWidth="1"/>
  </cols>
  <sheetData>
    <row r="1" spans="1:35" ht="18" x14ac:dyDescent="0.2">
      <c r="A1" s="1224" t="str">
        <f>UPPER("Traffic Signal Equipment Summary Table")</f>
        <v>TRAFFIC SIGNAL EQUIPMENT SUMMARY TABLE</v>
      </c>
      <c r="B1" s="1224"/>
      <c r="C1" s="1224"/>
      <c r="D1" s="1224"/>
      <c r="E1" s="1224"/>
      <c r="F1" s="1224"/>
      <c r="G1" s="1224"/>
      <c r="H1" s="1224"/>
      <c r="I1" s="1224"/>
      <c r="J1" s="1224"/>
      <c r="K1" s="1224"/>
      <c r="L1" s="1224"/>
      <c r="M1" s="82"/>
      <c r="N1" s="1318" t="s">
        <v>457</v>
      </c>
      <c r="O1" s="1318"/>
      <c r="P1" s="1318"/>
      <c r="Q1" s="1318"/>
      <c r="R1" s="1318"/>
      <c r="S1" s="1318"/>
      <c r="T1" s="1318"/>
      <c r="U1" s="1318"/>
      <c r="V1" s="1318"/>
      <c r="W1" s="1318"/>
      <c r="X1" s="1318"/>
      <c r="Y1" s="556"/>
      <c r="Z1" s="556"/>
      <c r="AA1" s="556"/>
      <c r="AB1" s="556"/>
      <c r="AC1" s="556"/>
      <c r="AD1" s="556"/>
      <c r="AE1" s="556"/>
      <c r="AF1" s="556"/>
      <c r="AG1" s="556"/>
      <c r="AH1" s="556"/>
      <c r="AI1" s="556"/>
    </row>
    <row r="2" spans="1:35" ht="11.25" customHeight="1" thickBot="1" x14ac:dyDescent="0.25">
      <c r="A2" s="30"/>
      <c r="B2" s="83"/>
      <c r="C2" s="83"/>
      <c r="D2" s="83"/>
      <c r="E2" s="82"/>
      <c r="F2" s="82"/>
      <c r="G2" s="82"/>
      <c r="H2" s="82"/>
      <c r="I2" s="82"/>
      <c r="J2" s="82"/>
      <c r="K2" s="82"/>
      <c r="L2" s="82"/>
      <c r="M2" s="82"/>
      <c r="N2" s="1318"/>
      <c r="O2" s="1318"/>
      <c r="P2" s="1318"/>
      <c r="Q2" s="1318"/>
      <c r="R2" s="1318"/>
      <c r="S2" s="1318"/>
      <c r="T2" s="1318"/>
      <c r="U2" s="1318"/>
      <c r="V2" s="1318"/>
      <c r="W2" s="1318"/>
      <c r="X2" s="1318"/>
      <c r="Y2" s="30"/>
      <c r="Z2" s="30"/>
      <c r="AA2" s="30"/>
      <c r="AB2" s="30"/>
      <c r="AC2" s="30"/>
      <c r="AD2" s="30"/>
    </row>
    <row r="3" spans="1:35" ht="66.75" customHeight="1" x14ac:dyDescent="0.2">
      <c r="A3" s="30"/>
      <c r="B3" s="1521" t="s">
        <v>196</v>
      </c>
      <c r="C3" s="1523" t="s">
        <v>218</v>
      </c>
      <c r="D3" s="1525" t="s">
        <v>453</v>
      </c>
      <c r="E3" s="863" t="s">
        <v>805</v>
      </c>
      <c r="F3" s="864" t="s">
        <v>350</v>
      </c>
      <c r="G3" s="864" t="s">
        <v>168</v>
      </c>
      <c r="H3" s="865" t="s">
        <v>167</v>
      </c>
      <c r="I3" s="865" t="s">
        <v>806</v>
      </c>
      <c r="J3" s="866" t="s">
        <v>807</v>
      </c>
      <c r="K3" s="1497" t="s">
        <v>87</v>
      </c>
      <c r="L3" s="30"/>
      <c r="M3" s="30"/>
      <c r="N3" s="980" t="s">
        <v>455</v>
      </c>
      <c r="O3" s="979" t="s">
        <v>456</v>
      </c>
      <c r="Q3" s="1317" t="s">
        <v>458</v>
      </c>
      <c r="R3" s="1520"/>
      <c r="S3" s="1520"/>
      <c r="T3" s="1520"/>
      <c r="U3" s="1520"/>
      <c r="V3" s="1520"/>
      <c r="W3" s="1520"/>
      <c r="X3" s="30"/>
      <c r="Y3" s="30"/>
      <c r="Z3" s="30"/>
      <c r="AA3" s="30"/>
      <c r="AB3" s="30"/>
      <c r="AC3" s="30"/>
      <c r="AD3" s="30"/>
    </row>
    <row r="4" spans="1:35" ht="12.75" customHeight="1" thickBot="1" x14ac:dyDescent="0.25">
      <c r="A4" s="30"/>
      <c r="B4" s="1522"/>
      <c r="C4" s="1524"/>
      <c r="D4" s="1526"/>
      <c r="E4" s="552" t="s">
        <v>101</v>
      </c>
      <c r="F4" s="553" t="s">
        <v>101</v>
      </c>
      <c r="G4" s="553" t="s">
        <v>103</v>
      </c>
      <c r="H4" s="554" t="s">
        <v>103</v>
      </c>
      <c r="I4" s="554" t="s">
        <v>101</v>
      </c>
      <c r="J4" s="555" t="s">
        <v>101</v>
      </c>
      <c r="K4" s="1518"/>
      <c r="L4" s="30"/>
      <c r="M4" s="30"/>
      <c r="N4" s="41" t="s">
        <v>19</v>
      </c>
      <c r="O4" s="43" t="s">
        <v>19</v>
      </c>
      <c r="R4" s="401"/>
      <c r="S4" s="401"/>
      <c r="T4" s="30"/>
      <c r="U4" s="30"/>
      <c r="V4" s="30"/>
      <c r="W4" s="30"/>
      <c r="X4" s="30"/>
      <c r="Y4" s="30"/>
      <c r="Z4" s="30"/>
      <c r="AA4" s="30"/>
      <c r="AB4" s="30"/>
      <c r="AC4" s="30"/>
      <c r="AD4" s="30"/>
    </row>
    <row r="5" spans="1:35" ht="12.75" customHeight="1" x14ac:dyDescent="0.2">
      <c r="A5" s="30"/>
      <c r="B5" s="557"/>
      <c r="C5" s="584"/>
      <c r="D5" s="585"/>
      <c r="E5" s="558" t="str">
        <f t="shared" ref="E5:E33" si="0">IF(AND(C5="",D5=""),"",C5*$Q$48+D5*$O$44+O5)</f>
        <v/>
      </c>
      <c r="F5" s="559" t="str">
        <f t="shared" ref="F5:F33" si="1">IF(AND(C5="",D5=""),"",C5*$Q$47+D5*$O$43+N5)</f>
        <v/>
      </c>
      <c r="G5" s="560"/>
      <c r="H5" s="561"/>
      <c r="I5" s="561"/>
      <c r="J5" s="562"/>
      <c r="K5" s="563"/>
      <c r="L5" s="30"/>
      <c r="M5" s="30"/>
      <c r="N5" s="52"/>
      <c r="O5" s="811">
        <f>2*N5</f>
        <v>0</v>
      </c>
      <c r="R5" s="401"/>
      <c r="S5" s="401"/>
      <c r="T5" s="30"/>
      <c r="U5" s="30"/>
      <c r="V5" s="30"/>
      <c r="W5" s="30"/>
      <c r="X5" s="30"/>
      <c r="Y5" s="30"/>
      <c r="Z5" s="30"/>
      <c r="AA5" s="30"/>
      <c r="AB5" s="30"/>
      <c r="AC5" s="30"/>
      <c r="AD5" s="30"/>
    </row>
    <row r="6" spans="1:35" ht="12.75" customHeight="1" x14ac:dyDescent="0.2">
      <c r="A6" s="30"/>
      <c r="B6" s="557"/>
      <c r="C6" s="584"/>
      <c r="D6" s="585"/>
      <c r="E6" s="558" t="str">
        <f t="shared" si="0"/>
        <v/>
      </c>
      <c r="F6" s="559" t="str">
        <f t="shared" si="1"/>
        <v/>
      </c>
      <c r="G6" s="564"/>
      <c r="H6" s="565"/>
      <c r="I6" s="565"/>
      <c r="J6" s="566"/>
      <c r="K6" s="563"/>
      <c r="L6" s="30"/>
      <c r="M6" s="30"/>
      <c r="N6" s="69"/>
      <c r="O6" s="212">
        <f t="shared" ref="O6:O33" si="2">2*N6</f>
        <v>0</v>
      </c>
      <c r="R6" s="401"/>
      <c r="S6" s="401"/>
      <c r="T6" s="30"/>
      <c r="U6" s="30"/>
      <c r="V6" s="30"/>
      <c r="W6" s="30"/>
      <c r="X6" s="30"/>
      <c r="Y6" s="30"/>
      <c r="Z6" s="30"/>
      <c r="AA6" s="30"/>
      <c r="AB6" s="30"/>
      <c r="AC6" s="30"/>
      <c r="AD6" s="30"/>
    </row>
    <row r="7" spans="1:35" ht="12.75" customHeight="1" x14ac:dyDescent="0.2">
      <c r="A7" s="30"/>
      <c r="B7" s="557"/>
      <c r="C7" s="584"/>
      <c r="D7" s="585"/>
      <c r="E7" s="558" t="str">
        <f t="shared" si="0"/>
        <v/>
      </c>
      <c r="F7" s="559" t="str">
        <f t="shared" si="1"/>
        <v/>
      </c>
      <c r="G7" s="564"/>
      <c r="H7" s="565"/>
      <c r="I7" s="565"/>
      <c r="J7" s="566"/>
      <c r="K7" s="563"/>
      <c r="L7" s="30"/>
      <c r="M7" s="30"/>
      <c r="N7" s="69"/>
      <c r="O7" s="212">
        <f t="shared" si="2"/>
        <v>0</v>
      </c>
      <c r="R7" s="401"/>
      <c r="S7" s="401"/>
      <c r="T7" s="30"/>
      <c r="U7" s="30"/>
      <c r="V7" s="30"/>
      <c r="W7" s="30"/>
      <c r="X7" s="30"/>
      <c r="Y7" s="30"/>
      <c r="Z7" s="30"/>
      <c r="AA7" s="30"/>
      <c r="AB7" s="30"/>
      <c r="AC7" s="30"/>
      <c r="AD7" s="30"/>
    </row>
    <row r="8" spans="1:35" ht="12.75" customHeight="1" x14ac:dyDescent="0.2">
      <c r="A8" s="30"/>
      <c r="B8" s="557"/>
      <c r="C8" s="584"/>
      <c r="D8" s="585"/>
      <c r="E8" s="558" t="str">
        <f t="shared" si="0"/>
        <v/>
      </c>
      <c r="F8" s="559" t="str">
        <f t="shared" si="1"/>
        <v/>
      </c>
      <c r="G8" s="564"/>
      <c r="H8" s="565"/>
      <c r="I8" s="565"/>
      <c r="J8" s="566"/>
      <c r="K8" s="563"/>
      <c r="L8" s="30"/>
      <c r="M8" s="30"/>
      <c r="N8" s="69"/>
      <c r="O8" s="212">
        <f t="shared" si="2"/>
        <v>0</v>
      </c>
      <c r="R8" s="401"/>
      <c r="S8" s="401"/>
      <c r="T8" s="30"/>
      <c r="U8" s="30"/>
      <c r="V8" s="30"/>
      <c r="W8" s="30"/>
      <c r="X8" s="30"/>
      <c r="Y8" s="30"/>
      <c r="Z8" s="30"/>
      <c r="AA8" s="30"/>
      <c r="AB8" s="30"/>
      <c r="AC8" s="30"/>
      <c r="AD8" s="30"/>
    </row>
    <row r="9" spans="1:35" ht="12.75" customHeight="1" x14ac:dyDescent="0.2">
      <c r="A9" s="30"/>
      <c r="B9" s="557"/>
      <c r="C9" s="584"/>
      <c r="D9" s="585"/>
      <c r="E9" s="558" t="str">
        <f t="shared" si="0"/>
        <v/>
      </c>
      <c r="F9" s="559" t="str">
        <f t="shared" si="1"/>
        <v/>
      </c>
      <c r="G9" s="564"/>
      <c r="H9" s="565"/>
      <c r="I9" s="565"/>
      <c r="J9" s="566"/>
      <c r="K9" s="563"/>
      <c r="L9" s="30"/>
      <c r="M9" s="30"/>
      <c r="N9" s="69"/>
      <c r="O9" s="212">
        <f t="shared" si="2"/>
        <v>0</v>
      </c>
      <c r="R9" s="401"/>
      <c r="S9" s="401"/>
      <c r="T9" s="30"/>
      <c r="U9" s="30"/>
      <c r="V9" s="30"/>
      <c r="W9" s="30"/>
      <c r="X9" s="30"/>
      <c r="Y9" s="30"/>
      <c r="Z9" s="30"/>
      <c r="AA9" s="30"/>
      <c r="AB9" s="30"/>
      <c r="AC9" s="30"/>
      <c r="AD9" s="30"/>
    </row>
    <row r="10" spans="1:35" ht="12.75" customHeight="1" x14ac:dyDescent="0.2">
      <c r="A10" s="30"/>
      <c r="B10" s="557"/>
      <c r="C10" s="584"/>
      <c r="D10" s="585"/>
      <c r="E10" s="558" t="str">
        <f t="shared" si="0"/>
        <v/>
      </c>
      <c r="F10" s="559" t="str">
        <f t="shared" si="1"/>
        <v/>
      </c>
      <c r="G10" s="564"/>
      <c r="H10" s="565"/>
      <c r="I10" s="565"/>
      <c r="J10" s="566"/>
      <c r="K10" s="563"/>
      <c r="L10" s="30"/>
      <c r="M10" s="30"/>
      <c r="N10" s="69"/>
      <c r="O10" s="212">
        <f t="shared" si="2"/>
        <v>0</v>
      </c>
      <c r="R10" s="401"/>
      <c r="S10" s="401"/>
      <c r="T10" s="30"/>
      <c r="U10" s="30"/>
      <c r="V10" s="30"/>
      <c r="W10" s="30"/>
      <c r="X10" s="30"/>
      <c r="Y10" s="30"/>
      <c r="Z10" s="30"/>
      <c r="AA10" s="30"/>
      <c r="AB10" s="30"/>
      <c r="AC10" s="30"/>
      <c r="AD10" s="30"/>
    </row>
    <row r="11" spans="1:35" ht="12.75" customHeight="1" x14ac:dyDescent="0.2">
      <c r="A11" s="30"/>
      <c r="B11" s="557"/>
      <c r="C11" s="584"/>
      <c r="D11" s="585"/>
      <c r="E11" s="558" t="str">
        <f t="shared" si="0"/>
        <v/>
      </c>
      <c r="F11" s="559" t="str">
        <f t="shared" si="1"/>
        <v/>
      </c>
      <c r="G11" s="564"/>
      <c r="H11" s="565"/>
      <c r="I11" s="565"/>
      <c r="J11" s="566"/>
      <c r="K11" s="563"/>
      <c r="L11" s="30"/>
      <c r="M11" s="30"/>
      <c r="N11" s="69"/>
      <c r="O11" s="212">
        <f t="shared" si="2"/>
        <v>0</v>
      </c>
      <c r="R11" s="401"/>
      <c r="S11" s="401"/>
      <c r="T11" s="30"/>
      <c r="U11" s="30"/>
      <c r="V11" s="30"/>
      <c r="W11" s="30"/>
      <c r="X11" s="30"/>
      <c r="Y11" s="30"/>
      <c r="Z11" s="30"/>
      <c r="AA11" s="30"/>
      <c r="AB11" s="30"/>
      <c r="AC11" s="30"/>
      <c r="AD11" s="30"/>
    </row>
    <row r="12" spans="1:35" ht="12.75" customHeight="1" x14ac:dyDescent="0.2">
      <c r="A12" s="30"/>
      <c r="B12" s="557"/>
      <c r="C12" s="584"/>
      <c r="D12" s="585"/>
      <c r="E12" s="558" t="str">
        <f t="shared" si="0"/>
        <v/>
      </c>
      <c r="F12" s="559" t="str">
        <f t="shared" si="1"/>
        <v/>
      </c>
      <c r="G12" s="564"/>
      <c r="H12" s="565"/>
      <c r="I12" s="565"/>
      <c r="J12" s="566"/>
      <c r="K12" s="563"/>
      <c r="L12" s="30"/>
      <c r="M12" s="30"/>
      <c r="N12" s="69"/>
      <c r="O12" s="212">
        <f t="shared" si="2"/>
        <v>0</v>
      </c>
      <c r="R12" s="401"/>
      <c r="S12" s="401"/>
      <c r="T12" s="30"/>
      <c r="U12" s="30"/>
      <c r="V12" s="30"/>
      <c r="W12" s="30"/>
      <c r="X12" s="30"/>
      <c r="Y12" s="30"/>
      <c r="Z12" s="30"/>
      <c r="AA12" s="30"/>
      <c r="AB12" s="30"/>
      <c r="AC12" s="30"/>
      <c r="AD12" s="30"/>
    </row>
    <row r="13" spans="1:35" ht="12.75" customHeight="1" x14ac:dyDescent="0.2">
      <c r="A13" s="30"/>
      <c r="B13" s="557"/>
      <c r="C13" s="584"/>
      <c r="D13" s="585"/>
      <c r="E13" s="558" t="str">
        <f t="shared" si="0"/>
        <v/>
      </c>
      <c r="F13" s="559" t="str">
        <f t="shared" si="1"/>
        <v/>
      </c>
      <c r="G13" s="564"/>
      <c r="H13" s="565"/>
      <c r="I13" s="565"/>
      <c r="J13" s="566"/>
      <c r="K13" s="563"/>
      <c r="L13" s="30"/>
      <c r="M13" s="30"/>
      <c r="N13" s="69"/>
      <c r="O13" s="212">
        <f t="shared" si="2"/>
        <v>0</v>
      </c>
      <c r="R13" s="401"/>
      <c r="S13" s="401"/>
      <c r="T13" s="30"/>
      <c r="U13" s="30"/>
      <c r="V13" s="30"/>
      <c r="W13" s="30"/>
      <c r="X13" s="30"/>
      <c r="Y13" s="30"/>
      <c r="Z13" s="30"/>
      <c r="AA13" s="30"/>
      <c r="AB13" s="30"/>
      <c r="AC13" s="30"/>
      <c r="AD13" s="30"/>
    </row>
    <row r="14" spans="1:35" ht="12.75" customHeight="1" x14ac:dyDescent="0.2">
      <c r="A14" s="30"/>
      <c r="B14" s="557"/>
      <c r="C14" s="584"/>
      <c r="D14" s="585"/>
      <c r="E14" s="558" t="str">
        <f t="shared" si="0"/>
        <v/>
      </c>
      <c r="F14" s="559" t="str">
        <f t="shared" si="1"/>
        <v/>
      </c>
      <c r="G14" s="564"/>
      <c r="H14" s="565"/>
      <c r="I14" s="565"/>
      <c r="J14" s="566"/>
      <c r="K14" s="563"/>
      <c r="L14" s="30"/>
      <c r="M14" s="30"/>
      <c r="N14" s="69"/>
      <c r="O14" s="837">
        <f>2*N14</f>
        <v>0</v>
      </c>
      <c r="R14" s="401"/>
      <c r="S14" s="401"/>
      <c r="T14" s="30"/>
      <c r="U14" s="30"/>
      <c r="V14" s="30"/>
      <c r="W14" s="30"/>
      <c r="X14" s="30"/>
      <c r="Y14" s="30"/>
      <c r="Z14" s="30"/>
      <c r="AA14" s="30"/>
      <c r="AB14" s="30"/>
      <c r="AC14" s="30"/>
      <c r="AD14" s="30"/>
    </row>
    <row r="15" spans="1:35" ht="12.75" customHeight="1" x14ac:dyDescent="0.2">
      <c r="A15" s="30"/>
      <c r="B15" s="557"/>
      <c r="C15" s="584"/>
      <c r="D15" s="585"/>
      <c r="E15" s="558" t="str">
        <f t="shared" si="0"/>
        <v/>
      </c>
      <c r="F15" s="559" t="str">
        <f t="shared" si="1"/>
        <v/>
      </c>
      <c r="G15" s="564"/>
      <c r="H15" s="565"/>
      <c r="I15" s="565"/>
      <c r="J15" s="566"/>
      <c r="K15" s="563"/>
      <c r="L15" s="30"/>
      <c r="M15" s="30"/>
      <c r="N15" s="69"/>
      <c r="O15" s="837">
        <f>2*N15</f>
        <v>0</v>
      </c>
      <c r="R15" s="401"/>
      <c r="S15" s="401"/>
      <c r="T15" s="30"/>
      <c r="U15" s="30"/>
      <c r="V15" s="30"/>
      <c r="W15" s="30"/>
      <c r="X15" s="30"/>
      <c r="Y15" s="30"/>
      <c r="Z15" s="30"/>
      <c r="AA15" s="30"/>
      <c r="AB15" s="30"/>
      <c r="AC15" s="30"/>
      <c r="AD15" s="30"/>
    </row>
    <row r="16" spans="1:35" ht="12.75" customHeight="1" x14ac:dyDescent="0.2">
      <c r="A16" s="30"/>
      <c r="B16" s="557"/>
      <c r="C16" s="584"/>
      <c r="D16" s="585"/>
      <c r="E16" s="558" t="str">
        <f t="shared" si="0"/>
        <v/>
      </c>
      <c r="F16" s="559" t="str">
        <f t="shared" si="1"/>
        <v/>
      </c>
      <c r="G16" s="564"/>
      <c r="H16" s="565"/>
      <c r="I16" s="565"/>
      <c r="J16" s="566"/>
      <c r="K16" s="563"/>
      <c r="L16" s="30"/>
      <c r="M16" s="30"/>
      <c r="N16" s="69"/>
      <c r="O16" s="212">
        <f t="shared" si="2"/>
        <v>0</v>
      </c>
      <c r="R16" s="401"/>
      <c r="S16" s="401"/>
      <c r="T16" s="30"/>
      <c r="U16" s="30"/>
      <c r="V16" s="30"/>
      <c r="W16" s="30"/>
      <c r="X16" s="30"/>
      <c r="Y16" s="30"/>
      <c r="Z16" s="30"/>
      <c r="AA16" s="30"/>
      <c r="AB16" s="30"/>
      <c r="AC16" s="30"/>
      <c r="AD16" s="30"/>
    </row>
    <row r="17" spans="1:30" ht="12.75" customHeight="1" x14ac:dyDescent="0.2">
      <c r="A17" s="30"/>
      <c r="B17" s="557"/>
      <c r="C17" s="584"/>
      <c r="D17" s="585"/>
      <c r="E17" s="558" t="str">
        <f t="shared" si="0"/>
        <v/>
      </c>
      <c r="F17" s="559" t="str">
        <f t="shared" si="1"/>
        <v/>
      </c>
      <c r="G17" s="564"/>
      <c r="H17" s="565"/>
      <c r="I17" s="565"/>
      <c r="J17" s="566"/>
      <c r="K17" s="563"/>
      <c r="L17" s="30"/>
      <c r="M17" s="30"/>
      <c r="N17" s="69"/>
      <c r="O17" s="212">
        <f t="shared" si="2"/>
        <v>0</v>
      </c>
      <c r="R17" s="401"/>
      <c r="S17" s="401"/>
      <c r="T17" s="30"/>
      <c r="U17" s="30"/>
      <c r="V17" s="30"/>
      <c r="W17" s="30"/>
      <c r="X17" s="30"/>
      <c r="Y17" s="30"/>
      <c r="Z17" s="30"/>
      <c r="AA17" s="30"/>
      <c r="AB17" s="30"/>
      <c r="AC17" s="30"/>
      <c r="AD17" s="30"/>
    </row>
    <row r="18" spans="1:30" ht="12.75" customHeight="1" x14ac:dyDescent="0.2">
      <c r="A18" s="30"/>
      <c r="B18" s="557"/>
      <c r="C18" s="584"/>
      <c r="D18" s="585"/>
      <c r="E18" s="558" t="str">
        <f t="shared" si="0"/>
        <v/>
      </c>
      <c r="F18" s="559" t="str">
        <f t="shared" si="1"/>
        <v/>
      </c>
      <c r="G18" s="564"/>
      <c r="H18" s="565"/>
      <c r="I18" s="565"/>
      <c r="J18" s="566"/>
      <c r="K18" s="563"/>
      <c r="L18" s="30"/>
      <c r="M18" s="30"/>
      <c r="N18" s="69"/>
      <c r="O18" s="212">
        <f t="shared" si="2"/>
        <v>0</v>
      </c>
      <c r="R18" s="401"/>
      <c r="S18" s="401"/>
      <c r="T18" s="30"/>
      <c r="U18" s="30"/>
      <c r="V18" s="30"/>
      <c r="W18" s="30"/>
      <c r="X18" s="30"/>
      <c r="Y18" s="30"/>
      <c r="Z18" s="30"/>
      <c r="AA18" s="30"/>
      <c r="AB18" s="30"/>
      <c r="AC18" s="30"/>
      <c r="AD18" s="30"/>
    </row>
    <row r="19" spans="1:30" ht="12.75" customHeight="1" x14ac:dyDescent="0.2">
      <c r="A19" s="30"/>
      <c r="B19" s="557"/>
      <c r="C19" s="584"/>
      <c r="D19" s="585"/>
      <c r="E19" s="558" t="str">
        <f t="shared" si="0"/>
        <v/>
      </c>
      <c r="F19" s="559" t="str">
        <f t="shared" si="1"/>
        <v/>
      </c>
      <c r="G19" s="564"/>
      <c r="H19" s="565"/>
      <c r="I19" s="565"/>
      <c r="J19" s="566"/>
      <c r="K19" s="563"/>
      <c r="L19" s="30"/>
      <c r="M19" s="30"/>
      <c r="N19" s="69"/>
      <c r="O19" s="212">
        <f t="shared" si="2"/>
        <v>0</v>
      </c>
      <c r="R19" s="401"/>
      <c r="S19" s="401"/>
      <c r="T19" s="30"/>
      <c r="U19" s="30"/>
      <c r="V19" s="30"/>
      <c r="W19" s="30"/>
      <c r="X19" s="30"/>
      <c r="Y19" s="30"/>
      <c r="Z19" s="30"/>
      <c r="AA19" s="30"/>
      <c r="AB19" s="30"/>
      <c r="AC19" s="30"/>
      <c r="AD19" s="30"/>
    </row>
    <row r="20" spans="1:30" ht="12.75" customHeight="1" x14ac:dyDescent="0.2">
      <c r="A20" s="30"/>
      <c r="B20" s="557"/>
      <c r="C20" s="584"/>
      <c r="D20" s="585"/>
      <c r="E20" s="558" t="str">
        <f t="shared" si="0"/>
        <v/>
      </c>
      <c r="F20" s="559" t="str">
        <f t="shared" si="1"/>
        <v/>
      </c>
      <c r="G20" s="564"/>
      <c r="H20" s="565"/>
      <c r="I20" s="565"/>
      <c r="J20" s="566"/>
      <c r="K20" s="563"/>
      <c r="L20" s="30"/>
      <c r="M20" s="30"/>
      <c r="N20" s="69"/>
      <c r="O20" s="212">
        <f t="shared" si="2"/>
        <v>0</v>
      </c>
      <c r="R20" s="401"/>
      <c r="S20" s="401"/>
      <c r="T20" s="30"/>
      <c r="U20" s="30"/>
      <c r="V20" s="30"/>
      <c r="W20" s="30"/>
      <c r="X20" s="30"/>
      <c r="Y20" s="30"/>
      <c r="Z20" s="30"/>
      <c r="AA20" s="30"/>
      <c r="AB20" s="30"/>
      <c r="AC20" s="30"/>
      <c r="AD20" s="30"/>
    </row>
    <row r="21" spans="1:30" ht="12.75" customHeight="1" x14ac:dyDescent="0.2">
      <c r="A21" s="30"/>
      <c r="B21" s="557"/>
      <c r="C21" s="584"/>
      <c r="D21" s="585"/>
      <c r="E21" s="558" t="str">
        <f t="shared" si="0"/>
        <v/>
      </c>
      <c r="F21" s="559" t="str">
        <f t="shared" si="1"/>
        <v/>
      </c>
      <c r="G21" s="564"/>
      <c r="H21" s="565"/>
      <c r="I21" s="565"/>
      <c r="J21" s="566"/>
      <c r="K21" s="563"/>
      <c r="L21" s="30"/>
      <c r="M21" s="30"/>
      <c r="N21" s="69"/>
      <c r="O21" s="212">
        <f t="shared" si="2"/>
        <v>0</v>
      </c>
      <c r="R21" s="401"/>
      <c r="S21" s="401"/>
      <c r="T21" s="30"/>
      <c r="U21" s="30"/>
      <c r="V21" s="30"/>
      <c r="W21" s="30"/>
      <c r="X21" s="30"/>
      <c r="Y21" s="30"/>
      <c r="Z21" s="30"/>
      <c r="AA21" s="30"/>
      <c r="AB21" s="30"/>
      <c r="AC21" s="30"/>
      <c r="AD21" s="30"/>
    </row>
    <row r="22" spans="1:30" ht="12.75" customHeight="1" x14ac:dyDescent="0.2">
      <c r="A22" s="30"/>
      <c r="B22" s="557"/>
      <c r="C22" s="584"/>
      <c r="D22" s="585"/>
      <c r="E22" s="558" t="str">
        <f t="shared" si="0"/>
        <v/>
      </c>
      <c r="F22" s="559" t="str">
        <f t="shared" si="1"/>
        <v/>
      </c>
      <c r="G22" s="564"/>
      <c r="H22" s="565"/>
      <c r="I22" s="565"/>
      <c r="J22" s="566"/>
      <c r="K22" s="563"/>
      <c r="L22" s="30"/>
      <c r="M22" s="30"/>
      <c r="N22" s="69"/>
      <c r="O22" s="212">
        <f t="shared" si="2"/>
        <v>0</v>
      </c>
      <c r="R22" s="401"/>
      <c r="S22" s="401"/>
      <c r="T22" s="30"/>
      <c r="U22" s="30"/>
      <c r="V22" s="30"/>
      <c r="W22" s="30"/>
      <c r="X22" s="30"/>
      <c r="Y22" s="30"/>
      <c r="Z22" s="30"/>
      <c r="AA22" s="30"/>
      <c r="AB22" s="30"/>
      <c r="AC22" s="30"/>
      <c r="AD22" s="30"/>
    </row>
    <row r="23" spans="1:30" ht="12.75" customHeight="1" x14ac:dyDescent="0.2">
      <c r="A23" s="30"/>
      <c r="B23" s="557"/>
      <c r="C23" s="584"/>
      <c r="D23" s="585"/>
      <c r="E23" s="558" t="str">
        <f t="shared" si="0"/>
        <v/>
      </c>
      <c r="F23" s="559" t="str">
        <f t="shared" si="1"/>
        <v/>
      </c>
      <c r="G23" s="564"/>
      <c r="H23" s="565"/>
      <c r="I23" s="565"/>
      <c r="J23" s="566"/>
      <c r="K23" s="563"/>
      <c r="L23" s="30"/>
      <c r="M23" s="30"/>
      <c r="N23" s="69"/>
      <c r="O23" s="212">
        <f t="shared" si="2"/>
        <v>0</v>
      </c>
      <c r="R23" s="401"/>
      <c r="S23" s="401"/>
      <c r="T23" s="30"/>
      <c r="U23" s="30"/>
      <c r="V23" s="30"/>
      <c r="W23" s="30"/>
      <c r="X23" s="30"/>
      <c r="Y23" s="30"/>
      <c r="Z23" s="30"/>
      <c r="AA23" s="30"/>
      <c r="AB23" s="30"/>
      <c r="AC23" s="30"/>
      <c r="AD23" s="30"/>
    </row>
    <row r="24" spans="1:30" ht="12.75" customHeight="1" x14ac:dyDescent="0.2">
      <c r="A24" s="30"/>
      <c r="B24" s="557"/>
      <c r="C24" s="584"/>
      <c r="D24" s="585"/>
      <c r="E24" s="558" t="str">
        <f t="shared" si="0"/>
        <v/>
      </c>
      <c r="F24" s="559" t="str">
        <f t="shared" si="1"/>
        <v/>
      </c>
      <c r="G24" s="564"/>
      <c r="H24" s="565"/>
      <c r="I24" s="565"/>
      <c r="J24" s="566"/>
      <c r="K24" s="563"/>
      <c r="L24" s="30"/>
      <c r="M24" s="30"/>
      <c r="N24" s="69"/>
      <c r="O24" s="212">
        <f t="shared" si="2"/>
        <v>0</v>
      </c>
      <c r="R24" s="401"/>
      <c r="S24" s="401"/>
      <c r="T24" s="30"/>
      <c r="U24" s="30"/>
      <c r="V24" s="30"/>
      <c r="W24" s="30"/>
      <c r="X24" s="30"/>
      <c r="Y24" s="30"/>
      <c r="Z24" s="30"/>
      <c r="AA24" s="30"/>
      <c r="AB24" s="30"/>
      <c r="AC24" s="30"/>
      <c r="AD24" s="30"/>
    </row>
    <row r="25" spans="1:30" ht="12.75" customHeight="1" x14ac:dyDescent="0.2">
      <c r="A25" s="30"/>
      <c r="B25" s="557"/>
      <c r="C25" s="584"/>
      <c r="D25" s="585"/>
      <c r="E25" s="558" t="str">
        <f t="shared" si="0"/>
        <v/>
      </c>
      <c r="F25" s="559" t="str">
        <f t="shared" si="1"/>
        <v/>
      </c>
      <c r="G25" s="564"/>
      <c r="H25" s="565"/>
      <c r="I25" s="565"/>
      <c r="J25" s="566"/>
      <c r="K25" s="563"/>
      <c r="L25" s="30"/>
      <c r="M25" s="30"/>
      <c r="N25" s="69"/>
      <c r="O25" s="212">
        <f t="shared" si="2"/>
        <v>0</v>
      </c>
      <c r="R25" s="401"/>
      <c r="S25" s="401"/>
      <c r="T25" s="30"/>
      <c r="U25" s="30"/>
      <c r="V25" s="30"/>
      <c r="W25" s="30"/>
      <c r="X25" s="30"/>
      <c r="Y25" s="30"/>
      <c r="Z25" s="30"/>
      <c r="AA25" s="30"/>
      <c r="AB25" s="30"/>
      <c r="AC25" s="30"/>
      <c r="AD25" s="30"/>
    </row>
    <row r="26" spans="1:30" ht="12.75" customHeight="1" x14ac:dyDescent="0.2">
      <c r="A26" s="30"/>
      <c r="B26" s="557"/>
      <c r="C26" s="584"/>
      <c r="D26" s="585"/>
      <c r="E26" s="558" t="str">
        <f t="shared" si="0"/>
        <v/>
      </c>
      <c r="F26" s="559" t="str">
        <f t="shared" si="1"/>
        <v/>
      </c>
      <c r="G26" s="564"/>
      <c r="H26" s="565"/>
      <c r="I26" s="565"/>
      <c r="J26" s="566"/>
      <c r="K26" s="563"/>
      <c r="L26" s="30"/>
      <c r="M26" s="30"/>
      <c r="N26" s="69"/>
      <c r="O26" s="212">
        <f t="shared" si="2"/>
        <v>0</v>
      </c>
      <c r="R26" s="401"/>
      <c r="S26" s="401"/>
      <c r="T26" s="30"/>
      <c r="U26" s="30"/>
      <c r="V26" s="30"/>
      <c r="W26" s="30"/>
      <c r="X26" s="30"/>
      <c r="Y26" s="30"/>
      <c r="Z26" s="30"/>
      <c r="AA26" s="30"/>
      <c r="AB26" s="30"/>
      <c r="AC26" s="30"/>
      <c r="AD26" s="30"/>
    </row>
    <row r="27" spans="1:30" ht="12.75" customHeight="1" x14ac:dyDescent="0.2">
      <c r="A27" s="30"/>
      <c r="B27" s="557"/>
      <c r="C27" s="584"/>
      <c r="D27" s="585"/>
      <c r="E27" s="558" t="str">
        <f t="shared" si="0"/>
        <v/>
      </c>
      <c r="F27" s="559" t="str">
        <f t="shared" si="1"/>
        <v/>
      </c>
      <c r="G27" s="564"/>
      <c r="H27" s="565"/>
      <c r="I27" s="565"/>
      <c r="J27" s="566"/>
      <c r="K27" s="563"/>
      <c r="L27" s="30"/>
      <c r="M27" s="30"/>
      <c r="N27" s="69"/>
      <c r="O27" s="212">
        <f t="shared" si="2"/>
        <v>0</v>
      </c>
      <c r="R27" s="401"/>
      <c r="S27" s="401"/>
      <c r="T27" s="30"/>
      <c r="U27" s="30"/>
      <c r="V27" s="30"/>
      <c r="W27" s="30"/>
      <c r="X27" s="30"/>
      <c r="Y27" s="30"/>
      <c r="Z27" s="30"/>
      <c r="AA27" s="30"/>
      <c r="AB27" s="30"/>
      <c r="AC27" s="30"/>
      <c r="AD27" s="30"/>
    </row>
    <row r="28" spans="1:30" ht="12.75" customHeight="1" x14ac:dyDescent="0.2">
      <c r="A28" s="30"/>
      <c r="B28" s="557"/>
      <c r="C28" s="584"/>
      <c r="D28" s="585"/>
      <c r="E28" s="558" t="str">
        <f t="shared" si="0"/>
        <v/>
      </c>
      <c r="F28" s="559" t="str">
        <f t="shared" si="1"/>
        <v/>
      </c>
      <c r="G28" s="564"/>
      <c r="H28" s="565"/>
      <c r="I28" s="565"/>
      <c r="J28" s="566"/>
      <c r="K28" s="563"/>
      <c r="L28" s="30"/>
      <c r="M28" s="30"/>
      <c r="N28" s="69"/>
      <c r="O28" s="212">
        <f t="shared" si="2"/>
        <v>0</v>
      </c>
      <c r="R28" s="401"/>
      <c r="S28" s="401"/>
      <c r="T28" s="30"/>
      <c r="U28" s="30"/>
      <c r="V28" s="30"/>
      <c r="W28" s="30"/>
      <c r="X28" s="30"/>
      <c r="Y28" s="30"/>
      <c r="Z28" s="30"/>
      <c r="AA28" s="30"/>
      <c r="AB28" s="30"/>
      <c r="AC28" s="30"/>
      <c r="AD28" s="30"/>
    </row>
    <row r="29" spans="1:30" ht="12.75" customHeight="1" x14ac:dyDescent="0.2">
      <c r="A29" s="30"/>
      <c r="B29" s="557"/>
      <c r="C29" s="584"/>
      <c r="D29" s="585"/>
      <c r="E29" s="558" t="str">
        <f t="shared" si="0"/>
        <v/>
      </c>
      <c r="F29" s="559" t="str">
        <f t="shared" si="1"/>
        <v/>
      </c>
      <c r="G29" s="564"/>
      <c r="H29" s="565"/>
      <c r="I29" s="565"/>
      <c r="J29" s="566"/>
      <c r="K29" s="563"/>
      <c r="L29" s="30"/>
      <c r="M29" s="30"/>
      <c r="N29" s="69"/>
      <c r="O29" s="212">
        <f t="shared" si="2"/>
        <v>0</v>
      </c>
      <c r="P29" s="551"/>
      <c r="Q29" s="241"/>
      <c r="R29" s="401"/>
      <c r="S29" s="401"/>
      <c r="T29" s="30"/>
      <c r="U29" s="30"/>
      <c r="V29" s="30"/>
      <c r="W29" s="30"/>
      <c r="X29" s="30"/>
      <c r="Y29" s="30"/>
      <c r="Z29" s="30"/>
      <c r="AA29" s="30"/>
      <c r="AB29" s="30"/>
      <c r="AC29" s="30"/>
      <c r="AD29" s="30"/>
    </row>
    <row r="30" spans="1:30" ht="12.75" customHeight="1" x14ac:dyDescent="0.2">
      <c r="A30" s="30"/>
      <c r="B30" s="557"/>
      <c r="C30" s="584"/>
      <c r="D30" s="585"/>
      <c r="E30" s="558" t="str">
        <f t="shared" si="0"/>
        <v/>
      </c>
      <c r="F30" s="559" t="str">
        <f t="shared" si="1"/>
        <v/>
      </c>
      <c r="G30" s="564"/>
      <c r="H30" s="565"/>
      <c r="I30" s="565"/>
      <c r="J30" s="566"/>
      <c r="K30" s="563"/>
      <c r="L30" s="30"/>
      <c r="M30" s="30"/>
      <c r="N30" s="69"/>
      <c r="O30" s="212">
        <f t="shared" si="2"/>
        <v>0</v>
      </c>
      <c r="P30" s="551"/>
      <c r="Q30" s="241"/>
      <c r="R30" s="401"/>
      <c r="S30" s="401"/>
      <c r="T30" s="30"/>
      <c r="U30" s="30"/>
      <c r="V30" s="30"/>
      <c r="W30" s="30"/>
      <c r="X30" s="30"/>
      <c r="Y30" s="30"/>
      <c r="Z30" s="30"/>
      <c r="AA30" s="30"/>
      <c r="AB30" s="30"/>
      <c r="AC30" s="30"/>
      <c r="AD30" s="30"/>
    </row>
    <row r="31" spans="1:30" ht="12.75" customHeight="1" x14ac:dyDescent="0.2">
      <c r="A31" s="30"/>
      <c r="B31" s="557"/>
      <c r="C31" s="584"/>
      <c r="D31" s="585"/>
      <c r="E31" s="558" t="str">
        <f t="shared" si="0"/>
        <v/>
      </c>
      <c r="F31" s="559" t="str">
        <f t="shared" si="1"/>
        <v/>
      </c>
      <c r="G31" s="564"/>
      <c r="H31" s="565"/>
      <c r="I31" s="565"/>
      <c r="J31" s="566"/>
      <c r="K31" s="563"/>
      <c r="L31" s="30"/>
      <c r="M31" s="30"/>
      <c r="N31" s="69"/>
      <c r="O31" s="212">
        <f t="shared" si="2"/>
        <v>0</v>
      </c>
      <c r="P31" s="551"/>
      <c r="Q31" s="241"/>
      <c r="R31" s="401"/>
      <c r="S31" s="401"/>
      <c r="T31" s="30"/>
      <c r="U31" s="30"/>
      <c r="V31" s="30"/>
      <c r="W31" s="30"/>
      <c r="X31" s="30"/>
      <c r="Y31" s="30"/>
      <c r="Z31" s="30"/>
      <c r="AA31" s="30"/>
      <c r="AB31" s="30"/>
      <c r="AC31" s="30"/>
      <c r="AD31" s="30"/>
    </row>
    <row r="32" spans="1:30" ht="12.75" customHeight="1" x14ac:dyDescent="0.2">
      <c r="A32" s="30"/>
      <c r="B32" s="557"/>
      <c r="C32" s="584"/>
      <c r="D32" s="585"/>
      <c r="E32" s="558" t="str">
        <f t="shared" si="0"/>
        <v/>
      </c>
      <c r="F32" s="559" t="str">
        <f t="shared" si="1"/>
        <v/>
      </c>
      <c r="G32" s="564"/>
      <c r="H32" s="565"/>
      <c r="I32" s="565"/>
      <c r="J32" s="566"/>
      <c r="K32" s="563"/>
      <c r="L32" s="30"/>
      <c r="M32" s="30"/>
      <c r="N32" s="69"/>
      <c r="O32" s="212">
        <f t="shared" si="2"/>
        <v>0</v>
      </c>
      <c r="P32" s="551"/>
      <c r="Q32" s="241"/>
      <c r="R32" s="401"/>
      <c r="S32" s="401"/>
      <c r="T32" s="30"/>
      <c r="U32" s="30"/>
      <c r="V32" s="30"/>
      <c r="W32" s="30"/>
      <c r="X32" s="30"/>
      <c r="Y32" s="30"/>
      <c r="Z32" s="30"/>
      <c r="AA32" s="30"/>
      <c r="AB32" s="30"/>
      <c r="AC32" s="30"/>
      <c r="AD32" s="30"/>
    </row>
    <row r="33" spans="1:30" ht="12.75" customHeight="1" thickBot="1" x14ac:dyDescent="0.25">
      <c r="A33" s="30"/>
      <c r="B33" s="567">
        <f>IF(OR(O38=S43,O38=S45),"Undistributed",0)</f>
        <v>0</v>
      </c>
      <c r="C33" s="586"/>
      <c r="D33" s="587"/>
      <c r="E33" s="558" t="str">
        <f t="shared" si="0"/>
        <v/>
      </c>
      <c r="F33" s="559" t="str">
        <f t="shared" si="1"/>
        <v/>
      </c>
      <c r="G33" s="564"/>
      <c r="H33" s="565"/>
      <c r="I33" s="565">
        <f>IF(OR(O38=S43,O38=S45),300,0)</f>
        <v>0</v>
      </c>
      <c r="J33" s="566">
        <f>IF(OR(O38=S43,O38=S45),50,0)</f>
        <v>0</v>
      </c>
      <c r="K33" s="563"/>
      <c r="L33" s="30"/>
      <c r="M33" s="30"/>
      <c r="N33" s="360"/>
      <c r="O33" s="43">
        <f t="shared" si="2"/>
        <v>0</v>
      </c>
      <c r="P33" s="551"/>
      <c r="Q33" s="241"/>
      <c r="R33" s="401"/>
      <c r="S33" s="401"/>
      <c r="T33" s="30"/>
      <c r="U33" s="30"/>
      <c r="V33" s="30"/>
      <c r="W33" s="30"/>
      <c r="X33" s="30"/>
      <c r="Y33" s="30"/>
      <c r="Z33" s="30"/>
      <c r="AA33" s="30"/>
      <c r="AB33" s="30"/>
      <c r="AC33" s="30"/>
      <c r="AD33" s="30"/>
    </row>
    <row r="34" spans="1:30" ht="12.75" customHeight="1" thickBot="1" x14ac:dyDescent="0.25">
      <c r="A34" s="30"/>
      <c r="B34" s="1515" t="s">
        <v>34</v>
      </c>
      <c r="C34" s="1516"/>
      <c r="D34" s="1517"/>
      <c r="E34" s="568">
        <f t="shared" ref="E34:J34" si="3">SUM(E5:E33)</f>
        <v>0</v>
      </c>
      <c r="F34" s="569">
        <f t="shared" si="3"/>
        <v>0</v>
      </c>
      <c r="G34" s="569">
        <f t="shared" si="3"/>
        <v>0</v>
      </c>
      <c r="H34" s="569">
        <f t="shared" si="3"/>
        <v>0</v>
      </c>
      <c r="I34" s="570">
        <f t="shared" si="3"/>
        <v>0</v>
      </c>
      <c r="J34" s="571">
        <f t="shared" si="3"/>
        <v>0</v>
      </c>
      <c r="K34" s="572"/>
      <c r="L34" s="30"/>
      <c r="M34" s="30"/>
      <c r="N34" s="40"/>
      <c r="O34" s="550"/>
      <c r="P34" s="401"/>
      <c r="Q34" s="401"/>
      <c r="R34" s="401"/>
      <c r="S34" s="401"/>
      <c r="T34" s="30"/>
      <c r="U34" s="30"/>
      <c r="V34" s="30"/>
      <c r="W34" s="30"/>
      <c r="X34" s="30"/>
      <c r="Y34" s="30"/>
      <c r="Z34" s="30"/>
      <c r="AA34" s="30"/>
      <c r="AB34" s="30"/>
      <c r="AC34" s="30"/>
      <c r="AD34" s="30"/>
    </row>
    <row r="35" spans="1:30" ht="9.75" customHeight="1" x14ac:dyDescent="0.2">
      <c r="A35" s="30"/>
      <c r="B35" s="573"/>
      <c r="C35" s="573"/>
      <c r="D35" s="573"/>
      <c r="E35" s="574"/>
      <c r="F35" s="574"/>
      <c r="G35" s="574"/>
      <c r="H35" s="574"/>
      <c r="I35" s="574"/>
      <c r="J35" s="574"/>
      <c r="K35" s="575"/>
      <c r="L35" s="30"/>
      <c r="M35" s="30"/>
      <c r="N35" s="40"/>
      <c r="O35" s="550"/>
      <c r="P35" s="401"/>
      <c r="Q35" s="401"/>
      <c r="R35" s="401"/>
      <c r="S35" s="401"/>
      <c r="T35" s="30"/>
      <c r="U35" s="30"/>
      <c r="V35" s="30"/>
      <c r="W35" s="30"/>
      <c r="X35" s="30"/>
      <c r="Y35" s="30"/>
      <c r="Z35" s="30"/>
      <c r="AA35" s="30"/>
      <c r="AB35" s="30"/>
      <c r="AC35" s="30"/>
      <c r="AD35" s="30"/>
    </row>
    <row r="36" spans="1:30" x14ac:dyDescent="0.2">
      <c r="A36" s="30"/>
      <c r="B36" s="556" t="s">
        <v>58</v>
      </c>
      <c r="L36" s="30"/>
      <c r="M36" s="30"/>
      <c r="N36" s="30"/>
      <c r="O36" s="30"/>
      <c r="P36" s="30"/>
      <c r="Q36" s="30"/>
      <c r="R36" s="30"/>
      <c r="S36" s="30"/>
      <c r="T36" s="30"/>
      <c r="U36" s="30"/>
      <c r="V36" s="30"/>
      <c r="W36" s="30"/>
      <c r="X36" s="30"/>
      <c r="Y36" s="30"/>
      <c r="Z36" s="30"/>
      <c r="AA36" s="30"/>
      <c r="AB36" s="30"/>
      <c r="AC36" s="30"/>
      <c r="AD36" s="30"/>
    </row>
    <row r="37" spans="1:30" x14ac:dyDescent="0.2">
      <c r="A37" s="30"/>
      <c r="B37" s="588" t="s">
        <v>454</v>
      </c>
      <c r="L37" s="30"/>
      <c r="M37" s="30"/>
      <c r="N37" s="30"/>
      <c r="O37" s="30"/>
      <c r="P37" s="30"/>
      <c r="Q37" s="30"/>
      <c r="R37" s="30"/>
      <c r="S37" s="30"/>
      <c r="T37" s="30"/>
      <c r="U37" s="30"/>
      <c r="V37" s="30"/>
      <c r="W37" s="30"/>
      <c r="X37" s="30"/>
      <c r="Y37" s="30"/>
      <c r="Z37" s="30"/>
      <c r="AA37" s="30"/>
      <c r="AB37" s="30"/>
      <c r="AC37" s="30"/>
      <c r="AD37" s="30"/>
    </row>
    <row r="38" spans="1:30" ht="12.75" customHeight="1" x14ac:dyDescent="0.2">
      <c r="A38" s="30"/>
      <c r="B38" s="354" t="s">
        <v>451</v>
      </c>
      <c r="C38" s="30"/>
      <c r="D38" s="30"/>
      <c r="E38" s="30"/>
      <c r="F38" s="30"/>
      <c r="G38" s="30"/>
      <c r="H38" s="30"/>
      <c r="I38" s="30"/>
      <c r="J38" s="30"/>
      <c r="K38" s="30"/>
      <c r="L38" s="30"/>
      <c r="M38" s="30"/>
      <c r="N38" s="251" t="s">
        <v>373</v>
      </c>
      <c r="O38" s="194"/>
      <c r="P38" s="30"/>
      <c r="Q38" s="1519" t="s">
        <v>868</v>
      </c>
      <c r="R38" s="1519"/>
      <c r="S38" s="1519"/>
      <c r="T38" s="1519"/>
      <c r="U38" s="1519"/>
      <c r="V38" s="1519"/>
      <c r="W38" s="1519"/>
      <c r="X38" s="1519"/>
      <c r="Y38" s="30"/>
      <c r="Z38" s="30"/>
      <c r="AA38" s="30"/>
      <c r="AB38" s="30"/>
      <c r="AC38" s="30"/>
      <c r="AD38" s="30"/>
    </row>
    <row r="39" spans="1:30" x14ac:dyDescent="0.2">
      <c r="A39" s="30"/>
      <c r="B39" s="583">
        <f>IF(OR(O38=S43,O38=S45),"- Contractor shall follow requirements in the ''Documentation, Removal, and Reinstallation of Existing Pavement Markings and Traffic Signal Loops'' special provision.",0)</f>
        <v>0</v>
      </c>
      <c r="C39" s="29"/>
      <c r="D39" s="29"/>
      <c r="E39" s="29"/>
      <c r="F39" s="29"/>
      <c r="G39" s="29"/>
      <c r="H39" s="29"/>
      <c r="I39" s="29"/>
      <c r="J39" s="29"/>
      <c r="K39" s="30"/>
      <c r="L39" s="30"/>
      <c r="M39" s="30"/>
      <c r="N39" s="30"/>
      <c r="O39" s="30"/>
      <c r="P39" s="30"/>
      <c r="Q39" s="30"/>
      <c r="R39" s="30"/>
      <c r="S39" s="30"/>
      <c r="T39" s="30"/>
      <c r="U39" s="30"/>
      <c r="V39" s="30"/>
      <c r="W39" s="30"/>
      <c r="X39" s="30"/>
      <c r="Y39" s="30"/>
      <c r="Z39" s="30"/>
      <c r="AA39" s="30"/>
      <c r="AB39" s="30"/>
      <c r="AC39" s="30"/>
      <c r="AD39" s="30"/>
    </row>
    <row r="40" spans="1:30" ht="6.75" customHeight="1" x14ac:dyDescent="0.2">
      <c r="A40" s="30"/>
      <c r="B40" s="30"/>
      <c r="C40" s="30"/>
      <c r="D40" s="30"/>
      <c r="E40" s="30"/>
      <c r="F40" s="30"/>
      <c r="G40" s="30"/>
      <c r="H40" s="30"/>
      <c r="I40" s="30"/>
      <c r="J40" s="30"/>
      <c r="K40" s="30"/>
      <c r="L40" s="30"/>
      <c r="M40" s="30"/>
      <c r="N40" s="30"/>
      <c r="O40" s="30"/>
      <c r="P40" s="30"/>
      <c r="Q40" s="30"/>
      <c r="R40" s="30"/>
      <c r="S40" s="30"/>
      <c r="T40" s="30"/>
      <c r="U40" s="30"/>
      <c r="V40" s="30"/>
      <c r="W40" s="30"/>
      <c r="X40" s="30"/>
      <c r="Y40" s="30"/>
      <c r="Z40" s="30"/>
      <c r="AA40" s="30"/>
      <c r="AB40" s="30"/>
      <c r="AC40" s="30"/>
      <c r="AD40" s="30"/>
    </row>
    <row r="41" spans="1:30" x14ac:dyDescent="0.2">
      <c r="A41" s="30"/>
      <c r="B41" s="30"/>
      <c r="C41" s="30"/>
      <c r="D41" s="30"/>
      <c r="E41" s="30"/>
      <c r="F41" s="30"/>
      <c r="G41" s="30"/>
      <c r="H41" s="30"/>
      <c r="I41" s="30"/>
      <c r="J41" s="30"/>
      <c r="K41" s="30"/>
      <c r="L41" s="30"/>
      <c r="M41" s="30"/>
      <c r="N41" s="576" t="s">
        <v>197</v>
      </c>
      <c r="O41" s="577"/>
      <c r="P41" s="578"/>
      <c r="Q41" s="579"/>
      <c r="R41" s="30"/>
      <c r="S41" s="291"/>
      <c r="T41" s="30"/>
      <c r="U41" s="30"/>
      <c r="V41" s="30"/>
      <c r="W41" s="30"/>
      <c r="X41" s="30"/>
      <c r="Y41" s="30"/>
      <c r="Z41" s="30"/>
      <c r="AA41" s="30"/>
      <c r="AB41" s="30"/>
      <c r="AC41" s="30"/>
      <c r="AD41" s="30"/>
    </row>
    <row r="42" spans="1:30" x14ac:dyDescent="0.2">
      <c r="A42" s="30"/>
      <c r="B42" s="30"/>
      <c r="C42" s="30"/>
      <c r="D42" s="30"/>
      <c r="E42" s="30"/>
      <c r="F42" s="30"/>
      <c r="G42" s="30"/>
      <c r="H42" s="30"/>
      <c r="I42" s="30"/>
      <c r="J42" s="30"/>
      <c r="K42" s="30"/>
      <c r="L42" s="30"/>
      <c r="M42" s="30"/>
      <c r="N42" s="582" t="s">
        <v>198</v>
      </c>
      <c r="O42" s="577"/>
      <c r="P42" s="578"/>
      <c r="Q42" s="579"/>
      <c r="R42" s="30"/>
      <c r="S42" s="220" t="s">
        <v>374</v>
      </c>
      <c r="T42" s="30"/>
      <c r="U42" s="30"/>
      <c r="V42" s="30"/>
      <c r="W42" s="30"/>
      <c r="X42" s="30"/>
      <c r="Y42" s="30"/>
      <c r="Z42" s="30"/>
      <c r="AA42" s="30"/>
      <c r="AB42" s="30"/>
      <c r="AC42" s="30"/>
      <c r="AD42" s="30"/>
    </row>
    <row r="43" spans="1:30" x14ac:dyDescent="0.2">
      <c r="A43" s="30"/>
      <c r="B43" s="30"/>
      <c r="C43" s="30"/>
      <c r="D43" s="30"/>
      <c r="E43" s="30"/>
      <c r="F43" s="30"/>
      <c r="G43" s="30"/>
      <c r="H43" s="30"/>
      <c r="I43" s="30"/>
      <c r="J43" s="30"/>
      <c r="K43" s="30"/>
      <c r="L43" s="30"/>
      <c r="M43" s="30"/>
      <c r="N43" s="580" t="s">
        <v>199</v>
      </c>
      <c r="O43" s="581">
        <f>8*2.5+2*1.75</f>
        <v>23.5</v>
      </c>
      <c r="P43" s="578" t="s">
        <v>101</v>
      </c>
      <c r="Q43" s="579"/>
      <c r="R43" s="30"/>
      <c r="S43" s="220" t="s">
        <v>375</v>
      </c>
      <c r="T43" s="30"/>
      <c r="U43" s="30"/>
      <c r="V43" s="30"/>
      <c r="W43" s="30"/>
      <c r="X43" s="30"/>
      <c r="Y43" s="30"/>
      <c r="Z43" s="30"/>
      <c r="AA43" s="30"/>
      <c r="AB43" s="30"/>
      <c r="AC43" s="30"/>
      <c r="AD43" s="30"/>
    </row>
    <row r="44" spans="1:30" x14ac:dyDescent="0.2">
      <c r="A44" s="30"/>
      <c r="B44" s="30"/>
      <c r="C44" s="30"/>
      <c r="D44" s="30"/>
      <c r="E44" s="30"/>
      <c r="F44" s="30"/>
      <c r="G44" s="30"/>
      <c r="H44" s="30"/>
      <c r="I44" s="30"/>
      <c r="J44" s="30"/>
      <c r="K44" s="30"/>
      <c r="L44" s="30"/>
      <c r="M44" s="30"/>
      <c r="N44" s="580" t="s">
        <v>200</v>
      </c>
      <c r="O44" s="581">
        <f>2*1.75+3*2.5+4*7*2.5</f>
        <v>81</v>
      </c>
      <c r="P44" s="578" t="s">
        <v>101</v>
      </c>
      <c r="Q44" s="579"/>
      <c r="R44" s="30"/>
      <c r="S44" s="220" t="s">
        <v>376</v>
      </c>
      <c r="T44" s="30"/>
      <c r="U44" s="30"/>
      <c r="V44" s="30"/>
      <c r="W44" s="30"/>
      <c r="X44" s="30"/>
      <c r="Y44" s="30"/>
      <c r="Z44" s="30"/>
      <c r="AA44" s="30"/>
      <c r="AB44" s="30"/>
      <c r="AC44" s="30"/>
      <c r="AD44" s="30"/>
    </row>
    <row r="45" spans="1:30" x14ac:dyDescent="0.2">
      <c r="A45" s="30"/>
      <c r="B45" s="30"/>
      <c r="C45" s="30"/>
      <c r="D45" s="30"/>
      <c r="E45" s="30"/>
      <c r="F45" s="30"/>
      <c r="G45" s="30"/>
      <c r="H45" s="30"/>
      <c r="I45" s="30"/>
      <c r="J45" s="30"/>
      <c r="K45" s="30"/>
      <c r="L45" s="30"/>
      <c r="M45" s="30"/>
      <c r="N45" s="306"/>
      <c r="O45" s="577"/>
      <c r="P45" s="578"/>
      <c r="Q45" s="579"/>
      <c r="R45" s="30"/>
      <c r="S45" s="220" t="s">
        <v>377</v>
      </c>
      <c r="T45" s="30"/>
      <c r="U45" s="30"/>
      <c r="V45" s="30"/>
      <c r="W45" s="30"/>
      <c r="X45" s="30"/>
      <c r="Y45" s="30"/>
      <c r="Z45" s="30"/>
      <c r="AA45" s="30"/>
      <c r="AB45" s="30"/>
      <c r="AC45" s="30"/>
      <c r="AD45" s="30"/>
    </row>
    <row r="46" spans="1:30" x14ac:dyDescent="0.2">
      <c r="A46" s="30"/>
      <c r="B46" s="30"/>
      <c r="C46" s="30"/>
      <c r="D46" s="30"/>
      <c r="E46" s="30"/>
      <c r="F46" s="30"/>
      <c r="G46" s="30"/>
      <c r="H46" s="30"/>
      <c r="I46" s="30"/>
      <c r="J46" s="30"/>
      <c r="K46" s="30"/>
      <c r="L46" s="30"/>
      <c r="M46" s="30"/>
      <c r="N46" s="582" t="s">
        <v>201</v>
      </c>
      <c r="O46" s="577"/>
      <c r="P46" s="578"/>
      <c r="Q46" s="579" t="s">
        <v>452</v>
      </c>
      <c r="R46" s="30"/>
      <c r="S46" s="220" t="s">
        <v>378</v>
      </c>
      <c r="T46" s="30"/>
      <c r="U46" s="30"/>
      <c r="V46" s="30"/>
      <c r="W46" s="30"/>
      <c r="X46" s="30"/>
      <c r="Y46" s="30"/>
      <c r="Z46" s="30"/>
      <c r="AA46" s="30"/>
      <c r="AB46" s="30"/>
      <c r="AC46" s="30"/>
      <c r="AD46" s="30"/>
    </row>
    <row r="47" spans="1:30" x14ac:dyDescent="0.2">
      <c r="A47" s="30"/>
      <c r="B47" s="30"/>
      <c r="C47" s="30"/>
      <c r="D47" s="30"/>
      <c r="E47" s="30"/>
      <c r="F47" s="30"/>
      <c r="G47" s="30"/>
      <c r="H47" s="30"/>
      <c r="I47" s="30"/>
      <c r="J47" s="30"/>
      <c r="K47" s="30"/>
      <c r="L47" s="30"/>
      <c r="M47" s="30"/>
      <c r="N47" s="580" t="s">
        <v>199</v>
      </c>
      <c r="O47" s="581">
        <f>4*O43+2*5+20+35</f>
        <v>159</v>
      </c>
      <c r="P47" s="578" t="s">
        <v>101</v>
      </c>
      <c r="Q47" s="579">
        <v>160</v>
      </c>
      <c r="R47" s="30"/>
      <c r="S47" s="220" t="s">
        <v>379</v>
      </c>
      <c r="T47" s="30"/>
      <c r="U47" s="30"/>
      <c r="V47" s="30"/>
      <c r="W47" s="30"/>
      <c r="X47" s="30"/>
      <c r="Y47" s="30"/>
      <c r="Z47" s="30"/>
      <c r="AA47" s="30"/>
      <c r="AB47" s="30"/>
      <c r="AC47" s="30"/>
      <c r="AD47" s="30"/>
    </row>
    <row r="48" spans="1:30" x14ac:dyDescent="0.2">
      <c r="A48" s="30"/>
      <c r="B48" s="30"/>
      <c r="C48" s="30"/>
      <c r="D48" s="30"/>
      <c r="E48" s="30"/>
      <c r="F48" s="30"/>
      <c r="G48" s="30"/>
      <c r="H48" s="30"/>
      <c r="I48" s="30"/>
      <c r="J48" s="30"/>
      <c r="K48" s="30"/>
      <c r="L48" s="30"/>
      <c r="M48" s="30"/>
      <c r="N48" s="580" t="s">
        <v>200</v>
      </c>
      <c r="O48" s="581">
        <f>4*O44+2*(5+5+20+35)</f>
        <v>454</v>
      </c>
      <c r="P48" s="578" t="s">
        <v>101</v>
      </c>
      <c r="Q48" s="579">
        <v>460</v>
      </c>
      <c r="R48" s="30"/>
      <c r="S48" s="30"/>
      <c r="T48" s="30"/>
      <c r="U48" s="30"/>
      <c r="V48" s="30"/>
      <c r="W48" s="30"/>
      <c r="X48" s="30"/>
      <c r="Y48" s="30"/>
      <c r="Z48" s="30"/>
      <c r="AA48" s="30"/>
      <c r="AB48" s="30"/>
      <c r="AC48" s="30"/>
      <c r="AD48" s="30"/>
    </row>
    <row r="49" spans="1:30" x14ac:dyDescent="0.2">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c r="AB49" s="30"/>
      <c r="AC49" s="30"/>
      <c r="AD49" s="30"/>
    </row>
    <row r="50" spans="1:30" x14ac:dyDescent="0.2">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c r="AB50" s="30"/>
      <c r="AC50" s="30"/>
      <c r="AD50" s="30"/>
    </row>
    <row r="51" spans="1:30" x14ac:dyDescent="0.2">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row>
    <row r="52" spans="1:30" x14ac:dyDescent="0.2">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row>
    <row r="53" spans="1:30" x14ac:dyDescent="0.2">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row>
    <row r="54" spans="1:30" x14ac:dyDescent="0.2">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row>
    <row r="55" spans="1:30" x14ac:dyDescent="0.2">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row>
    <row r="56" spans="1:30" x14ac:dyDescent="0.2">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row>
    <row r="57" spans="1:30" x14ac:dyDescent="0.2">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row>
    <row r="58" spans="1:30" x14ac:dyDescent="0.2">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row>
    <row r="59" spans="1:30" x14ac:dyDescent="0.2">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row>
    <row r="60" spans="1:30" x14ac:dyDescent="0.2">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row>
    <row r="61" spans="1:30" x14ac:dyDescent="0.2">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row>
    <row r="62" spans="1:30" x14ac:dyDescent="0.2">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row>
    <row r="63" spans="1:30" x14ac:dyDescent="0.2">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row>
    <row r="64" spans="1:30" x14ac:dyDescent="0.2">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row>
  </sheetData>
  <mergeCells count="9">
    <mergeCell ref="A1:L1"/>
    <mergeCell ref="B34:D34"/>
    <mergeCell ref="K3:K4"/>
    <mergeCell ref="N1:X2"/>
    <mergeCell ref="Q38:X38"/>
    <mergeCell ref="Q3:W3"/>
    <mergeCell ref="B3:B4"/>
    <mergeCell ref="C3:C4"/>
    <mergeCell ref="D3:D4"/>
  </mergeCells>
  <phoneticPr fontId="1" type="noConversion"/>
  <dataValidations count="1">
    <dataValidation type="list" showInputMessage="1" showErrorMessage="1" sqref="O38">
      <formula1>$S$41:$S$47</formula1>
    </dataValidation>
  </dataValidations>
  <printOptions horizontalCentered="1"/>
  <pageMargins left="0.25" right="0.25" top="0.25" bottom="0.25" header="0" footer="0"/>
  <pageSetup firstPageNumber="11" orientation="landscape" useFirstPageNumber="1" r:id="rId1"/>
  <headerFooter alignWithMargins="0"/>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4"/>
  <dimension ref="A1:Z83"/>
  <sheetViews>
    <sheetView showGridLines="0" showZeros="0" zoomScale="75" zoomScaleNormal="75" workbookViewId="0">
      <pane xSplit="6" ySplit="3" topLeftCell="G4" activePane="bottomRight" state="frozen"/>
      <selection pane="topRight" activeCell="G1" sqref="G1"/>
      <selection pane="bottomLeft" activeCell="A4" sqref="A4"/>
      <selection pane="bottomRight" activeCell="I1" sqref="I1:R1"/>
    </sheetView>
  </sheetViews>
  <sheetFormatPr defaultRowHeight="12.75" x14ac:dyDescent="0.2"/>
  <cols>
    <col min="1" max="1" width="1.7109375" customWidth="1"/>
    <col min="2" max="2" width="11.28515625" customWidth="1"/>
    <col min="3" max="3" width="26.5703125" style="8" customWidth="1"/>
    <col min="4" max="4" width="15.140625" style="8" customWidth="1"/>
    <col min="5" max="5" width="12.7109375" bestFit="1" customWidth="1"/>
    <col min="6" max="6" width="32.28515625" bestFit="1" customWidth="1"/>
    <col min="7" max="7" width="1.7109375" customWidth="1"/>
    <col min="8" max="8" width="3.85546875" customWidth="1"/>
    <col min="9" max="9" width="34.42578125" customWidth="1"/>
    <col min="10" max="10" width="15.42578125" customWidth="1"/>
    <col min="11" max="11" width="14.140625" customWidth="1"/>
    <col min="12" max="12" width="11" customWidth="1"/>
    <col min="13" max="13" width="10.140625" customWidth="1"/>
    <col min="14" max="14" width="10" customWidth="1"/>
  </cols>
  <sheetData>
    <row r="1" spans="1:26" ht="18" x14ac:dyDescent="0.25">
      <c r="A1" s="1433" t="str">
        <f>UPPER("Monument Treatment Summary Table")</f>
        <v>MONUMENT TREATMENT SUMMARY TABLE</v>
      </c>
      <c r="B1" s="1225"/>
      <c r="C1" s="1225"/>
      <c r="D1" s="1225"/>
      <c r="E1" s="1225"/>
      <c r="F1" s="1225"/>
      <c r="G1" s="1225"/>
      <c r="H1" s="30"/>
      <c r="I1" s="1321" t="s">
        <v>463</v>
      </c>
      <c r="J1" s="1291"/>
      <c r="K1" s="1291"/>
      <c r="L1" s="1291"/>
      <c r="M1" s="1291"/>
      <c r="N1" s="1291"/>
      <c r="O1" s="1291"/>
      <c r="P1" s="1291"/>
      <c r="Q1" s="1291"/>
      <c r="R1" s="1291"/>
      <c r="S1" s="30"/>
      <c r="T1" s="30"/>
      <c r="U1" s="30"/>
      <c r="V1" s="30"/>
      <c r="W1" s="30"/>
      <c r="X1" s="30"/>
      <c r="Y1" s="30"/>
      <c r="Z1" s="30"/>
    </row>
    <row r="2" spans="1:26" ht="13.5" customHeight="1" thickBot="1" x14ac:dyDescent="0.25">
      <c r="A2" s="30"/>
      <c r="B2" s="1356"/>
      <c r="C2" s="1356"/>
      <c r="D2" s="1356"/>
      <c r="E2" s="1356"/>
      <c r="F2" s="1356"/>
      <c r="G2" s="156"/>
      <c r="H2" s="30"/>
      <c r="J2" s="1533" t="str">
        <f>I58</f>
        <v>Casting Adjusted to Grade, Monument</v>
      </c>
      <c r="K2" s="1527" t="str">
        <f>I59</f>
        <v>Casting, Furnish and Adjust to Grade</v>
      </c>
      <c r="L2" s="1527" t="str">
        <f>I60</f>
        <v>Monument, Re-establish</v>
      </c>
      <c r="M2" s="1527" t="str">
        <f>I61</f>
        <v>Monument, B</v>
      </c>
      <c r="N2" s="1529" t="str">
        <f>I62</f>
        <v>Monument, Section Corner</v>
      </c>
      <c r="O2" s="1531">
        <f>I63</f>
        <v>0</v>
      </c>
      <c r="P2" s="30"/>
      <c r="Q2" s="30"/>
      <c r="R2" s="30"/>
      <c r="S2" s="30"/>
      <c r="T2" s="30"/>
      <c r="U2" s="30"/>
      <c r="V2" s="30"/>
      <c r="W2" s="30"/>
      <c r="X2" s="30"/>
      <c r="Y2" s="30"/>
      <c r="Z2" s="30"/>
    </row>
    <row r="3" spans="1:26" ht="23.25" thickBot="1" x14ac:dyDescent="0.25">
      <c r="A3" s="30"/>
      <c r="B3" s="592" t="s">
        <v>170</v>
      </c>
      <c r="C3" s="593" t="s">
        <v>46</v>
      </c>
      <c r="D3" s="593" t="s">
        <v>92</v>
      </c>
      <c r="E3" s="593" t="s">
        <v>93</v>
      </c>
      <c r="F3" s="594" t="s">
        <v>94</v>
      </c>
      <c r="G3" s="33"/>
      <c r="H3" s="30"/>
      <c r="J3" s="1534"/>
      <c r="K3" s="1528"/>
      <c r="L3" s="1528"/>
      <c r="M3" s="1528"/>
      <c r="N3" s="1530"/>
      <c r="O3" s="1532"/>
      <c r="P3" s="30"/>
      <c r="Q3" s="30"/>
      <c r="R3" s="30"/>
      <c r="S3" s="30"/>
      <c r="T3" s="30"/>
      <c r="U3" s="30"/>
      <c r="V3" s="30"/>
      <c r="W3" s="30"/>
      <c r="X3" s="30"/>
      <c r="Y3" s="30"/>
      <c r="Z3" s="30"/>
    </row>
    <row r="4" spans="1:26" ht="12.75" customHeight="1" x14ac:dyDescent="0.2">
      <c r="A4" s="30"/>
      <c r="B4" s="603"/>
      <c r="C4" s="595"/>
      <c r="D4" s="595"/>
      <c r="E4" s="595"/>
      <c r="F4" s="596"/>
      <c r="G4" s="530"/>
      <c r="H4" s="30"/>
      <c r="J4" s="180">
        <f>IF(F4=$J$2,1,0)</f>
        <v>0</v>
      </c>
      <c r="K4" s="190">
        <f>IF(F4=$K$2,1,0)</f>
        <v>0</v>
      </c>
      <c r="L4" s="190">
        <f>IF(F4=$L$2,1,0)</f>
        <v>0</v>
      </c>
      <c r="M4" s="190">
        <f>IF(F4=$M$2,1,0)</f>
        <v>0</v>
      </c>
      <c r="N4" s="181">
        <f>IF(F4=$N$2,1,0)</f>
        <v>0</v>
      </c>
      <c r="O4" s="181">
        <f>IF(AND($O$2&lt;&gt;0,F4=$O$2),1,0)</f>
        <v>0</v>
      </c>
      <c r="P4" s="30"/>
      <c r="Q4" s="30"/>
      <c r="R4" s="30"/>
      <c r="S4" s="30"/>
      <c r="T4" s="30"/>
      <c r="U4" s="30"/>
      <c r="V4" s="30"/>
      <c r="W4" s="30"/>
      <c r="X4" s="30"/>
      <c r="Y4" s="30"/>
      <c r="Z4" s="30"/>
    </row>
    <row r="5" spans="1:26" ht="12.75" customHeight="1" x14ac:dyDescent="0.2">
      <c r="A5" s="30"/>
      <c r="B5" s="604"/>
      <c r="C5" s="597"/>
      <c r="D5" s="597"/>
      <c r="E5" s="597"/>
      <c r="F5" s="547"/>
      <c r="G5" s="530"/>
      <c r="H5" s="30"/>
      <c r="J5" s="180">
        <f>IF(F5=$J$2,1,0)</f>
        <v>0</v>
      </c>
      <c r="K5" s="190">
        <f>IF(F5=$K$2,1,0)</f>
        <v>0</v>
      </c>
      <c r="L5" s="190">
        <f>IF(F5=$L$2,1,0)</f>
        <v>0</v>
      </c>
      <c r="M5" s="190">
        <f>IF(F5=$M$2,1,0)</f>
        <v>0</v>
      </c>
      <c r="N5" s="181">
        <f>IF(F5=$N$2,1,0)</f>
        <v>0</v>
      </c>
      <c r="O5" s="181">
        <f t="shared" ref="O5:O47" si="0">IF(AND($O$2&lt;&gt;0,F5=$O$2),1,0)</f>
        <v>0</v>
      </c>
      <c r="P5" s="30"/>
      <c r="Q5" s="30"/>
      <c r="R5" s="30"/>
      <c r="S5" s="30"/>
      <c r="T5" s="30"/>
      <c r="U5" s="30"/>
      <c r="V5" s="30"/>
      <c r="W5" s="30"/>
      <c r="X5" s="30"/>
      <c r="Y5" s="30"/>
      <c r="Z5" s="30"/>
    </row>
    <row r="6" spans="1:26" ht="12.75" customHeight="1" x14ac:dyDescent="0.2">
      <c r="A6" s="30"/>
      <c r="B6" s="604"/>
      <c r="C6" s="597"/>
      <c r="D6" s="597"/>
      <c r="E6" s="597"/>
      <c r="F6" s="547"/>
      <c r="G6" s="530"/>
      <c r="H6" s="30"/>
      <c r="J6" s="180">
        <f>IF(F6=$J$2,1,0)</f>
        <v>0</v>
      </c>
      <c r="K6" s="190">
        <f>IF(F6=$K$2,1,0)</f>
        <v>0</v>
      </c>
      <c r="L6" s="190">
        <f>IF(F6=$L$2,1,0)</f>
        <v>0</v>
      </c>
      <c r="M6" s="190">
        <f>IF(F6=$M$2,1,0)</f>
        <v>0</v>
      </c>
      <c r="N6" s="181">
        <f>IF(F6=$N$2,1,0)</f>
        <v>0</v>
      </c>
      <c r="O6" s="181">
        <f t="shared" si="0"/>
        <v>0</v>
      </c>
      <c r="P6" s="30"/>
      <c r="Q6" s="30"/>
      <c r="R6" s="30"/>
      <c r="S6" s="30"/>
      <c r="T6" s="30"/>
      <c r="U6" s="30"/>
      <c r="V6" s="30"/>
      <c r="W6" s="30"/>
      <c r="X6" s="30"/>
      <c r="Y6" s="30"/>
      <c r="Z6" s="30"/>
    </row>
    <row r="7" spans="1:26" ht="12.75" customHeight="1" x14ac:dyDescent="0.2">
      <c r="A7" s="30"/>
      <c r="B7" s="604"/>
      <c r="C7" s="597"/>
      <c r="D7" s="597"/>
      <c r="E7" s="597"/>
      <c r="F7" s="547"/>
      <c r="G7" s="530"/>
      <c r="H7" s="30"/>
      <c r="J7" s="180">
        <f>IF(F7=$J$2,1,0)</f>
        <v>0</v>
      </c>
      <c r="K7" s="190">
        <f>IF(F7=$K$2,1,0)</f>
        <v>0</v>
      </c>
      <c r="L7" s="190">
        <f>IF(F7=$L$2,1,0)</f>
        <v>0</v>
      </c>
      <c r="M7" s="190">
        <f>IF(F7=$M$2,1,0)</f>
        <v>0</v>
      </c>
      <c r="N7" s="181">
        <f>IF(F7=$N$2,1,0)</f>
        <v>0</v>
      </c>
      <c r="O7" s="181">
        <f t="shared" si="0"/>
        <v>0</v>
      </c>
      <c r="P7" s="30"/>
      <c r="Q7" s="30"/>
      <c r="R7" s="30"/>
      <c r="S7" s="30"/>
      <c r="T7" s="30"/>
      <c r="U7" s="30"/>
      <c r="V7" s="30"/>
      <c r="W7" s="30"/>
      <c r="X7" s="30"/>
      <c r="Y7" s="30"/>
      <c r="Z7" s="30"/>
    </row>
    <row r="8" spans="1:26" ht="12.75" customHeight="1" x14ac:dyDescent="0.2">
      <c r="A8" s="30"/>
      <c r="B8" s="604"/>
      <c r="C8" s="597"/>
      <c r="D8" s="597"/>
      <c r="E8" s="597"/>
      <c r="F8" s="547"/>
      <c r="G8" s="530"/>
      <c r="H8" s="30"/>
      <c r="J8" s="180">
        <f>IF(F8=$J$2,1,0)</f>
        <v>0</v>
      </c>
      <c r="K8" s="190">
        <f>IF(F8=$K$2,1,0)</f>
        <v>0</v>
      </c>
      <c r="L8" s="190">
        <f>IF(F8=$L$2,1,0)</f>
        <v>0</v>
      </c>
      <c r="M8" s="190">
        <f>IF(F8=$M$2,1,0)</f>
        <v>0</v>
      </c>
      <c r="N8" s="181">
        <f>IF(F8=$N$2,1,0)</f>
        <v>0</v>
      </c>
      <c r="O8" s="181">
        <f t="shared" si="0"/>
        <v>0</v>
      </c>
      <c r="P8" s="30"/>
      <c r="Q8" s="30"/>
      <c r="R8" s="30"/>
      <c r="S8" s="30"/>
      <c r="T8" s="30"/>
      <c r="U8" s="30"/>
      <c r="V8" s="30"/>
      <c r="W8" s="30"/>
      <c r="X8" s="30"/>
      <c r="Y8" s="30"/>
      <c r="Z8" s="30"/>
    </row>
    <row r="9" spans="1:26" ht="12.75" customHeight="1" x14ac:dyDescent="0.2">
      <c r="A9" s="30"/>
      <c r="B9" s="604"/>
      <c r="C9" s="597"/>
      <c r="D9" s="597"/>
      <c r="E9" s="597"/>
      <c r="F9" s="547"/>
      <c r="G9" s="530"/>
      <c r="H9" s="30"/>
      <c r="J9" s="180">
        <f t="shared" ref="J9:J31" si="1">IF(F9=$J$2,1,0)</f>
        <v>0</v>
      </c>
      <c r="K9" s="190">
        <f t="shared" ref="K9:K31" si="2">IF(F9=$K$2,1,0)</f>
        <v>0</v>
      </c>
      <c r="L9" s="190">
        <f t="shared" ref="L9:L31" si="3">IF(F9=$L$2,1,0)</f>
        <v>0</v>
      </c>
      <c r="M9" s="190">
        <f t="shared" ref="M9:M31" si="4">IF(F9=$M$2,1,0)</f>
        <v>0</v>
      </c>
      <c r="N9" s="181">
        <f t="shared" ref="N9:N31" si="5">IF(F9=$N$2,1,0)</f>
        <v>0</v>
      </c>
      <c r="O9" s="181">
        <f t="shared" si="0"/>
        <v>0</v>
      </c>
      <c r="P9" s="30"/>
      <c r="Q9" s="30"/>
      <c r="R9" s="30"/>
      <c r="S9" s="30"/>
      <c r="T9" s="30"/>
      <c r="U9" s="30"/>
      <c r="V9" s="30"/>
      <c r="W9" s="30"/>
      <c r="X9" s="30"/>
      <c r="Y9" s="30"/>
      <c r="Z9" s="30"/>
    </row>
    <row r="10" spans="1:26" ht="12.75" customHeight="1" x14ac:dyDescent="0.2">
      <c r="A10" s="30"/>
      <c r="B10" s="604"/>
      <c r="C10" s="597"/>
      <c r="D10" s="597"/>
      <c r="E10" s="597"/>
      <c r="F10" s="547"/>
      <c r="G10" s="530"/>
      <c r="H10" s="30"/>
      <c r="J10" s="180">
        <f t="shared" si="1"/>
        <v>0</v>
      </c>
      <c r="K10" s="190">
        <f t="shared" si="2"/>
        <v>0</v>
      </c>
      <c r="L10" s="190">
        <f t="shared" si="3"/>
        <v>0</v>
      </c>
      <c r="M10" s="190">
        <f t="shared" si="4"/>
        <v>0</v>
      </c>
      <c r="N10" s="181">
        <f t="shared" si="5"/>
        <v>0</v>
      </c>
      <c r="O10" s="181">
        <f t="shared" si="0"/>
        <v>0</v>
      </c>
      <c r="P10" s="30"/>
      <c r="Q10" s="30"/>
      <c r="R10" s="30"/>
      <c r="S10" s="30"/>
      <c r="T10" s="30"/>
      <c r="U10" s="30"/>
      <c r="V10" s="30"/>
      <c r="W10" s="30"/>
      <c r="X10" s="30"/>
      <c r="Y10" s="30"/>
      <c r="Z10" s="30"/>
    </row>
    <row r="11" spans="1:26" ht="12.75" customHeight="1" x14ac:dyDescent="0.2">
      <c r="A11" s="30"/>
      <c r="B11" s="604"/>
      <c r="C11" s="597"/>
      <c r="D11" s="597"/>
      <c r="E11" s="597"/>
      <c r="F11" s="547"/>
      <c r="G11" s="530"/>
      <c r="H11" s="30"/>
      <c r="J11" s="180">
        <f t="shared" si="1"/>
        <v>0</v>
      </c>
      <c r="K11" s="190">
        <f t="shared" si="2"/>
        <v>0</v>
      </c>
      <c r="L11" s="190">
        <f t="shared" si="3"/>
        <v>0</v>
      </c>
      <c r="M11" s="190">
        <f t="shared" si="4"/>
        <v>0</v>
      </c>
      <c r="N11" s="181">
        <f t="shared" si="5"/>
        <v>0</v>
      </c>
      <c r="O11" s="181">
        <f t="shared" si="0"/>
        <v>0</v>
      </c>
      <c r="P11" s="30"/>
      <c r="Q11" s="30"/>
      <c r="R11" s="30"/>
      <c r="S11" s="30"/>
      <c r="T11" s="30"/>
      <c r="U11" s="30"/>
      <c r="V11" s="30"/>
      <c r="W11" s="30"/>
      <c r="X11" s="30"/>
      <c r="Y11" s="30"/>
      <c r="Z11" s="30"/>
    </row>
    <row r="12" spans="1:26" ht="12.75" customHeight="1" x14ac:dyDescent="0.2">
      <c r="A12" s="30"/>
      <c r="B12" s="604"/>
      <c r="C12" s="597"/>
      <c r="D12" s="597"/>
      <c r="E12" s="597"/>
      <c r="F12" s="547"/>
      <c r="G12" s="530"/>
      <c r="H12" s="30"/>
      <c r="J12" s="180">
        <f t="shared" si="1"/>
        <v>0</v>
      </c>
      <c r="K12" s="190">
        <f t="shared" si="2"/>
        <v>0</v>
      </c>
      <c r="L12" s="190">
        <f t="shared" si="3"/>
        <v>0</v>
      </c>
      <c r="M12" s="190">
        <f t="shared" si="4"/>
        <v>0</v>
      </c>
      <c r="N12" s="181">
        <f t="shared" si="5"/>
        <v>0</v>
      </c>
      <c r="O12" s="181">
        <f t="shared" si="0"/>
        <v>0</v>
      </c>
      <c r="P12" s="30"/>
      <c r="Q12" s="30"/>
      <c r="R12" s="30"/>
      <c r="S12" s="30"/>
      <c r="T12" s="30"/>
      <c r="U12" s="30"/>
      <c r="V12" s="30"/>
      <c r="W12" s="30"/>
      <c r="X12" s="30"/>
      <c r="Y12" s="30"/>
      <c r="Z12" s="30"/>
    </row>
    <row r="13" spans="1:26" ht="12.75" customHeight="1" x14ac:dyDescent="0.2">
      <c r="A13" s="30"/>
      <c r="B13" s="604"/>
      <c r="C13" s="597"/>
      <c r="D13" s="597"/>
      <c r="E13" s="597"/>
      <c r="F13" s="547"/>
      <c r="G13" s="530"/>
      <c r="H13" s="30"/>
      <c r="J13" s="180">
        <f t="shared" si="1"/>
        <v>0</v>
      </c>
      <c r="K13" s="190">
        <f t="shared" si="2"/>
        <v>0</v>
      </c>
      <c r="L13" s="190">
        <f t="shared" si="3"/>
        <v>0</v>
      </c>
      <c r="M13" s="190">
        <f t="shared" si="4"/>
        <v>0</v>
      </c>
      <c r="N13" s="181">
        <f t="shared" si="5"/>
        <v>0</v>
      </c>
      <c r="O13" s="181">
        <f t="shared" si="0"/>
        <v>0</v>
      </c>
      <c r="P13" s="30"/>
      <c r="Q13" s="30"/>
      <c r="R13" s="30"/>
      <c r="S13" s="30"/>
      <c r="T13" s="30"/>
      <c r="U13" s="30"/>
      <c r="V13" s="30"/>
      <c r="W13" s="30"/>
      <c r="X13" s="30"/>
      <c r="Y13" s="30"/>
      <c r="Z13" s="30"/>
    </row>
    <row r="14" spans="1:26" ht="12.75" customHeight="1" x14ac:dyDescent="0.2">
      <c r="A14" s="30"/>
      <c r="B14" s="604"/>
      <c r="C14" s="597"/>
      <c r="D14" s="597"/>
      <c r="E14" s="597"/>
      <c r="F14" s="547"/>
      <c r="G14" s="530"/>
      <c r="H14" s="30"/>
      <c r="J14" s="180">
        <f t="shared" si="1"/>
        <v>0</v>
      </c>
      <c r="K14" s="190">
        <f t="shared" si="2"/>
        <v>0</v>
      </c>
      <c r="L14" s="190">
        <f t="shared" si="3"/>
        <v>0</v>
      </c>
      <c r="M14" s="190">
        <f t="shared" si="4"/>
        <v>0</v>
      </c>
      <c r="N14" s="181">
        <f t="shared" si="5"/>
        <v>0</v>
      </c>
      <c r="O14" s="181">
        <f t="shared" si="0"/>
        <v>0</v>
      </c>
      <c r="P14" s="30"/>
      <c r="Q14" s="30"/>
      <c r="R14" s="30"/>
      <c r="S14" s="30"/>
      <c r="T14" s="30"/>
      <c r="U14" s="30"/>
      <c r="V14" s="30"/>
      <c r="W14" s="30"/>
      <c r="X14" s="30"/>
      <c r="Y14" s="30"/>
      <c r="Z14" s="30"/>
    </row>
    <row r="15" spans="1:26" ht="12.75" customHeight="1" x14ac:dyDescent="0.2">
      <c r="A15" s="30"/>
      <c r="B15" s="604"/>
      <c r="C15" s="597"/>
      <c r="D15" s="597"/>
      <c r="E15" s="597"/>
      <c r="F15" s="547"/>
      <c r="G15" s="530"/>
      <c r="H15" s="30"/>
      <c r="J15" s="180">
        <f t="shared" si="1"/>
        <v>0</v>
      </c>
      <c r="K15" s="190">
        <f t="shared" si="2"/>
        <v>0</v>
      </c>
      <c r="L15" s="190">
        <f t="shared" si="3"/>
        <v>0</v>
      </c>
      <c r="M15" s="190">
        <f t="shared" si="4"/>
        <v>0</v>
      </c>
      <c r="N15" s="181">
        <f t="shared" si="5"/>
        <v>0</v>
      </c>
      <c r="O15" s="181">
        <f t="shared" si="0"/>
        <v>0</v>
      </c>
      <c r="P15" s="30"/>
      <c r="Q15" s="30"/>
      <c r="R15" s="30"/>
      <c r="S15" s="30"/>
      <c r="T15" s="30"/>
      <c r="U15" s="30"/>
      <c r="V15" s="30"/>
      <c r="W15" s="30"/>
      <c r="X15" s="30"/>
      <c r="Y15" s="30"/>
      <c r="Z15" s="30"/>
    </row>
    <row r="16" spans="1:26" ht="12.75" customHeight="1" x14ac:dyDescent="0.2">
      <c r="A16" s="30"/>
      <c r="B16" s="604"/>
      <c r="C16" s="597"/>
      <c r="D16" s="597"/>
      <c r="E16" s="597"/>
      <c r="F16" s="547"/>
      <c r="G16" s="530"/>
      <c r="H16" s="30"/>
      <c r="J16" s="180">
        <f t="shared" si="1"/>
        <v>0</v>
      </c>
      <c r="K16" s="190">
        <f t="shared" si="2"/>
        <v>0</v>
      </c>
      <c r="L16" s="190">
        <f t="shared" si="3"/>
        <v>0</v>
      </c>
      <c r="M16" s="190">
        <f t="shared" si="4"/>
        <v>0</v>
      </c>
      <c r="N16" s="181">
        <f t="shared" si="5"/>
        <v>0</v>
      </c>
      <c r="O16" s="181">
        <f t="shared" si="0"/>
        <v>0</v>
      </c>
      <c r="P16" s="30"/>
      <c r="Q16" s="30"/>
      <c r="R16" s="30"/>
      <c r="S16" s="30"/>
      <c r="T16" s="30"/>
      <c r="U16" s="30"/>
      <c r="V16" s="30"/>
      <c r="W16" s="30"/>
      <c r="X16" s="30"/>
      <c r="Y16" s="30"/>
      <c r="Z16" s="30"/>
    </row>
    <row r="17" spans="1:26" ht="12.75" customHeight="1" x14ac:dyDescent="0.2">
      <c r="A17" s="30"/>
      <c r="B17" s="604"/>
      <c r="C17" s="597"/>
      <c r="D17" s="597"/>
      <c r="E17" s="597"/>
      <c r="F17" s="547"/>
      <c r="G17" s="530"/>
      <c r="H17" s="30"/>
      <c r="J17" s="180">
        <f t="shared" si="1"/>
        <v>0</v>
      </c>
      <c r="K17" s="190">
        <f t="shared" si="2"/>
        <v>0</v>
      </c>
      <c r="L17" s="190">
        <f t="shared" si="3"/>
        <v>0</v>
      </c>
      <c r="M17" s="190">
        <f t="shared" si="4"/>
        <v>0</v>
      </c>
      <c r="N17" s="181">
        <f t="shared" si="5"/>
        <v>0</v>
      </c>
      <c r="O17" s="181">
        <f t="shared" si="0"/>
        <v>0</v>
      </c>
      <c r="P17" s="30"/>
      <c r="Q17" s="30"/>
      <c r="R17" s="30"/>
      <c r="S17" s="30"/>
      <c r="T17" s="30"/>
      <c r="U17" s="30"/>
      <c r="V17" s="30"/>
      <c r="W17" s="30"/>
      <c r="X17" s="30"/>
      <c r="Y17" s="30"/>
      <c r="Z17" s="30"/>
    </row>
    <row r="18" spans="1:26" ht="12.75" customHeight="1" x14ac:dyDescent="0.2">
      <c r="A18" s="30"/>
      <c r="B18" s="604"/>
      <c r="C18" s="597"/>
      <c r="D18" s="597"/>
      <c r="E18" s="597"/>
      <c r="F18" s="547"/>
      <c r="G18" s="530"/>
      <c r="H18" s="30"/>
      <c r="J18" s="180">
        <f t="shared" si="1"/>
        <v>0</v>
      </c>
      <c r="K18" s="190">
        <f t="shared" si="2"/>
        <v>0</v>
      </c>
      <c r="L18" s="190">
        <f t="shared" si="3"/>
        <v>0</v>
      </c>
      <c r="M18" s="190">
        <f t="shared" si="4"/>
        <v>0</v>
      </c>
      <c r="N18" s="181">
        <f t="shared" si="5"/>
        <v>0</v>
      </c>
      <c r="O18" s="181">
        <f t="shared" si="0"/>
        <v>0</v>
      </c>
      <c r="P18" s="30"/>
      <c r="Q18" s="30"/>
      <c r="R18" s="30"/>
      <c r="S18" s="30"/>
      <c r="T18" s="30"/>
      <c r="U18" s="30"/>
      <c r="V18" s="30"/>
      <c r="W18" s="30"/>
      <c r="X18" s="30"/>
      <c r="Y18" s="30"/>
      <c r="Z18" s="30"/>
    </row>
    <row r="19" spans="1:26" ht="12.75" customHeight="1" x14ac:dyDescent="0.2">
      <c r="A19" s="30"/>
      <c r="B19" s="604"/>
      <c r="C19" s="597"/>
      <c r="D19" s="597"/>
      <c r="E19" s="597"/>
      <c r="F19" s="547"/>
      <c r="G19" s="530"/>
      <c r="H19" s="30"/>
      <c r="J19" s="180">
        <f t="shared" si="1"/>
        <v>0</v>
      </c>
      <c r="K19" s="190">
        <f t="shared" si="2"/>
        <v>0</v>
      </c>
      <c r="L19" s="190">
        <f t="shared" si="3"/>
        <v>0</v>
      </c>
      <c r="M19" s="190">
        <f t="shared" si="4"/>
        <v>0</v>
      </c>
      <c r="N19" s="181">
        <f t="shared" si="5"/>
        <v>0</v>
      </c>
      <c r="O19" s="181">
        <f t="shared" si="0"/>
        <v>0</v>
      </c>
      <c r="P19" s="30"/>
      <c r="Q19" s="30"/>
      <c r="R19" s="30"/>
      <c r="S19" s="30"/>
      <c r="T19" s="30"/>
      <c r="U19" s="30"/>
      <c r="V19" s="30"/>
      <c r="W19" s="30"/>
      <c r="X19" s="30"/>
      <c r="Y19" s="30"/>
      <c r="Z19" s="30"/>
    </row>
    <row r="20" spans="1:26" ht="12.75" customHeight="1" x14ac:dyDescent="0.2">
      <c r="A20" s="30"/>
      <c r="B20" s="604"/>
      <c r="C20" s="597"/>
      <c r="D20" s="597"/>
      <c r="E20" s="597"/>
      <c r="F20" s="547"/>
      <c r="G20" s="530"/>
      <c r="H20" s="30"/>
      <c r="J20" s="180">
        <f t="shared" si="1"/>
        <v>0</v>
      </c>
      <c r="K20" s="190">
        <f t="shared" si="2"/>
        <v>0</v>
      </c>
      <c r="L20" s="190">
        <f t="shared" si="3"/>
        <v>0</v>
      </c>
      <c r="M20" s="190">
        <f t="shared" si="4"/>
        <v>0</v>
      </c>
      <c r="N20" s="181">
        <f t="shared" si="5"/>
        <v>0</v>
      </c>
      <c r="O20" s="181">
        <f t="shared" si="0"/>
        <v>0</v>
      </c>
      <c r="P20" s="30"/>
      <c r="Q20" s="30"/>
      <c r="R20" s="30"/>
      <c r="S20" s="30"/>
      <c r="T20" s="30"/>
      <c r="U20" s="30"/>
      <c r="V20" s="30"/>
      <c r="W20" s="30"/>
      <c r="X20" s="30"/>
      <c r="Y20" s="30"/>
      <c r="Z20" s="30"/>
    </row>
    <row r="21" spans="1:26" ht="12.75" customHeight="1" x14ac:dyDescent="0.2">
      <c r="A21" s="30"/>
      <c r="B21" s="604"/>
      <c r="C21" s="597"/>
      <c r="D21" s="597"/>
      <c r="E21" s="597"/>
      <c r="F21" s="547"/>
      <c r="G21" s="530"/>
      <c r="H21" s="30"/>
      <c r="J21" s="180">
        <f t="shared" si="1"/>
        <v>0</v>
      </c>
      <c r="K21" s="190">
        <f t="shared" si="2"/>
        <v>0</v>
      </c>
      <c r="L21" s="190">
        <f t="shared" si="3"/>
        <v>0</v>
      </c>
      <c r="M21" s="190">
        <f t="shared" si="4"/>
        <v>0</v>
      </c>
      <c r="N21" s="181">
        <f t="shared" si="5"/>
        <v>0</v>
      </c>
      <c r="O21" s="181">
        <f t="shared" si="0"/>
        <v>0</v>
      </c>
      <c r="P21" s="30"/>
      <c r="Q21" s="30"/>
      <c r="R21" s="30"/>
      <c r="S21" s="30"/>
      <c r="T21" s="30"/>
      <c r="U21" s="30"/>
      <c r="V21" s="30"/>
      <c r="W21" s="30"/>
      <c r="X21" s="30"/>
      <c r="Y21" s="30"/>
      <c r="Z21" s="30"/>
    </row>
    <row r="22" spans="1:26" ht="12.75" customHeight="1" x14ac:dyDescent="0.2">
      <c r="A22" s="30"/>
      <c r="B22" s="604"/>
      <c r="C22" s="597"/>
      <c r="D22" s="597"/>
      <c r="E22" s="597"/>
      <c r="F22" s="547"/>
      <c r="G22" s="530"/>
      <c r="H22" s="30"/>
      <c r="J22" s="180">
        <f t="shared" si="1"/>
        <v>0</v>
      </c>
      <c r="K22" s="190">
        <f t="shared" si="2"/>
        <v>0</v>
      </c>
      <c r="L22" s="190">
        <f t="shared" si="3"/>
        <v>0</v>
      </c>
      <c r="M22" s="190">
        <f t="shared" si="4"/>
        <v>0</v>
      </c>
      <c r="N22" s="181">
        <f t="shared" si="5"/>
        <v>0</v>
      </c>
      <c r="O22" s="181">
        <f t="shared" si="0"/>
        <v>0</v>
      </c>
      <c r="P22" s="30"/>
      <c r="Q22" s="30"/>
      <c r="R22" s="30"/>
      <c r="S22" s="30"/>
      <c r="T22" s="30"/>
      <c r="U22" s="30"/>
      <c r="V22" s="30"/>
      <c r="W22" s="30"/>
      <c r="X22" s="30"/>
      <c r="Y22" s="30"/>
      <c r="Z22" s="30"/>
    </row>
    <row r="23" spans="1:26" ht="12.75" customHeight="1" x14ac:dyDescent="0.2">
      <c r="A23" s="30"/>
      <c r="B23" s="604"/>
      <c r="C23" s="597"/>
      <c r="D23" s="597"/>
      <c r="E23" s="597"/>
      <c r="F23" s="547"/>
      <c r="G23" s="530"/>
      <c r="H23" s="30"/>
      <c r="J23" s="180">
        <f t="shared" si="1"/>
        <v>0</v>
      </c>
      <c r="K23" s="190">
        <f t="shared" si="2"/>
        <v>0</v>
      </c>
      <c r="L23" s="190">
        <f t="shared" si="3"/>
        <v>0</v>
      </c>
      <c r="M23" s="190">
        <f t="shared" si="4"/>
        <v>0</v>
      </c>
      <c r="N23" s="181">
        <f t="shared" si="5"/>
        <v>0</v>
      </c>
      <c r="O23" s="181">
        <f t="shared" si="0"/>
        <v>0</v>
      </c>
      <c r="P23" s="30"/>
      <c r="Q23" s="30"/>
      <c r="R23" s="30"/>
      <c r="S23" s="30"/>
      <c r="T23" s="30"/>
      <c r="U23" s="30"/>
      <c r="V23" s="30"/>
      <c r="W23" s="30"/>
      <c r="X23" s="30"/>
      <c r="Y23" s="30"/>
      <c r="Z23" s="30"/>
    </row>
    <row r="24" spans="1:26" ht="12.75" customHeight="1" x14ac:dyDescent="0.2">
      <c r="A24" s="30"/>
      <c r="B24" s="604"/>
      <c r="C24" s="597"/>
      <c r="D24" s="597"/>
      <c r="E24" s="597"/>
      <c r="F24" s="547"/>
      <c r="G24" s="530"/>
      <c r="H24" s="30"/>
      <c r="J24" s="180">
        <f t="shared" si="1"/>
        <v>0</v>
      </c>
      <c r="K24" s="190">
        <f t="shared" si="2"/>
        <v>0</v>
      </c>
      <c r="L24" s="190">
        <f t="shared" si="3"/>
        <v>0</v>
      </c>
      <c r="M24" s="190">
        <f t="shared" si="4"/>
        <v>0</v>
      </c>
      <c r="N24" s="181">
        <f t="shared" si="5"/>
        <v>0</v>
      </c>
      <c r="O24" s="181">
        <f t="shared" si="0"/>
        <v>0</v>
      </c>
      <c r="P24" s="30"/>
      <c r="Q24" s="30"/>
      <c r="R24" s="30"/>
      <c r="S24" s="30"/>
      <c r="T24" s="30"/>
      <c r="U24" s="30"/>
      <c r="V24" s="30"/>
      <c r="W24" s="30"/>
      <c r="X24" s="30"/>
      <c r="Y24" s="30"/>
      <c r="Z24" s="30"/>
    </row>
    <row r="25" spans="1:26" ht="12.75" customHeight="1" x14ac:dyDescent="0.2">
      <c r="A25" s="30"/>
      <c r="B25" s="604"/>
      <c r="C25" s="597"/>
      <c r="D25" s="597"/>
      <c r="E25" s="597"/>
      <c r="F25" s="547"/>
      <c r="G25" s="530"/>
      <c r="H25" s="30"/>
      <c r="J25" s="180">
        <f t="shared" si="1"/>
        <v>0</v>
      </c>
      <c r="K25" s="190">
        <f t="shared" si="2"/>
        <v>0</v>
      </c>
      <c r="L25" s="190">
        <f t="shared" si="3"/>
        <v>0</v>
      </c>
      <c r="M25" s="190">
        <f t="shared" si="4"/>
        <v>0</v>
      </c>
      <c r="N25" s="181">
        <f t="shared" si="5"/>
        <v>0</v>
      </c>
      <c r="O25" s="181">
        <f t="shared" si="0"/>
        <v>0</v>
      </c>
      <c r="P25" s="30"/>
      <c r="Q25" s="30"/>
      <c r="R25" s="30"/>
      <c r="S25" s="30"/>
      <c r="T25" s="30"/>
      <c r="U25" s="30"/>
      <c r="V25" s="30"/>
      <c r="W25" s="30"/>
      <c r="X25" s="30"/>
      <c r="Y25" s="30"/>
      <c r="Z25" s="30"/>
    </row>
    <row r="26" spans="1:26" ht="12.75" customHeight="1" x14ac:dyDescent="0.2">
      <c r="A26" s="30"/>
      <c r="B26" s="604"/>
      <c r="C26" s="597"/>
      <c r="D26" s="597"/>
      <c r="E26" s="597"/>
      <c r="F26" s="547"/>
      <c r="G26" s="530"/>
      <c r="H26" s="30"/>
      <c r="J26" s="180">
        <f t="shared" si="1"/>
        <v>0</v>
      </c>
      <c r="K26" s="190">
        <f t="shared" si="2"/>
        <v>0</v>
      </c>
      <c r="L26" s="190">
        <f t="shared" si="3"/>
        <v>0</v>
      </c>
      <c r="M26" s="190">
        <f t="shared" si="4"/>
        <v>0</v>
      </c>
      <c r="N26" s="181">
        <f t="shared" si="5"/>
        <v>0</v>
      </c>
      <c r="O26" s="181">
        <f t="shared" si="0"/>
        <v>0</v>
      </c>
      <c r="P26" s="30"/>
      <c r="Q26" s="30"/>
      <c r="R26" s="30"/>
      <c r="S26" s="30"/>
      <c r="T26" s="30"/>
      <c r="U26" s="30"/>
      <c r="V26" s="30"/>
      <c r="W26" s="30"/>
      <c r="X26" s="30"/>
      <c r="Y26" s="30"/>
      <c r="Z26" s="30"/>
    </row>
    <row r="27" spans="1:26" ht="12.75" customHeight="1" x14ac:dyDescent="0.2">
      <c r="A27" s="30"/>
      <c r="B27" s="604"/>
      <c r="C27" s="597"/>
      <c r="D27" s="597"/>
      <c r="E27" s="597"/>
      <c r="F27" s="547"/>
      <c r="G27" s="530"/>
      <c r="H27" s="30"/>
      <c r="J27" s="180">
        <f t="shared" si="1"/>
        <v>0</v>
      </c>
      <c r="K27" s="190">
        <f t="shared" si="2"/>
        <v>0</v>
      </c>
      <c r="L27" s="190">
        <f t="shared" si="3"/>
        <v>0</v>
      </c>
      <c r="M27" s="190">
        <f t="shared" si="4"/>
        <v>0</v>
      </c>
      <c r="N27" s="181">
        <f t="shared" si="5"/>
        <v>0</v>
      </c>
      <c r="O27" s="181">
        <f t="shared" si="0"/>
        <v>0</v>
      </c>
      <c r="P27" s="30"/>
      <c r="Q27" s="30"/>
      <c r="R27" s="30"/>
      <c r="S27" s="30"/>
      <c r="T27" s="30"/>
      <c r="U27" s="30"/>
      <c r="V27" s="30"/>
      <c r="W27" s="30"/>
      <c r="X27" s="30"/>
      <c r="Y27" s="30"/>
      <c r="Z27" s="30"/>
    </row>
    <row r="28" spans="1:26" ht="12.75" customHeight="1" x14ac:dyDescent="0.2">
      <c r="A28" s="30"/>
      <c r="B28" s="604"/>
      <c r="C28" s="597"/>
      <c r="D28" s="597"/>
      <c r="E28" s="597"/>
      <c r="F28" s="547"/>
      <c r="G28" s="530"/>
      <c r="H28" s="30"/>
      <c r="J28" s="180">
        <f t="shared" si="1"/>
        <v>0</v>
      </c>
      <c r="K28" s="190">
        <f t="shared" si="2"/>
        <v>0</v>
      </c>
      <c r="L28" s="190">
        <f t="shared" si="3"/>
        <v>0</v>
      </c>
      <c r="M28" s="190">
        <f t="shared" si="4"/>
        <v>0</v>
      </c>
      <c r="N28" s="181">
        <f t="shared" si="5"/>
        <v>0</v>
      </c>
      <c r="O28" s="181">
        <f t="shared" si="0"/>
        <v>0</v>
      </c>
      <c r="P28" s="30"/>
      <c r="Q28" s="30"/>
      <c r="R28" s="30"/>
      <c r="S28" s="30"/>
      <c r="T28" s="30"/>
      <c r="U28" s="30"/>
      <c r="V28" s="30"/>
      <c r="W28" s="30"/>
      <c r="X28" s="30"/>
      <c r="Y28" s="30"/>
      <c r="Z28" s="30"/>
    </row>
    <row r="29" spans="1:26" ht="12.75" customHeight="1" x14ac:dyDescent="0.2">
      <c r="A29" s="30"/>
      <c r="B29" s="604"/>
      <c r="C29" s="597"/>
      <c r="D29" s="597"/>
      <c r="E29" s="597"/>
      <c r="F29" s="547"/>
      <c r="G29" s="530"/>
      <c r="H29" s="30"/>
      <c r="J29" s="180">
        <f t="shared" si="1"/>
        <v>0</v>
      </c>
      <c r="K29" s="190">
        <f t="shared" si="2"/>
        <v>0</v>
      </c>
      <c r="L29" s="190">
        <f t="shared" si="3"/>
        <v>0</v>
      </c>
      <c r="M29" s="190">
        <f t="shared" si="4"/>
        <v>0</v>
      </c>
      <c r="N29" s="181">
        <f t="shared" si="5"/>
        <v>0</v>
      </c>
      <c r="O29" s="181">
        <f t="shared" si="0"/>
        <v>0</v>
      </c>
      <c r="P29" s="30"/>
      <c r="Q29" s="30"/>
      <c r="R29" s="30"/>
      <c r="S29" s="30"/>
      <c r="T29" s="30"/>
      <c r="U29" s="30"/>
      <c r="V29" s="30"/>
      <c r="W29" s="30"/>
      <c r="X29" s="30"/>
      <c r="Y29" s="30"/>
      <c r="Z29" s="30"/>
    </row>
    <row r="30" spans="1:26" ht="12.75" customHeight="1" x14ac:dyDescent="0.2">
      <c r="A30" s="30"/>
      <c r="B30" s="604"/>
      <c r="C30" s="597"/>
      <c r="D30" s="597"/>
      <c r="E30" s="597"/>
      <c r="F30" s="547"/>
      <c r="G30" s="530"/>
      <c r="H30" s="30"/>
      <c r="J30" s="180">
        <f t="shared" si="1"/>
        <v>0</v>
      </c>
      <c r="K30" s="190">
        <f t="shared" si="2"/>
        <v>0</v>
      </c>
      <c r="L30" s="190">
        <f t="shared" si="3"/>
        <v>0</v>
      </c>
      <c r="M30" s="190">
        <f t="shared" si="4"/>
        <v>0</v>
      </c>
      <c r="N30" s="181">
        <f t="shared" si="5"/>
        <v>0</v>
      </c>
      <c r="O30" s="181">
        <f t="shared" si="0"/>
        <v>0</v>
      </c>
      <c r="P30" s="30"/>
      <c r="Q30" s="30"/>
      <c r="R30" s="30"/>
      <c r="S30" s="30"/>
      <c r="T30" s="30"/>
      <c r="U30" s="30"/>
      <c r="V30" s="30"/>
      <c r="W30" s="30"/>
      <c r="X30" s="30"/>
      <c r="Y30" s="30"/>
      <c r="Z30" s="30"/>
    </row>
    <row r="31" spans="1:26" ht="12.75" customHeight="1" x14ac:dyDescent="0.2">
      <c r="A31" s="30"/>
      <c r="B31" s="604"/>
      <c r="C31" s="597"/>
      <c r="D31" s="597"/>
      <c r="E31" s="597"/>
      <c r="F31" s="547"/>
      <c r="G31" s="530"/>
      <c r="H31" s="30"/>
      <c r="J31" s="180">
        <f t="shared" si="1"/>
        <v>0</v>
      </c>
      <c r="K31" s="190">
        <f t="shared" si="2"/>
        <v>0</v>
      </c>
      <c r="L31" s="190">
        <f t="shared" si="3"/>
        <v>0</v>
      </c>
      <c r="M31" s="190">
        <f t="shared" si="4"/>
        <v>0</v>
      </c>
      <c r="N31" s="181">
        <f t="shared" si="5"/>
        <v>0</v>
      </c>
      <c r="O31" s="181">
        <f t="shared" si="0"/>
        <v>0</v>
      </c>
      <c r="P31" s="30"/>
      <c r="Q31" s="30"/>
      <c r="R31" s="30"/>
      <c r="S31" s="30"/>
      <c r="T31" s="30"/>
      <c r="U31" s="30"/>
      <c r="V31" s="30"/>
      <c r="W31" s="30"/>
      <c r="X31" s="30"/>
      <c r="Y31" s="30"/>
      <c r="Z31" s="30"/>
    </row>
    <row r="32" spans="1:26" ht="12.75" customHeight="1" x14ac:dyDescent="0.2">
      <c r="A32" s="30"/>
      <c r="B32" s="604"/>
      <c r="C32" s="597"/>
      <c r="D32" s="597"/>
      <c r="E32" s="597"/>
      <c r="F32" s="547"/>
      <c r="G32" s="530"/>
      <c r="H32" s="30"/>
      <c r="I32" s="30"/>
      <c r="J32" s="180">
        <f t="shared" ref="J32:J47" si="6">IF(F32=$J$2,1,0)</f>
        <v>0</v>
      </c>
      <c r="K32" s="190">
        <f t="shared" ref="K32:K47" si="7">IF(F32=$K$2,1,0)</f>
        <v>0</v>
      </c>
      <c r="L32" s="190">
        <f t="shared" ref="L32:L47" si="8">IF(F32=$L$2,1,0)</f>
        <v>0</v>
      </c>
      <c r="M32" s="190">
        <f t="shared" ref="M32:M47" si="9">IF(F32=$M$2,1,0)</f>
        <v>0</v>
      </c>
      <c r="N32" s="181">
        <f t="shared" ref="N32:N47" si="10">IF(F32=$N$2,1,0)</f>
        <v>0</v>
      </c>
      <c r="O32" s="181">
        <f t="shared" si="0"/>
        <v>0</v>
      </c>
      <c r="P32" s="30"/>
      <c r="Q32" s="30"/>
      <c r="R32" s="30"/>
      <c r="S32" s="30"/>
      <c r="T32" s="30"/>
      <c r="U32" s="30"/>
      <c r="V32" s="30"/>
      <c r="W32" s="30"/>
      <c r="X32" s="30"/>
      <c r="Y32" s="30"/>
      <c r="Z32" s="30"/>
    </row>
    <row r="33" spans="1:26" ht="12.75" customHeight="1" x14ac:dyDescent="0.2">
      <c r="A33" s="30"/>
      <c r="B33" s="604"/>
      <c r="C33" s="597"/>
      <c r="D33" s="597"/>
      <c r="E33" s="597"/>
      <c r="F33" s="547"/>
      <c r="G33" s="530"/>
      <c r="H33" s="30"/>
      <c r="I33" s="30"/>
      <c r="J33" s="180">
        <f t="shared" si="6"/>
        <v>0</v>
      </c>
      <c r="K33" s="190">
        <f t="shared" si="7"/>
        <v>0</v>
      </c>
      <c r="L33" s="190">
        <f t="shared" si="8"/>
        <v>0</v>
      </c>
      <c r="M33" s="190">
        <f t="shared" si="9"/>
        <v>0</v>
      </c>
      <c r="N33" s="181">
        <f t="shared" si="10"/>
        <v>0</v>
      </c>
      <c r="O33" s="181">
        <f t="shared" si="0"/>
        <v>0</v>
      </c>
      <c r="P33" s="30"/>
      <c r="Q33" s="30"/>
      <c r="R33" s="30"/>
      <c r="S33" s="30"/>
      <c r="T33" s="30"/>
      <c r="U33" s="30"/>
      <c r="V33" s="30"/>
      <c r="W33" s="30"/>
      <c r="X33" s="30"/>
      <c r="Y33" s="30"/>
      <c r="Z33" s="30"/>
    </row>
    <row r="34" spans="1:26" ht="12.75" customHeight="1" x14ac:dyDescent="0.2">
      <c r="A34" s="30"/>
      <c r="B34" s="604"/>
      <c r="C34" s="597"/>
      <c r="D34" s="597"/>
      <c r="E34" s="597"/>
      <c r="F34" s="547"/>
      <c r="G34" s="530"/>
      <c r="H34" s="30"/>
      <c r="I34" s="30"/>
      <c r="J34" s="180">
        <f t="shared" si="6"/>
        <v>0</v>
      </c>
      <c r="K34" s="190">
        <f t="shared" si="7"/>
        <v>0</v>
      </c>
      <c r="L34" s="190">
        <f t="shared" si="8"/>
        <v>0</v>
      </c>
      <c r="M34" s="190">
        <f t="shared" si="9"/>
        <v>0</v>
      </c>
      <c r="N34" s="181">
        <f t="shared" si="10"/>
        <v>0</v>
      </c>
      <c r="O34" s="181">
        <f t="shared" si="0"/>
        <v>0</v>
      </c>
      <c r="P34" s="30"/>
      <c r="Q34" s="30"/>
      <c r="R34" s="30"/>
      <c r="S34" s="30"/>
      <c r="T34" s="30"/>
      <c r="U34" s="30"/>
      <c r="V34" s="30"/>
      <c r="W34" s="30"/>
      <c r="X34" s="30"/>
      <c r="Y34" s="30"/>
      <c r="Z34" s="30"/>
    </row>
    <row r="35" spans="1:26" ht="12.75" customHeight="1" x14ac:dyDescent="0.2">
      <c r="A35" s="30"/>
      <c r="B35" s="604"/>
      <c r="C35" s="597"/>
      <c r="D35" s="597"/>
      <c r="E35" s="597"/>
      <c r="F35" s="547"/>
      <c r="G35" s="530"/>
      <c r="H35" s="30"/>
      <c r="I35" s="30"/>
      <c r="J35" s="180">
        <f t="shared" si="6"/>
        <v>0</v>
      </c>
      <c r="K35" s="190">
        <f t="shared" si="7"/>
        <v>0</v>
      </c>
      <c r="L35" s="190">
        <f t="shared" si="8"/>
        <v>0</v>
      </c>
      <c r="M35" s="190">
        <f t="shared" si="9"/>
        <v>0</v>
      </c>
      <c r="N35" s="181">
        <f t="shared" si="10"/>
        <v>0</v>
      </c>
      <c r="O35" s="181">
        <f t="shared" si="0"/>
        <v>0</v>
      </c>
      <c r="P35" s="30"/>
      <c r="Q35" s="30"/>
      <c r="R35" s="30"/>
      <c r="S35" s="30"/>
      <c r="T35" s="30"/>
      <c r="U35" s="30"/>
      <c r="V35" s="30"/>
      <c r="W35" s="30"/>
      <c r="X35" s="30"/>
      <c r="Y35" s="30"/>
      <c r="Z35" s="30"/>
    </row>
    <row r="36" spans="1:26" ht="12.75" customHeight="1" x14ac:dyDescent="0.2">
      <c r="A36" s="30"/>
      <c r="B36" s="604"/>
      <c r="C36" s="597"/>
      <c r="D36" s="597"/>
      <c r="E36" s="597"/>
      <c r="F36" s="547"/>
      <c r="G36" s="530"/>
      <c r="H36" s="30"/>
      <c r="I36" s="30"/>
      <c r="J36" s="180">
        <f t="shared" si="6"/>
        <v>0</v>
      </c>
      <c r="K36" s="190">
        <f t="shared" si="7"/>
        <v>0</v>
      </c>
      <c r="L36" s="190">
        <f t="shared" si="8"/>
        <v>0</v>
      </c>
      <c r="M36" s="190">
        <f t="shared" si="9"/>
        <v>0</v>
      </c>
      <c r="N36" s="181">
        <f t="shared" si="10"/>
        <v>0</v>
      </c>
      <c r="O36" s="181">
        <f t="shared" si="0"/>
        <v>0</v>
      </c>
      <c r="P36" s="30"/>
      <c r="Q36" s="30"/>
      <c r="R36" s="30"/>
      <c r="S36" s="30"/>
      <c r="T36" s="30"/>
      <c r="U36" s="30"/>
      <c r="V36" s="30"/>
      <c r="W36" s="30"/>
      <c r="X36" s="30"/>
      <c r="Y36" s="30"/>
      <c r="Z36" s="30"/>
    </row>
    <row r="37" spans="1:26" ht="12.75" customHeight="1" x14ac:dyDescent="0.2">
      <c r="A37" s="30"/>
      <c r="B37" s="604"/>
      <c r="C37" s="597"/>
      <c r="D37" s="597"/>
      <c r="E37" s="597"/>
      <c r="F37" s="547"/>
      <c r="G37" s="530"/>
      <c r="H37" s="30"/>
      <c r="I37" s="30"/>
      <c r="J37" s="180">
        <f t="shared" si="6"/>
        <v>0</v>
      </c>
      <c r="K37" s="190">
        <f t="shared" si="7"/>
        <v>0</v>
      </c>
      <c r="L37" s="190">
        <f t="shared" si="8"/>
        <v>0</v>
      </c>
      <c r="M37" s="190">
        <f t="shared" si="9"/>
        <v>0</v>
      </c>
      <c r="N37" s="181">
        <f t="shared" si="10"/>
        <v>0</v>
      </c>
      <c r="O37" s="181">
        <f t="shared" si="0"/>
        <v>0</v>
      </c>
      <c r="P37" s="30"/>
      <c r="Q37" s="30"/>
      <c r="R37" s="30"/>
      <c r="S37" s="30"/>
      <c r="T37" s="30"/>
      <c r="U37" s="30"/>
      <c r="V37" s="30"/>
      <c r="W37" s="30"/>
      <c r="X37" s="30"/>
      <c r="Y37" s="30"/>
      <c r="Z37" s="30"/>
    </row>
    <row r="38" spans="1:26" ht="12.75" customHeight="1" x14ac:dyDescent="0.2">
      <c r="A38" s="30"/>
      <c r="B38" s="604"/>
      <c r="C38" s="597"/>
      <c r="D38" s="597"/>
      <c r="E38" s="597"/>
      <c r="F38" s="547"/>
      <c r="G38" s="530"/>
      <c r="H38" s="30"/>
      <c r="I38" s="30"/>
      <c r="J38" s="180">
        <f t="shared" si="6"/>
        <v>0</v>
      </c>
      <c r="K38" s="190">
        <f t="shared" si="7"/>
        <v>0</v>
      </c>
      <c r="L38" s="190">
        <f t="shared" si="8"/>
        <v>0</v>
      </c>
      <c r="M38" s="190">
        <f t="shared" si="9"/>
        <v>0</v>
      </c>
      <c r="N38" s="181">
        <f t="shared" si="10"/>
        <v>0</v>
      </c>
      <c r="O38" s="181">
        <f t="shared" si="0"/>
        <v>0</v>
      </c>
      <c r="P38" s="30"/>
      <c r="Q38" s="30"/>
      <c r="R38" s="30"/>
      <c r="S38" s="30"/>
      <c r="T38" s="30"/>
      <c r="U38" s="30"/>
      <c r="V38" s="30"/>
      <c r="W38" s="30"/>
      <c r="X38" s="30"/>
      <c r="Y38" s="30"/>
      <c r="Z38" s="30"/>
    </row>
    <row r="39" spans="1:26" ht="12.75" customHeight="1" x14ac:dyDescent="0.2">
      <c r="A39" s="30"/>
      <c r="B39" s="604"/>
      <c r="C39" s="597"/>
      <c r="D39" s="597"/>
      <c r="E39" s="597"/>
      <c r="F39" s="547"/>
      <c r="G39" s="530"/>
      <c r="H39" s="30"/>
      <c r="I39" s="30"/>
      <c r="J39" s="180">
        <f t="shared" si="6"/>
        <v>0</v>
      </c>
      <c r="K39" s="190">
        <f t="shared" si="7"/>
        <v>0</v>
      </c>
      <c r="L39" s="190">
        <f t="shared" si="8"/>
        <v>0</v>
      </c>
      <c r="M39" s="190">
        <f t="shared" si="9"/>
        <v>0</v>
      </c>
      <c r="N39" s="181">
        <f t="shared" si="10"/>
        <v>0</v>
      </c>
      <c r="O39" s="181">
        <f t="shared" si="0"/>
        <v>0</v>
      </c>
      <c r="P39" s="30"/>
      <c r="Q39" s="30"/>
      <c r="R39" s="30"/>
      <c r="S39" s="30"/>
      <c r="T39" s="30"/>
      <c r="U39" s="30"/>
      <c r="V39" s="30"/>
      <c r="W39" s="30"/>
      <c r="X39" s="30"/>
      <c r="Y39" s="30"/>
      <c r="Z39" s="30"/>
    </row>
    <row r="40" spans="1:26" ht="12.75" customHeight="1" x14ac:dyDescent="0.2">
      <c r="A40" s="30"/>
      <c r="B40" s="604"/>
      <c r="C40" s="597"/>
      <c r="D40" s="597"/>
      <c r="E40" s="597"/>
      <c r="F40" s="547"/>
      <c r="G40" s="530"/>
      <c r="H40" s="30"/>
      <c r="I40" s="30"/>
      <c r="J40" s="180">
        <f t="shared" si="6"/>
        <v>0</v>
      </c>
      <c r="K40" s="190">
        <f t="shared" si="7"/>
        <v>0</v>
      </c>
      <c r="L40" s="190">
        <f t="shared" si="8"/>
        <v>0</v>
      </c>
      <c r="M40" s="190">
        <f t="shared" si="9"/>
        <v>0</v>
      </c>
      <c r="N40" s="181">
        <f t="shared" si="10"/>
        <v>0</v>
      </c>
      <c r="O40" s="181">
        <f t="shared" si="0"/>
        <v>0</v>
      </c>
      <c r="P40" s="30"/>
      <c r="Q40" s="30"/>
      <c r="R40" s="30"/>
      <c r="S40" s="30"/>
      <c r="T40" s="30"/>
      <c r="U40" s="30"/>
      <c r="V40" s="30"/>
      <c r="W40" s="30"/>
      <c r="X40" s="30"/>
      <c r="Y40" s="30"/>
      <c r="Z40" s="30"/>
    </row>
    <row r="41" spans="1:26" ht="12.75" customHeight="1" x14ac:dyDescent="0.2">
      <c r="A41" s="30"/>
      <c r="B41" s="604"/>
      <c r="C41" s="597"/>
      <c r="D41" s="597"/>
      <c r="E41" s="597"/>
      <c r="F41" s="547"/>
      <c r="G41" s="530"/>
      <c r="H41" s="30"/>
      <c r="I41" s="30"/>
      <c r="J41" s="180">
        <f t="shared" si="6"/>
        <v>0</v>
      </c>
      <c r="K41" s="190">
        <f t="shared" si="7"/>
        <v>0</v>
      </c>
      <c r="L41" s="190">
        <f t="shared" si="8"/>
        <v>0</v>
      </c>
      <c r="M41" s="190">
        <f t="shared" si="9"/>
        <v>0</v>
      </c>
      <c r="N41" s="181">
        <f t="shared" si="10"/>
        <v>0</v>
      </c>
      <c r="O41" s="181">
        <f t="shared" si="0"/>
        <v>0</v>
      </c>
      <c r="P41" s="30"/>
      <c r="Q41" s="30"/>
      <c r="R41" s="30"/>
      <c r="S41" s="30"/>
      <c r="T41" s="30"/>
      <c r="U41" s="30"/>
      <c r="V41" s="30"/>
      <c r="W41" s="30"/>
      <c r="X41" s="30"/>
      <c r="Y41" s="30"/>
      <c r="Z41" s="30"/>
    </row>
    <row r="42" spans="1:26" ht="12.75" customHeight="1" x14ac:dyDescent="0.2">
      <c r="A42" s="30"/>
      <c r="B42" s="604"/>
      <c r="C42" s="597"/>
      <c r="D42" s="597"/>
      <c r="E42" s="597"/>
      <c r="F42" s="547"/>
      <c r="G42" s="530"/>
      <c r="H42" s="30"/>
      <c r="I42" s="30"/>
      <c r="J42" s="180">
        <f t="shared" si="6"/>
        <v>0</v>
      </c>
      <c r="K42" s="190">
        <f t="shared" si="7"/>
        <v>0</v>
      </c>
      <c r="L42" s="190">
        <f t="shared" si="8"/>
        <v>0</v>
      </c>
      <c r="M42" s="190">
        <f t="shared" si="9"/>
        <v>0</v>
      </c>
      <c r="N42" s="181">
        <f t="shared" si="10"/>
        <v>0</v>
      </c>
      <c r="O42" s="181">
        <f t="shared" si="0"/>
        <v>0</v>
      </c>
      <c r="P42" s="30"/>
      <c r="Q42" s="30"/>
      <c r="R42" s="30"/>
      <c r="S42" s="30"/>
      <c r="T42" s="30"/>
      <c r="U42" s="30"/>
      <c r="V42" s="30"/>
      <c r="W42" s="30"/>
      <c r="X42" s="30"/>
      <c r="Y42" s="30"/>
      <c r="Z42" s="30"/>
    </row>
    <row r="43" spans="1:26" ht="12.75" customHeight="1" x14ac:dyDescent="0.2">
      <c r="A43" s="30"/>
      <c r="B43" s="604"/>
      <c r="C43" s="597"/>
      <c r="D43" s="597"/>
      <c r="E43" s="597"/>
      <c r="F43" s="547"/>
      <c r="G43" s="530"/>
      <c r="H43" s="30"/>
      <c r="I43" s="30"/>
      <c r="J43" s="180">
        <f t="shared" si="6"/>
        <v>0</v>
      </c>
      <c r="K43" s="190">
        <f t="shared" si="7"/>
        <v>0</v>
      </c>
      <c r="L43" s="190">
        <f t="shared" si="8"/>
        <v>0</v>
      </c>
      <c r="M43" s="190">
        <f t="shared" si="9"/>
        <v>0</v>
      </c>
      <c r="N43" s="181">
        <f t="shared" si="10"/>
        <v>0</v>
      </c>
      <c r="O43" s="181">
        <f t="shared" si="0"/>
        <v>0</v>
      </c>
      <c r="P43" s="30"/>
      <c r="Q43" s="30"/>
      <c r="R43" s="30"/>
      <c r="S43" s="30"/>
      <c r="T43" s="30"/>
      <c r="U43" s="30"/>
      <c r="V43" s="30"/>
      <c r="W43" s="30"/>
      <c r="X43" s="30"/>
      <c r="Y43" s="30"/>
      <c r="Z43" s="30"/>
    </row>
    <row r="44" spans="1:26" ht="12.75" customHeight="1" x14ac:dyDescent="0.2">
      <c r="A44" s="30"/>
      <c r="B44" s="604"/>
      <c r="C44" s="597"/>
      <c r="D44" s="597"/>
      <c r="E44" s="597"/>
      <c r="F44" s="547"/>
      <c r="G44" s="530"/>
      <c r="H44" s="30"/>
      <c r="I44" s="30"/>
      <c r="J44" s="180">
        <f t="shared" si="6"/>
        <v>0</v>
      </c>
      <c r="K44" s="190">
        <f t="shared" si="7"/>
        <v>0</v>
      </c>
      <c r="L44" s="190">
        <f t="shared" si="8"/>
        <v>0</v>
      </c>
      <c r="M44" s="190">
        <f t="shared" si="9"/>
        <v>0</v>
      </c>
      <c r="N44" s="181">
        <f t="shared" si="10"/>
        <v>0</v>
      </c>
      <c r="O44" s="181">
        <f t="shared" si="0"/>
        <v>0</v>
      </c>
      <c r="P44" s="30"/>
      <c r="Q44" s="30"/>
      <c r="R44" s="30"/>
      <c r="S44" s="30"/>
      <c r="T44" s="30"/>
      <c r="U44" s="30"/>
      <c r="V44" s="30"/>
      <c r="W44" s="30"/>
      <c r="X44" s="30"/>
      <c r="Y44" s="30"/>
      <c r="Z44" s="30"/>
    </row>
    <row r="45" spans="1:26" ht="12.75" customHeight="1" x14ac:dyDescent="0.2">
      <c r="A45" s="30"/>
      <c r="B45" s="604"/>
      <c r="C45" s="597"/>
      <c r="D45" s="597"/>
      <c r="E45" s="597"/>
      <c r="F45" s="547"/>
      <c r="G45" s="530"/>
      <c r="H45" s="30"/>
      <c r="I45" s="30"/>
      <c r="J45" s="180">
        <f t="shared" si="6"/>
        <v>0</v>
      </c>
      <c r="K45" s="190">
        <f t="shared" si="7"/>
        <v>0</v>
      </c>
      <c r="L45" s="190">
        <f t="shared" si="8"/>
        <v>0</v>
      </c>
      <c r="M45" s="190">
        <f t="shared" si="9"/>
        <v>0</v>
      </c>
      <c r="N45" s="181">
        <f t="shared" si="10"/>
        <v>0</v>
      </c>
      <c r="O45" s="181">
        <f t="shared" si="0"/>
        <v>0</v>
      </c>
      <c r="P45" s="30"/>
      <c r="Q45" s="30"/>
      <c r="R45" s="30"/>
      <c r="S45" s="30"/>
      <c r="T45" s="30"/>
      <c r="U45" s="30"/>
      <c r="V45" s="30"/>
      <c r="W45" s="30"/>
      <c r="X45" s="30"/>
      <c r="Y45" s="30"/>
      <c r="Z45" s="30"/>
    </row>
    <row r="46" spans="1:26" ht="12.75" customHeight="1" x14ac:dyDescent="0.2">
      <c r="A46" s="30"/>
      <c r="B46" s="604"/>
      <c r="C46" s="597"/>
      <c r="D46" s="597"/>
      <c r="E46" s="597"/>
      <c r="F46" s="547"/>
      <c r="G46" s="530"/>
      <c r="H46" s="30"/>
      <c r="I46" s="30"/>
      <c r="J46" s="180">
        <f t="shared" si="6"/>
        <v>0</v>
      </c>
      <c r="K46" s="190">
        <f t="shared" si="7"/>
        <v>0</v>
      </c>
      <c r="L46" s="190">
        <f t="shared" si="8"/>
        <v>0</v>
      </c>
      <c r="M46" s="190">
        <f t="shared" si="9"/>
        <v>0</v>
      </c>
      <c r="N46" s="181">
        <f t="shared" si="10"/>
        <v>0</v>
      </c>
      <c r="O46" s="181">
        <f t="shared" si="0"/>
        <v>0</v>
      </c>
      <c r="P46" s="30"/>
      <c r="Q46" s="30"/>
      <c r="R46" s="30"/>
      <c r="S46" s="30"/>
      <c r="T46" s="30"/>
      <c r="U46" s="30"/>
      <c r="V46" s="30"/>
      <c r="W46" s="30"/>
      <c r="X46" s="30"/>
      <c r="Y46" s="30"/>
      <c r="Z46" s="30"/>
    </row>
    <row r="47" spans="1:26" ht="12.75" customHeight="1" thickBot="1" x14ac:dyDescent="0.25">
      <c r="A47" s="30"/>
      <c r="B47" s="605"/>
      <c r="C47" s="598"/>
      <c r="D47" s="598"/>
      <c r="E47" s="598"/>
      <c r="F47" s="599"/>
      <c r="G47" s="530"/>
      <c r="H47" s="30"/>
      <c r="I47" s="30"/>
      <c r="J47" s="180">
        <f t="shared" si="6"/>
        <v>0</v>
      </c>
      <c r="K47" s="190">
        <f t="shared" si="7"/>
        <v>0</v>
      </c>
      <c r="L47" s="190">
        <f t="shared" si="8"/>
        <v>0</v>
      </c>
      <c r="M47" s="190">
        <f t="shared" si="9"/>
        <v>0</v>
      </c>
      <c r="N47" s="181">
        <f t="shared" si="10"/>
        <v>0</v>
      </c>
      <c r="O47" s="181">
        <f t="shared" si="0"/>
        <v>0</v>
      </c>
      <c r="P47" s="30"/>
      <c r="Q47" s="30"/>
      <c r="R47" s="30"/>
      <c r="S47" s="30"/>
      <c r="T47" s="30"/>
      <c r="U47" s="30"/>
      <c r="V47" s="30"/>
      <c r="W47" s="30"/>
      <c r="X47" s="30"/>
      <c r="Y47" s="30"/>
      <c r="Z47" s="30"/>
    </row>
    <row r="48" spans="1:26" ht="12.75" customHeight="1" x14ac:dyDescent="0.2">
      <c r="A48" s="30"/>
      <c r="B48" s="426"/>
      <c r="C48" s="426"/>
      <c r="D48" s="426"/>
      <c r="E48" s="426"/>
      <c r="F48" s="426"/>
      <c r="G48" s="426"/>
      <c r="H48" s="30"/>
      <c r="I48" s="30"/>
      <c r="J48" s="606">
        <f t="shared" ref="J48:O48" si="11">SUM(J4:J47)</f>
        <v>0</v>
      </c>
      <c r="K48" s="607">
        <f t="shared" si="11"/>
        <v>0</v>
      </c>
      <c r="L48" s="607">
        <f t="shared" si="11"/>
        <v>0</v>
      </c>
      <c r="M48" s="607">
        <f t="shared" si="11"/>
        <v>0</v>
      </c>
      <c r="N48" s="608">
        <f t="shared" si="11"/>
        <v>0</v>
      </c>
      <c r="O48" s="608">
        <f t="shared" si="11"/>
        <v>0</v>
      </c>
      <c r="P48" s="30"/>
      <c r="Q48" s="30"/>
      <c r="R48" s="30"/>
      <c r="S48" s="30"/>
      <c r="T48" s="30"/>
      <c r="U48" s="30"/>
      <c r="V48" s="30"/>
      <c r="W48" s="30"/>
      <c r="X48" s="30"/>
      <c r="Y48" s="30"/>
      <c r="Z48" s="30"/>
    </row>
    <row r="49" spans="1:26" ht="15" x14ac:dyDescent="0.2">
      <c r="A49" s="30"/>
      <c r="B49" s="154" t="s">
        <v>55</v>
      </c>
      <c r="C49" s="426"/>
      <c r="D49" s="426"/>
      <c r="E49" s="426"/>
      <c r="F49" s="426"/>
      <c r="G49" s="426"/>
      <c r="H49" s="30"/>
      <c r="I49" s="30"/>
      <c r="J49" s="600"/>
      <c r="K49" s="600"/>
      <c r="L49" s="600"/>
      <c r="M49" s="600"/>
      <c r="N49" s="600"/>
      <c r="O49" s="30"/>
      <c r="P49" s="30"/>
      <c r="Q49" s="30"/>
      <c r="R49" s="30"/>
      <c r="S49" s="30"/>
      <c r="T49" s="30"/>
      <c r="U49" s="30"/>
      <c r="V49" s="30"/>
      <c r="W49" s="30"/>
      <c r="X49" s="30"/>
      <c r="Y49" s="30"/>
      <c r="Z49" s="30"/>
    </row>
    <row r="50" spans="1:26" ht="12.75" customHeight="1" x14ac:dyDescent="0.2">
      <c r="A50" s="30"/>
      <c r="B50" s="612">
        <f>J48</f>
        <v>0</v>
      </c>
      <c r="C50" s="556" t="str">
        <f t="shared" ref="C50:C55" si="12">I58</f>
        <v>Casting Adjusted to Grade, Monument</v>
      </c>
      <c r="D50" s="426"/>
      <c r="E50" s="602"/>
      <c r="F50" s="602"/>
      <c r="G50" s="602"/>
      <c r="H50" s="30"/>
      <c r="I50" s="30"/>
      <c r="J50" s="171" t="s">
        <v>95</v>
      </c>
      <c r="K50" s="30"/>
      <c r="L50" s="30"/>
      <c r="M50" s="30"/>
      <c r="N50" s="30"/>
      <c r="O50" s="30"/>
      <c r="P50" s="30"/>
      <c r="Q50" s="30"/>
      <c r="R50" s="30"/>
      <c r="S50" s="30"/>
      <c r="T50" s="30"/>
      <c r="U50" s="30"/>
      <c r="V50" s="30"/>
      <c r="W50" s="30"/>
      <c r="X50" s="30"/>
      <c r="Y50" s="30"/>
      <c r="Z50" s="30"/>
    </row>
    <row r="51" spans="1:26" ht="12.75" customHeight="1" x14ac:dyDescent="0.2">
      <c r="A51" s="30"/>
      <c r="B51" s="612">
        <f>K48</f>
        <v>0</v>
      </c>
      <c r="C51" s="556" t="str">
        <f t="shared" si="12"/>
        <v>Casting, Furnish and Adjust to Grade</v>
      </c>
      <c r="D51" s="426"/>
      <c r="E51" s="602"/>
      <c r="F51" s="602"/>
      <c r="G51" s="602"/>
      <c r="H51" s="30"/>
      <c r="J51" s="30"/>
      <c r="K51" s="30"/>
      <c r="L51" s="30"/>
      <c r="M51" s="30"/>
      <c r="N51" s="30"/>
      <c r="O51" s="30"/>
      <c r="P51" s="30"/>
      <c r="Q51" s="30"/>
      <c r="R51" s="30"/>
      <c r="S51" s="30"/>
      <c r="T51" s="30"/>
      <c r="U51" s="30"/>
      <c r="V51" s="30"/>
      <c r="W51" s="30"/>
      <c r="X51" s="30"/>
      <c r="Y51" s="30"/>
      <c r="Z51" s="30"/>
    </row>
    <row r="52" spans="1:26" ht="12.75" customHeight="1" x14ac:dyDescent="0.2">
      <c r="A52" s="30"/>
      <c r="B52" s="612">
        <f>L48</f>
        <v>0</v>
      </c>
      <c r="C52" s="556" t="str">
        <f t="shared" si="12"/>
        <v>Monument, Re-establish</v>
      </c>
      <c r="D52" s="426"/>
      <c r="E52" s="602"/>
      <c r="F52" s="602"/>
      <c r="G52" s="602"/>
      <c r="H52" s="30"/>
      <c r="J52" s="30"/>
      <c r="K52" s="30"/>
      <c r="L52" s="30"/>
      <c r="M52" s="30"/>
      <c r="N52" s="30"/>
      <c r="O52" s="30"/>
      <c r="P52" s="30"/>
      <c r="Q52" s="30"/>
      <c r="R52" s="30"/>
      <c r="S52" s="30"/>
      <c r="T52" s="30"/>
      <c r="U52" s="30"/>
      <c r="V52" s="30"/>
      <c r="W52" s="30"/>
      <c r="X52" s="30"/>
      <c r="Y52" s="30"/>
      <c r="Z52" s="30"/>
    </row>
    <row r="53" spans="1:26" ht="12.75" customHeight="1" x14ac:dyDescent="0.2">
      <c r="A53" s="30"/>
      <c r="B53" s="612">
        <f>M48</f>
        <v>0</v>
      </c>
      <c r="C53" s="556" t="str">
        <f t="shared" si="12"/>
        <v>Monument, B</v>
      </c>
      <c r="D53" s="426"/>
      <c r="E53" s="426"/>
      <c r="F53" s="602"/>
      <c r="G53" s="602"/>
      <c r="H53" s="30"/>
      <c r="J53" s="30"/>
      <c r="K53" s="30"/>
      <c r="L53" s="30"/>
      <c r="M53" s="30"/>
      <c r="N53" s="30"/>
      <c r="O53" s="30"/>
      <c r="P53" s="30"/>
      <c r="Q53" s="30"/>
      <c r="R53" s="30"/>
      <c r="S53" s="30"/>
      <c r="T53" s="30"/>
      <c r="U53" s="30"/>
      <c r="V53" s="30"/>
      <c r="W53" s="30"/>
      <c r="X53" s="30"/>
      <c r="Y53" s="30"/>
      <c r="Z53" s="30"/>
    </row>
    <row r="54" spans="1:26" ht="12.75" customHeight="1" x14ac:dyDescent="0.2">
      <c r="A54" s="30"/>
      <c r="B54" s="612">
        <f>N48</f>
        <v>0</v>
      </c>
      <c r="C54" s="556" t="str">
        <f t="shared" si="12"/>
        <v>Monument, Section Corner</v>
      </c>
      <c r="D54" s="426"/>
      <c r="E54" s="426"/>
      <c r="F54" s="602"/>
      <c r="G54" s="602"/>
      <c r="H54" s="30"/>
      <c r="N54" s="30"/>
      <c r="O54" s="30"/>
      <c r="P54" s="30"/>
      <c r="Q54" s="30"/>
      <c r="R54" s="30"/>
      <c r="S54" s="30"/>
      <c r="T54" s="30"/>
      <c r="U54" s="30"/>
      <c r="V54" s="30"/>
      <c r="W54" s="30"/>
      <c r="X54" s="30"/>
      <c r="Y54" s="30"/>
      <c r="Z54" s="30"/>
    </row>
    <row r="55" spans="1:26" ht="12.75" customHeight="1" x14ac:dyDescent="0.2">
      <c r="A55" s="30"/>
      <c r="B55" s="612">
        <f>O48</f>
        <v>0</v>
      </c>
      <c r="C55" s="556">
        <f t="shared" si="12"/>
        <v>0</v>
      </c>
      <c r="D55" s="426"/>
      <c r="E55" s="426"/>
      <c r="F55" s="602"/>
      <c r="G55" s="602"/>
      <c r="H55" s="30"/>
      <c r="I55" s="299" t="s">
        <v>94</v>
      </c>
      <c r="J55" s="30"/>
      <c r="K55" s="30"/>
      <c r="L55" s="30"/>
      <c r="M55" s="116" t="s">
        <v>50</v>
      </c>
      <c r="N55" s="30"/>
      <c r="O55" s="30"/>
      <c r="P55" s="30"/>
      <c r="Q55" s="30"/>
      <c r="R55" s="30"/>
      <c r="S55" s="30"/>
      <c r="T55" s="30"/>
      <c r="U55" s="30"/>
      <c r="V55" s="30"/>
      <c r="W55" s="30"/>
      <c r="X55" s="30"/>
      <c r="Y55" s="30"/>
      <c r="Z55" s="30"/>
    </row>
    <row r="56" spans="1:26" ht="6.75" customHeight="1" x14ac:dyDescent="0.2">
      <c r="A56" s="30"/>
      <c r="B56" s="601"/>
      <c r="C56" s="207"/>
      <c r="D56" s="426"/>
      <c r="E56" s="426"/>
      <c r="F56" s="602"/>
      <c r="G56" s="602"/>
      <c r="H56" s="30"/>
      <c r="I56" s="609"/>
      <c r="J56" s="30"/>
      <c r="K56" s="30"/>
      <c r="L56" s="30"/>
      <c r="M56" s="116"/>
      <c r="N56" s="30"/>
      <c r="O56" s="30"/>
      <c r="P56" s="30"/>
      <c r="Q56" s="30"/>
      <c r="R56" s="30"/>
      <c r="S56" s="30"/>
      <c r="T56" s="30"/>
      <c r="U56" s="30"/>
      <c r="V56" s="30"/>
      <c r="W56" s="30"/>
      <c r="X56" s="30"/>
      <c r="Y56" s="30"/>
      <c r="Z56" s="30"/>
    </row>
    <row r="57" spans="1:26" x14ac:dyDescent="0.2">
      <c r="A57" s="30"/>
      <c r="B57" s="426"/>
      <c r="C57" s="426"/>
      <c r="D57" s="426"/>
      <c r="E57" s="426"/>
      <c r="F57" s="426"/>
      <c r="G57" s="426"/>
      <c r="H57" s="30"/>
      <c r="I57" s="610" t="s">
        <v>159</v>
      </c>
      <c r="J57" s="30"/>
      <c r="K57" s="30"/>
      <c r="L57" s="30"/>
      <c r="M57" s="116" t="s">
        <v>51</v>
      </c>
      <c r="N57" s="30"/>
      <c r="O57" s="30"/>
      <c r="P57" s="30"/>
      <c r="Q57" s="30"/>
      <c r="R57" s="30"/>
      <c r="S57" s="30"/>
      <c r="T57" s="30"/>
      <c r="U57" s="30"/>
      <c r="V57" s="30"/>
      <c r="W57" s="30"/>
      <c r="X57" s="30"/>
      <c r="Y57" s="30"/>
      <c r="Z57" s="30"/>
    </row>
    <row r="58" spans="1:26" x14ac:dyDescent="0.2">
      <c r="A58" s="30"/>
      <c r="B58" s="426"/>
      <c r="C58" s="426"/>
      <c r="D58" s="426"/>
      <c r="E58" s="426"/>
      <c r="F58" s="426"/>
      <c r="G58" s="426"/>
      <c r="H58" s="30"/>
      <c r="I58" s="610" t="s">
        <v>459</v>
      </c>
      <c r="J58" s="30"/>
      <c r="K58" s="30"/>
      <c r="L58" s="30"/>
      <c r="M58" s="116" t="s">
        <v>52</v>
      </c>
      <c r="N58" s="30"/>
      <c r="O58" s="30"/>
      <c r="P58" s="30"/>
      <c r="Q58" s="30"/>
      <c r="R58" s="30"/>
      <c r="S58" s="30"/>
      <c r="T58" s="30"/>
      <c r="U58" s="30"/>
      <c r="V58" s="30"/>
      <c r="W58" s="30"/>
      <c r="X58" s="30"/>
      <c r="Y58" s="30"/>
      <c r="Z58" s="30"/>
    </row>
    <row r="59" spans="1:26" x14ac:dyDescent="0.2">
      <c r="A59" s="30"/>
      <c r="B59" s="426"/>
      <c r="C59" s="426"/>
      <c r="D59" s="426"/>
      <c r="E59" s="426"/>
      <c r="F59" s="426"/>
      <c r="G59" s="426"/>
      <c r="H59" s="30"/>
      <c r="I59" s="610" t="s">
        <v>745</v>
      </c>
      <c r="J59" s="30"/>
      <c r="K59" s="30"/>
      <c r="L59" s="30"/>
      <c r="M59" s="116" t="s">
        <v>53</v>
      </c>
      <c r="N59" s="30"/>
      <c r="O59" s="30"/>
      <c r="P59" s="30"/>
      <c r="Q59" s="30"/>
      <c r="R59" s="30"/>
      <c r="S59" s="30"/>
      <c r="T59" s="30"/>
      <c r="U59" s="30"/>
      <c r="V59" s="30"/>
      <c r="W59" s="30"/>
      <c r="X59" s="30"/>
      <c r="Y59" s="30"/>
      <c r="Z59" s="30"/>
    </row>
    <row r="60" spans="1:26" x14ac:dyDescent="0.2">
      <c r="A60" s="30"/>
      <c r="B60" s="426"/>
      <c r="C60" s="426"/>
      <c r="D60" s="426"/>
      <c r="E60" s="426"/>
      <c r="F60" s="426"/>
      <c r="G60" s="426"/>
      <c r="H60" s="30"/>
      <c r="I60" s="610" t="s">
        <v>460</v>
      </c>
      <c r="J60" s="30"/>
      <c r="K60" s="30"/>
      <c r="L60" s="30"/>
      <c r="M60" s="116" t="s">
        <v>54</v>
      </c>
      <c r="N60" s="30"/>
      <c r="O60" s="30"/>
      <c r="P60" s="30"/>
      <c r="Q60" s="30"/>
      <c r="R60" s="30"/>
      <c r="S60" s="30"/>
      <c r="T60" s="30"/>
      <c r="U60" s="30"/>
      <c r="V60" s="30"/>
      <c r="W60" s="30"/>
      <c r="X60" s="30"/>
      <c r="Y60" s="30"/>
      <c r="Z60" s="30"/>
    </row>
    <row r="61" spans="1:26" x14ac:dyDescent="0.2">
      <c r="A61" s="30"/>
      <c r="B61" s="426"/>
      <c r="C61" s="426"/>
      <c r="D61" s="426"/>
      <c r="E61" s="426"/>
      <c r="F61" s="426"/>
      <c r="G61" s="426"/>
      <c r="H61" s="30"/>
      <c r="I61" s="610" t="str">
        <f>"Monument, "&amp;J61</f>
        <v>Monument, B</v>
      </c>
      <c r="J61" s="194" t="s">
        <v>52</v>
      </c>
      <c r="K61" s="101" t="s">
        <v>462</v>
      </c>
      <c r="L61" s="30"/>
      <c r="M61" s="30"/>
      <c r="N61" s="30"/>
      <c r="O61" s="30"/>
      <c r="P61" s="30"/>
      <c r="Q61" s="30"/>
      <c r="R61" s="30"/>
      <c r="S61" s="30"/>
      <c r="T61" s="30"/>
      <c r="U61" s="30"/>
      <c r="V61" s="30"/>
      <c r="W61" s="30"/>
      <c r="X61" s="30"/>
      <c r="Y61" s="30"/>
      <c r="Z61" s="30"/>
    </row>
    <row r="62" spans="1:26" x14ac:dyDescent="0.2">
      <c r="A62" s="30"/>
      <c r="B62" s="426"/>
      <c r="C62" s="426"/>
      <c r="D62" s="426"/>
      <c r="E62" s="426"/>
      <c r="F62" s="426"/>
      <c r="G62" s="426"/>
      <c r="H62" s="30"/>
      <c r="I62" s="610" t="s">
        <v>461</v>
      </c>
      <c r="J62" s="30"/>
      <c r="K62" s="30"/>
      <c r="L62" s="30"/>
      <c r="M62" s="30"/>
      <c r="N62" s="30"/>
      <c r="O62" s="30"/>
      <c r="P62" s="30"/>
      <c r="Q62" s="30"/>
      <c r="R62" s="30"/>
      <c r="S62" s="30"/>
      <c r="T62" s="30"/>
      <c r="U62" s="30"/>
      <c r="V62" s="30"/>
      <c r="W62" s="30"/>
      <c r="X62" s="30"/>
      <c r="Y62" s="30"/>
      <c r="Z62" s="30"/>
    </row>
    <row r="63" spans="1:26" x14ac:dyDescent="0.2">
      <c r="A63" s="30"/>
      <c r="B63" s="426"/>
      <c r="C63" s="426"/>
      <c r="D63" s="426"/>
      <c r="E63" s="426"/>
      <c r="F63" s="426"/>
      <c r="G63" s="426"/>
      <c r="H63" s="30"/>
      <c r="I63" s="611"/>
      <c r="J63" s="30"/>
      <c r="K63" s="30"/>
      <c r="L63" s="30"/>
      <c r="M63" s="30"/>
      <c r="N63" s="30"/>
      <c r="O63" s="30"/>
      <c r="P63" s="30"/>
      <c r="Q63" s="30"/>
      <c r="R63" s="30"/>
      <c r="S63" s="30"/>
      <c r="T63" s="30"/>
      <c r="U63" s="30"/>
      <c r="V63" s="30"/>
      <c r="W63" s="30"/>
      <c r="X63" s="30"/>
      <c r="Y63" s="30"/>
      <c r="Z63" s="30"/>
    </row>
    <row r="64" spans="1:26" x14ac:dyDescent="0.2">
      <c r="A64" s="30"/>
      <c r="B64" s="426"/>
      <c r="C64" s="426"/>
      <c r="D64" s="426"/>
      <c r="E64" s="426"/>
      <c r="F64" s="426"/>
      <c r="G64" s="426"/>
      <c r="H64" s="30"/>
      <c r="I64" s="30"/>
      <c r="J64" s="30"/>
      <c r="K64" s="30"/>
      <c r="L64" s="30"/>
      <c r="M64" s="30"/>
      <c r="N64" s="30"/>
      <c r="O64" s="30"/>
      <c r="P64" s="30"/>
      <c r="Q64" s="30"/>
      <c r="R64" s="30"/>
      <c r="S64" s="30"/>
      <c r="T64" s="30"/>
      <c r="U64" s="30"/>
      <c r="V64" s="30"/>
      <c r="W64" s="30"/>
      <c r="X64" s="30"/>
      <c r="Y64" s="30"/>
      <c r="Z64" s="30"/>
    </row>
    <row r="65" spans="1:26" x14ac:dyDescent="0.2">
      <c r="A65" s="30"/>
      <c r="B65" s="426"/>
      <c r="C65" s="426"/>
      <c r="D65" s="426"/>
      <c r="E65" s="426"/>
      <c r="F65" s="426"/>
      <c r="G65" s="426"/>
      <c r="H65" s="30"/>
      <c r="I65" s="30"/>
      <c r="J65" s="30"/>
      <c r="K65" s="30"/>
      <c r="L65" s="30"/>
      <c r="M65" s="30"/>
      <c r="N65" s="30"/>
      <c r="O65" s="30"/>
      <c r="P65" s="30"/>
      <c r="Q65" s="30"/>
      <c r="R65" s="30"/>
      <c r="S65" s="30"/>
      <c r="T65" s="30"/>
      <c r="U65" s="30"/>
      <c r="V65" s="30"/>
      <c r="W65" s="30"/>
      <c r="X65" s="30"/>
      <c r="Y65" s="30"/>
      <c r="Z65" s="30"/>
    </row>
    <row r="66" spans="1:26" x14ac:dyDescent="0.2">
      <c r="A66" s="30"/>
      <c r="B66" s="426"/>
      <c r="C66" s="426"/>
      <c r="D66" s="426"/>
      <c r="E66" s="426"/>
      <c r="F66" s="426"/>
      <c r="G66" s="426"/>
      <c r="H66" s="30"/>
      <c r="I66" s="30"/>
      <c r="J66" s="30"/>
      <c r="K66" s="30"/>
      <c r="L66" s="30"/>
      <c r="M66" s="30"/>
      <c r="N66" s="30"/>
      <c r="O66" s="30"/>
      <c r="P66" s="30"/>
      <c r="Q66" s="30"/>
      <c r="R66" s="30"/>
      <c r="S66" s="30"/>
      <c r="T66" s="30"/>
      <c r="U66" s="30"/>
      <c r="V66" s="30"/>
      <c r="W66" s="30"/>
      <c r="X66" s="30"/>
      <c r="Y66" s="30"/>
      <c r="Z66" s="30"/>
    </row>
    <row r="67" spans="1:26" x14ac:dyDescent="0.2">
      <c r="A67" s="30"/>
      <c r="B67" s="426"/>
      <c r="C67" s="426"/>
      <c r="D67" s="426"/>
      <c r="E67" s="426"/>
      <c r="F67" s="426"/>
      <c r="G67" s="426"/>
      <c r="H67" s="30"/>
      <c r="I67" s="30"/>
      <c r="J67" s="30"/>
      <c r="K67" s="30"/>
      <c r="L67" s="30"/>
      <c r="M67" s="30"/>
      <c r="N67" s="30"/>
      <c r="O67" s="30"/>
      <c r="P67" s="30"/>
      <c r="Q67" s="30"/>
      <c r="R67" s="30"/>
      <c r="S67" s="30"/>
      <c r="T67" s="30"/>
      <c r="U67" s="30"/>
      <c r="V67" s="30"/>
      <c r="W67" s="30"/>
      <c r="X67" s="30"/>
      <c r="Y67" s="30"/>
      <c r="Z67" s="30"/>
    </row>
    <row r="68" spans="1:26" x14ac:dyDescent="0.2">
      <c r="A68" s="30"/>
      <c r="B68" s="426"/>
      <c r="C68" s="426"/>
      <c r="D68" s="426"/>
      <c r="E68" s="426"/>
      <c r="F68" s="426"/>
      <c r="G68" s="426"/>
      <c r="H68" s="30"/>
      <c r="I68" s="30"/>
      <c r="J68" s="30"/>
      <c r="K68" s="30"/>
      <c r="L68" s="30"/>
      <c r="M68" s="30"/>
      <c r="N68" s="30"/>
      <c r="O68" s="30"/>
      <c r="P68" s="30"/>
      <c r="Q68" s="30"/>
      <c r="R68" s="30"/>
      <c r="S68" s="30"/>
      <c r="T68" s="30"/>
      <c r="U68" s="30"/>
      <c r="V68" s="30"/>
      <c r="W68" s="30"/>
      <c r="X68" s="30"/>
      <c r="Y68" s="30"/>
      <c r="Z68" s="30"/>
    </row>
    <row r="69" spans="1:26" x14ac:dyDescent="0.2">
      <c r="A69" s="30"/>
      <c r="B69" s="426"/>
      <c r="C69" s="426"/>
      <c r="D69" s="426"/>
      <c r="E69" s="426"/>
      <c r="F69" s="426"/>
      <c r="G69" s="426"/>
      <c r="H69" s="30"/>
      <c r="I69" s="30"/>
      <c r="J69" s="30"/>
      <c r="K69" s="30"/>
      <c r="L69" s="30"/>
      <c r="M69" s="30"/>
      <c r="N69" s="30"/>
      <c r="O69" s="30"/>
      <c r="P69" s="30"/>
      <c r="Q69" s="30"/>
      <c r="R69" s="30"/>
      <c r="S69" s="30"/>
      <c r="T69" s="30"/>
      <c r="U69" s="30"/>
      <c r="V69" s="30"/>
      <c r="W69" s="30"/>
      <c r="X69" s="30"/>
      <c r="Y69" s="30"/>
      <c r="Z69" s="30"/>
    </row>
    <row r="70" spans="1:26" x14ac:dyDescent="0.2">
      <c r="A70" s="30"/>
      <c r="B70" s="426"/>
      <c r="C70" s="426"/>
      <c r="D70" s="426"/>
      <c r="E70" s="426"/>
      <c r="F70" s="426"/>
      <c r="G70" s="426"/>
      <c r="H70" s="30"/>
      <c r="I70" s="30"/>
      <c r="J70" s="30"/>
      <c r="K70" s="30"/>
      <c r="L70" s="30"/>
      <c r="M70" s="30"/>
      <c r="N70" s="30"/>
      <c r="O70" s="30"/>
      <c r="P70" s="30"/>
      <c r="Q70" s="30"/>
      <c r="R70" s="30"/>
      <c r="S70" s="30"/>
      <c r="T70" s="30"/>
      <c r="U70" s="30"/>
      <c r="V70" s="30"/>
      <c r="W70" s="30"/>
      <c r="X70" s="30"/>
      <c r="Y70" s="30"/>
      <c r="Z70" s="30"/>
    </row>
    <row r="71" spans="1:26" x14ac:dyDescent="0.2">
      <c r="A71" s="30"/>
      <c r="B71" s="426"/>
      <c r="C71" s="426"/>
      <c r="D71" s="426"/>
      <c r="E71" s="426"/>
      <c r="F71" s="426"/>
      <c r="G71" s="426"/>
      <c r="H71" s="30"/>
      <c r="I71" s="30"/>
      <c r="J71" s="30"/>
      <c r="K71" s="30"/>
      <c r="L71" s="30"/>
      <c r="M71" s="30"/>
      <c r="N71" s="30"/>
      <c r="O71" s="30"/>
      <c r="P71" s="30"/>
      <c r="Q71" s="30"/>
      <c r="R71" s="30"/>
      <c r="S71" s="30"/>
      <c r="T71" s="30"/>
      <c r="U71" s="30"/>
      <c r="V71" s="30"/>
      <c r="W71" s="30"/>
      <c r="X71" s="30"/>
      <c r="Y71" s="30"/>
      <c r="Z71" s="30"/>
    </row>
    <row r="72" spans="1:26" x14ac:dyDescent="0.2">
      <c r="A72" s="30"/>
      <c r="B72" s="426"/>
      <c r="C72" s="426"/>
      <c r="D72" s="426"/>
      <c r="E72" s="426"/>
      <c r="F72" s="426"/>
      <c r="G72" s="426"/>
      <c r="H72" s="30"/>
      <c r="I72" s="30"/>
      <c r="J72" s="30"/>
      <c r="K72" s="30"/>
      <c r="L72" s="30"/>
      <c r="M72" s="30"/>
      <c r="N72" s="30"/>
      <c r="O72" s="30"/>
      <c r="P72" s="30"/>
      <c r="Q72" s="30"/>
      <c r="R72" s="30"/>
      <c r="S72" s="30"/>
      <c r="T72" s="30"/>
      <c r="U72" s="30"/>
      <c r="V72" s="30"/>
      <c r="W72" s="30"/>
      <c r="X72" s="30"/>
      <c r="Y72" s="30"/>
      <c r="Z72" s="30"/>
    </row>
    <row r="73" spans="1:26" x14ac:dyDescent="0.2">
      <c r="A73" s="30"/>
      <c r="B73" s="426"/>
      <c r="C73" s="426"/>
      <c r="D73" s="426"/>
      <c r="E73" s="426"/>
      <c r="F73" s="426"/>
      <c r="G73" s="426"/>
      <c r="H73" s="30"/>
      <c r="I73" s="30"/>
      <c r="J73" s="30"/>
      <c r="K73" s="30"/>
      <c r="L73" s="30"/>
      <c r="M73" s="30"/>
      <c r="N73" s="30"/>
      <c r="O73" s="30"/>
      <c r="P73" s="30"/>
      <c r="Q73" s="30"/>
      <c r="R73" s="30"/>
      <c r="S73" s="30"/>
      <c r="T73" s="30"/>
      <c r="U73" s="30"/>
      <c r="V73" s="30"/>
      <c r="W73" s="30"/>
      <c r="X73" s="30"/>
      <c r="Y73" s="30"/>
      <c r="Z73" s="30"/>
    </row>
    <row r="74" spans="1:26" x14ac:dyDescent="0.2">
      <c r="A74" s="30"/>
      <c r="B74" s="426"/>
      <c r="C74" s="426"/>
      <c r="D74" s="426"/>
      <c r="E74" s="426"/>
      <c r="F74" s="426"/>
      <c r="G74" s="426"/>
      <c r="H74" s="30"/>
      <c r="I74" s="30"/>
      <c r="J74" s="30"/>
      <c r="K74" s="30"/>
      <c r="L74" s="30"/>
      <c r="M74" s="30"/>
      <c r="N74" s="30"/>
      <c r="O74" s="30"/>
      <c r="P74" s="30"/>
      <c r="Q74" s="30"/>
      <c r="R74" s="30"/>
      <c r="S74" s="30"/>
      <c r="T74" s="30"/>
      <c r="U74" s="30"/>
      <c r="V74" s="30"/>
      <c r="W74" s="30"/>
      <c r="X74" s="30"/>
      <c r="Y74" s="30"/>
      <c r="Z74" s="30"/>
    </row>
    <row r="75" spans="1:26" x14ac:dyDescent="0.2">
      <c r="A75" s="30"/>
      <c r="B75" s="426"/>
      <c r="C75" s="426"/>
      <c r="D75" s="426"/>
      <c r="E75" s="426"/>
      <c r="F75" s="426"/>
      <c r="G75" s="426"/>
      <c r="H75" s="30"/>
      <c r="I75" s="30"/>
      <c r="J75" s="30"/>
      <c r="K75" s="30"/>
      <c r="L75" s="30"/>
      <c r="M75" s="30"/>
      <c r="N75" s="30"/>
      <c r="O75" s="30"/>
      <c r="P75" s="30"/>
      <c r="Q75" s="30"/>
      <c r="R75" s="30"/>
      <c r="S75" s="30"/>
      <c r="T75" s="30"/>
      <c r="U75" s="30"/>
      <c r="V75" s="30"/>
      <c r="W75" s="30"/>
      <c r="X75" s="30"/>
      <c r="Y75" s="30"/>
      <c r="Z75" s="30"/>
    </row>
    <row r="76" spans="1:26" x14ac:dyDescent="0.2">
      <c r="A76" s="30"/>
      <c r="B76" s="426"/>
      <c r="C76" s="426"/>
      <c r="D76" s="426"/>
      <c r="E76" s="426"/>
      <c r="F76" s="426"/>
      <c r="G76" s="426"/>
      <c r="H76" s="30"/>
      <c r="I76" s="30"/>
      <c r="J76" s="30"/>
      <c r="K76" s="30"/>
      <c r="L76" s="30"/>
      <c r="M76" s="30"/>
      <c r="N76" s="30"/>
      <c r="O76" s="30"/>
      <c r="P76" s="30"/>
      <c r="Q76" s="30"/>
      <c r="R76" s="30"/>
      <c r="S76" s="30"/>
      <c r="T76" s="30"/>
      <c r="U76" s="30"/>
      <c r="V76" s="30"/>
      <c r="W76" s="30"/>
      <c r="X76" s="30"/>
      <c r="Y76" s="30"/>
      <c r="Z76" s="30"/>
    </row>
    <row r="77" spans="1:26" x14ac:dyDescent="0.2">
      <c r="A77" s="30"/>
      <c r="B77" s="426"/>
      <c r="C77" s="426"/>
      <c r="D77" s="426"/>
      <c r="E77" s="426"/>
      <c r="F77" s="426"/>
      <c r="G77" s="426"/>
      <c r="H77" s="30"/>
      <c r="I77" s="30"/>
      <c r="J77" s="30"/>
      <c r="K77" s="30"/>
      <c r="L77" s="30"/>
      <c r="M77" s="30"/>
      <c r="N77" s="30"/>
      <c r="O77" s="30"/>
      <c r="P77" s="30"/>
      <c r="Q77" s="30"/>
      <c r="R77" s="30"/>
      <c r="S77" s="30"/>
      <c r="T77" s="30"/>
      <c r="U77" s="30"/>
      <c r="V77" s="30"/>
      <c r="W77" s="30"/>
      <c r="X77" s="30"/>
      <c r="Y77" s="30"/>
      <c r="Z77" s="30"/>
    </row>
    <row r="78" spans="1:26" x14ac:dyDescent="0.2">
      <c r="A78" s="30"/>
      <c r="B78" s="426"/>
      <c r="C78" s="426"/>
      <c r="D78" s="426"/>
      <c r="E78" s="426"/>
      <c r="F78" s="426"/>
      <c r="G78" s="426"/>
      <c r="H78" s="30"/>
      <c r="I78" s="30"/>
      <c r="J78" s="30"/>
      <c r="K78" s="30"/>
      <c r="L78" s="30"/>
      <c r="M78" s="30"/>
      <c r="N78" s="30"/>
      <c r="O78" s="30"/>
      <c r="P78" s="30"/>
      <c r="Q78" s="30"/>
      <c r="R78" s="30"/>
      <c r="S78" s="30"/>
      <c r="T78" s="30"/>
      <c r="U78" s="30"/>
      <c r="V78" s="30"/>
      <c r="W78" s="30"/>
      <c r="X78" s="30"/>
      <c r="Y78" s="30"/>
      <c r="Z78" s="30"/>
    </row>
    <row r="79" spans="1:26" x14ac:dyDescent="0.2">
      <c r="A79" s="30"/>
      <c r="B79" s="426"/>
      <c r="C79" s="426"/>
      <c r="D79" s="426"/>
      <c r="E79" s="426"/>
      <c r="F79" s="426"/>
      <c r="G79" s="426"/>
      <c r="H79" s="30"/>
      <c r="I79" s="30"/>
      <c r="J79" s="30"/>
      <c r="K79" s="30"/>
      <c r="L79" s="30"/>
      <c r="M79" s="30"/>
      <c r="N79" s="30"/>
      <c r="O79" s="30"/>
      <c r="P79" s="30"/>
      <c r="Q79" s="30"/>
      <c r="R79" s="30"/>
      <c r="S79" s="30"/>
      <c r="T79" s="30"/>
      <c r="U79" s="30"/>
      <c r="V79" s="30"/>
      <c r="W79" s="30"/>
      <c r="X79" s="30"/>
      <c r="Y79" s="30"/>
      <c r="Z79" s="30"/>
    </row>
    <row r="80" spans="1:26" x14ac:dyDescent="0.2">
      <c r="A80" s="30"/>
      <c r="B80" s="426"/>
      <c r="C80" s="426"/>
      <c r="D80" s="426"/>
      <c r="E80" s="426"/>
      <c r="F80" s="426"/>
      <c r="G80" s="426"/>
      <c r="H80" s="30"/>
      <c r="I80" s="30"/>
      <c r="J80" s="30"/>
      <c r="K80" s="30"/>
      <c r="L80" s="30"/>
      <c r="M80" s="30"/>
      <c r="N80" s="30"/>
      <c r="O80" s="30"/>
      <c r="P80" s="30"/>
      <c r="Q80" s="30"/>
      <c r="R80" s="30"/>
      <c r="S80" s="30"/>
      <c r="T80" s="30"/>
      <c r="U80" s="30"/>
      <c r="V80" s="30"/>
      <c r="W80" s="30"/>
      <c r="X80" s="30"/>
      <c r="Y80" s="30"/>
      <c r="Z80" s="30"/>
    </row>
    <row r="81" spans="2:7" x14ac:dyDescent="0.2">
      <c r="B81" s="426"/>
      <c r="C81" s="426"/>
      <c r="D81" s="426"/>
      <c r="E81" s="426"/>
      <c r="F81" s="426"/>
      <c r="G81" s="426"/>
    </row>
    <row r="82" spans="2:7" x14ac:dyDescent="0.2">
      <c r="B82" s="426"/>
      <c r="C82" s="426"/>
      <c r="D82" s="426"/>
      <c r="E82" s="426"/>
      <c r="F82" s="426"/>
      <c r="G82" s="426"/>
    </row>
    <row r="83" spans="2:7" x14ac:dyDescent="0.2">
      <c r="B83" s="7"/>
      <c r="C83" s="7"/>
      <c r="D83" s="7"/>
      <c r="E83" s="7"/>
      <c r="F83" s="7"/>
      <c r="G83" s="7"/>
    </row>
  </sheetData>
  <mergeCells count="9">
    <mergeCell ref="M2:M3"/>
    <mergeCell ref="N2:N3"/>
    <mergeCell ref="O2:O3"/>
    <mergeCell ref="I1:R1"/>
    <mergeCell ref="B2:F2"/>
    <mergeCell ref="A1:G1"/>
    <mergeCell ref="J2:J3"/>
    <mergeCell ref="K2:K3"/>
    <mergeCell ref="L2:L3"/>
  </mergeCells>
  <phoneticPr fontId="1" type="noConversion"/>
  <dataValidations count="2">
    <dataValidation type="list" showInputMessage="1" showErrorMessage="1" sqref="J61">
      <formula1>$M$56:$M$60</formula1>
    </dataValidation>
    <dataValidation type="list" showInputMessage="1" showErrorMessage="1" sqref="F4:F47">
      <formula1>$I$56:$I$63</formula1>
    </dataValidation>
  </dataValidations>
  <printOptions horizontalCentered="1"/>
  <pageMargins left="0.35" right="0.35" top="0.38200000000000001" bottom="0.38200000000000001" header="0.5" footer="0.5"/>
  <pageSetup firstPageNumber="31" orientation="portrait" useFirstPageNumber="1" r:id="rId1"/>
  <headerFooter alignWithMargins="0"/>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X80"/>
  <sheetViews>
    <sheetView showGridLines="0" showZeros="0" zoomScale="75" zoomScaleNormal="75" workbookViewId="0">
      <selection activeCell="H1" sqref="H1:K1"/>
    </sheetView>
  </sheetViews>
  <sheetFormatPr defaultRowHeight="12.75" x14ac:dyDescent="0.2"/>
  <cols>
    <col min="1" max="1" width="1.7109375" style="16" customWidth="1"/>
    <col min="2" max="2" width="12.140625" style="16" customWidth="1"/>
    <col min="3" max="4" width="12.140625" style="836" customWidth="1"/>
    <col min="5" max="5" width="12.140625" style="16" customWidth="1"/>
    <col min="6" max="6" width="1.7109375" style="16" customWidth="1"/>
    <col min="7" max="7" width="8.42578125" style="16" customWidth="1"/>
    <col min="8" max="8" width="20.28515625" style="16" customWidth="1"/>
    <col min="9" max="9" width="13.28515625" style="16" customWidth="1"/>
    <col min="10" max="16384" width="9.140625" style="16"/>
  </cols>
  <sheetData>
    <row r="1" spans="1:24" ht="39" customHeight="1" thickBot="1" x14ac:dyDescent="0.25">
      <c r="A1" s="1536" t="str">
        <f>UPPER("Milled HMA Corrugations for CLRS Summary Table")</f>
        <v>MILLED HMA CORRUGATIONS FOR CLRS SUMMARY TABLE</v>
      </c>
      <c r="B1" s="1536"/>
      <c r="C1" s="1536"/>
      <c r="D1" s="1536"/>
      <c r="E1" s="1536"/>
      <c r="F1" s="1536"/>
      <c r="G1" s="838"/>
      <c r="H1" s="1543" t="s">
        <v>559</v>
      </c>
      <c r="I1" s="1544"/>
      <c r="J1" s="1544"/>
      <c r="K1" s="1544"/>
      <c r="L1" s="407"/>
      <c r="M1" s="407"/>
      <c r="N1" s="407"/>
      <c r="O1" s="407"/>
      <c r="P1" s="407"/>
      <c r="Q1" s="407"/>
      <c r="R1" s="407"/>
      <c r="S1" s="407"/>
      <c r="T1" s="407"/>
      <c r="U1" s="407"/>
      <c r="V1" s="407"/>
      <c r="W1" s="407"/>
      <c r="X1" s="407"/>
    </row>
    <row r="2" spans="1:24" ht="12.75" customHeight="1" thickBot="1" x14ac:dyDescent="0.25">
      <c r="A2" s="407"/>
      <c r="B2" s="1488"/>
      <c r="C2" s="1488"/>
      <c r="D2" s="1488"/>
      <c r="E2" s="1488"/>
      <c r="F2" s="406"/>
      <c r="G2" s="406"/>
      <c r="H2" s="1537" t="s">
        <v>557</v>
      </c>
      <c r="I2" s="1540" t="s">
        <v>558</v>
      </c>
      <c r="J2" s="407"/>
      <c r="K2" s="407"/>
      <c r="L2" s="407"/>
      <c r="M2" s="407"/>
      <c r="N2" s="407"/>
      <c r="O2" s="407"/>
      <c r="P2" s="407"/>
      <c r="Q2" s="407"/>
      <c r="R2" s="407"/>
      <c r="S2" s="407"/>
      <c r="T2" s="407"/>
      <c r="U2" s="407"/>
      <c r="V2" s="407"/>
      <c r="W2" s="407"/>
      <c r="X2" s="407"/>
    </row>
    <row r="3" spans="1:24" ht="25.5" customHeight="1" x14ac:dyDescent="0.2">
      <c r="A3" s="407"/>
      <c r="B3" s="1546" t="s">
        <v>2</v>
      </c>
      <c r="C3" s="1548" t="s">
        <v>3</v>
      </c>
      <c r="D3" s="839" t="s">
        <v>555</v>
      </c>
      <c r="E3" s="835" t="s">
        <v>553</v>
      </c>
      <c r="F3" s="616"/>
      <c r="G3" s="616"/>
      <c r="H3" s="1538"/>
      <c r="I3" s="1541"/>
      <c r="J3" s="407"/>
      <c r="K3" s="1543" t="s">
        <v>575</v>
      </c>
      <c r="L3" s="1543"/>
      <c r="M3" s="407"/>
      <c r="N3" s="407"/>
      <c r="O3" s="407"/>
      <c r="P3" s="407"/>
      <c r="Q3" s="407"/>
      <c r="R3" s="407"/>
      <c r="S3" s="407"/>
      <c r="T3" s="407"/>
      <c r="U3" s="407"/>
      <c r="V3" s="407"/>
      <c r="W3" s="407"/>
      <c r="X3" s="407"/>
    </row>
    <row r="4" spans="1:24" ht="12.75" customHeight="1" thickBot="1" x14ac:dyDescent="0.25">
      <c r="A4" s="407"/>
      <c r="B4" s="1547"/>
      <c r="C4" s="1549"/>
      <c r="D4" s="845" t="s">
        <v>19</v>
      </c>
      <c r="E4" s="659" t="s">
        <v>19</v>
      </c>
      <c r="F4" s="616"/>
      <c r="G4" s="616"/>
      <c r="H4" s="1539"/>
      <c r="I4" s="1542"/>
      <c r="J4" s="407"/>
      <c r="K4" s="1543"/>
      <c r="L4" s="1543"/>
      <c r="M4" s="407"/>
      <c r="N4" s="407"/>
      <c r="O4" s="407"/>
      <c r="P4" s="407"/>
      <c r="Q4" s="407"/>
      <c r="R4" s="407"/>
      <c r="S4" s="407"/>
      <c r="T4" s="407"/>
      <c r="U4" s="407"/>
      <c r="V4" s="407"/>
      <c r="W4" s="407"/>
      <c r="X4" s="407"/>
    </row>
    <row r="5" spans="1:24" ht="12.75" customHeight="1" x14ac:dyDescent="0.2">
      <c r="A5" s="407"/>
      <c r="B5" s="638"/>
      <c r="C5" s="840"/>
      <c r="D5" s="852">
        <f t="shared" ref="D5:D47" si="0">IF(AND(I5=$K$56,H5=$J$55),$C5-$B5,IF(AND(I5=$K$56,H5=$J$56),2*($C5-$B5),0))</f>
        <v>0</v>
      </c>
      <c r="E5" s="641">
        <f t="shared" ref="E5:E47" si="1">IF(H5=$J$55,$C5-$B5,IF(H5=$J$56,2*($C5-$B5),0))</f>
        <v>0</v>
      </c>
      <c r="F5" s="411"/>
      <c r="G5" s="411"/>
      <c r="H5" s="850"/>
      <c r="I5" s="851"/>
      <c r="J5" s="407"/>
      <c r="K5" s="407"/>
      <c r="L5" s="407"/>
      <c r="M5" s="407"/>
      <c r="N5" s="407"/>
      <c r="O5" s="407"/>
      <c r="P5" s="407"/>
      <c r="Q5" s="407"/>
      <c r="R5" s="407"/>
      <c r="S5" s="407"/>
      <c r="T5" s="407"/>
      <c r="U5" s="407"/>
      <c r="V5" s="407"/>
      <c r="W5" s="407"/>
      <c r="X5" s="407"/>
    </row>
    <row r="6" spans="1:24" ht="12.75" customHeight="1" x14ac:dyDescent="0.2">
      <c r="A6" s="407"/>
      <c r="B6" s="638">
        <f>C5</f>
        <v>0</v>
      </c>
      <c r="C6" s="840"/>
      <c r="D6" s="852">
        <f t="shared" si="0"/>
        <v>0</v>
      </c>
      <c r="E6" s="641">
        <f t="shared" si="1"/>
        <v>0</v>
      </c>
      <c r="F6" s="411"/>
      <c r="G6" s="411"/>
      <c r="H6" s="848"/>
      <c r="I6" s="849"/>
      <c r="J6" s="407"/>
      <c r="K6" s="407"/>
      <c r="L6" s="407"/>
      <c r="M6" s="407"/>
      <c r="N6" s="407"/>
      <c r="O6" s="407"/>
      <c r="P6" s="407"/>
      <c r="Q6" s="407"/>
      <c r="R6" s="407"/>
      <c r="S6" s="407"/>
      <c r="T6" s="407"/>
      <c r="U6" s="407"/>
      <c r="V6" s="407"/>
      <c r="W6" s="407"/>
      <c r="X6" s="407"/>
    </row>
    <row r="7" spans="1:24" ht="12.75" customHeight="1" x14ac:dyDescent="0.2">
      <c r="A7" s="407"/>
      <c r="B7" s="638">
        <f t="shared" ref="B7:B47" si="2">C6</f>
        <v>0</v>
      </c>
      <c r="C7" s="840"/>
      <c r="D7" s="852">
        <f t="shared" si="0"/>
        <v>0</v>
      </c>
      <c r="E7" s="641">
        <f t="shared" si="1"/>
        <v>0</v>
      </c>
      <c r="F7" s="411"/>
      <c r="G7" s="411"/>
      <c r="H7" s="848"/>
      <c r="I7" s="849"/>
      <c r="J7" s="407"/>
      <c r="K7" s="407"/>
      <c r="L7" s="407"/>
      <c r="M7" s="407"/>
      <c r="N7" s="407"/>
      <c r="O7" s="407"/>
      <c r="P7" s="407"/>
      <c r="Q7" s="407"/>
      <c r="R7" s="407"/>
      <c r="S7" s="407"/>
      <c r="T7" s="407"/>
      <c r="U7" s="407"/>
      <c r="V7" s="407"/>
      <c r="W7" s="407"/>
      <c r="X7" s="407"/>
    </row>
    <row r="8" spans="1:24" ht="12.75" customHeight="1" x14ac:dyDescent="0.2">
      <c r="A8" s="407"/>
      <c r="B8" s="638">
        <f t="shared" si="2"/>
        <v>0</v>
      </c>
      <c r="C8" s="840"/>
      <c r="D8" s="852">
        <f t="shared" si="0"/>
        <v>0</v>
      </c>
      <c r="E8" s="641">
        <f t="shared" si="1"/>
        <v>0</v>
      </c>
      <c r="F8" s="411"/>
      <c r="G8" s="411"/>
      <c r="H8" s="848"/>
      <c r="I8" s="849"/>
      <c r="J8" s="407"/>
      <c r="K8" s="407"/>
      <c r="L8" s="407"/>
      <c r="M8" s="407"/>
      <c r="N8" s="407"/>
      <c r="O8" s="407"/>
      <c r="P8" s="407"/>
      <c r="Q8" s="407"/>
      <c r="R8" s="407"/>
      <c r="S8" s="407"/>
      <c r="T8" s="407"/>
      <c r="U8" s="407"/>
      <c r="V8" s="407"/>
      <c r="W8" s="407"/>
      <c r="X8" s="407"/>
    </row>
    <row r="9" spans="1:24" ht="12.75" customHeight="1" x14ac:dyDescent="0.2">
      <c r="A9" s="407"/>
      <c r="B9" s="638">
        <f t="shared" si="2"/>
        <v>0</v>
      </c>
      <c r="C9" s="840"/>
      <c r="D9" s="852">
        <f t="shared" si="0"/>
        <v>0</v>
      </c>
      <c r="E9" s="641">
        <f t="shared" si="1"/>
        <v>0</v>
      </c>
      <c r="F9" s="411"/>
      <c r="G9" s="411"/>
      <c r="H9" s="848"/>
      <c r="I9" s="849"/>
      <c r="J9" s="407"/>
      <c r="K9" s="407"/>
      <c r="L9" s="407"/>
      <c r="M9" s="407"/>
      <c r="N9" s="407"/>
      <c r="O9" s="407"/>
      <c r="P9" s="407"/>
      <c r="Q9" s="407"/>
      <c r="R9" s="407"/>
      <c r="S9" s="407"/>
      <c r="T9" s="407"/>
      <c r="U9" s="407"/>
      <c r="V9" s="407"/>
      <c r="W9" s="407"/>
      <c r="X9" s="407"/>
    </row>
    <row r="10" spans="1:24" ht="12.75" customHeight="1" x14ac:dyDescent="0.2">
      <c r="A10" s="407"/>
      <c r="B10" s="638">
        <f t="shared" si="2"/>
        <v>0</v>
      </c>
      <c r="C10" s="840"/>
      <c r="D10" s="852">
        <f t="shared" si="0"/>
        <v>0</v>
      </c>
      <c r="E10" s="641">
        <f t="shared" si="1"/>
        <v>0</v>
      </c>
      <c r="F10" s="411"/>
      <c r="G10" s="411"/>
      <c r="H10" s="848"/>
      <c r="I10" s="849"/>
      <c r="J10" s="407"/>
      <c r="K10" s="407"/>
      <c r="L10" s="407"/>
      <c r="M10" s="407"/>
      <c r="N10" s="407"/>
      <c r="O10" s="407"/>
      <c r="P10" s="407"/>
      <c r="Q10" s="407"/>
      <c r="R10" s="407"/>
      <c r="S10" s="407"/>
      <c r="T10" s="407"/>
      <c r="U10" s="407"/>
      <c r="V10" s="407"/>
      <c r="W10" s="407"/>
      <c r="X10" s="407"/>
    </row>
    <row r="11" spans="1:24" ht="12.75" customHeight="1" x14ac:dyDescent="0.2">
      <c r="A11" s="407"/>
      <c r="B11" s="638">
        <f t="shared" si="2"/>
        <v>0</v>
      </c>
      <c r="C11" s="840"/>
      <c r="D11" s="852">
        <f t="shared" si="0"/>
        <v>0</v>
      </c>
      <c r="E11" s="641">
        <f t="shared" si="1"/>
        <v>0</v>
      </c>
      <c r="F11" s="411"/>
      <c r="G11" s="411"/>
      <c r="H11" s="848"/>
      <c r="I11" s="849"/>
      <c r="J11" s="407"/>
      <c r="K11" s="407"/>
      <c r="L11" s="407"/>
      <c r="M11" s="407"/>
      <c r="N11" s="407"/>
      <c r="O11" s="407"/>
      <c r="P11" s="407"/>
      <c r="Q11" s="407"/>
      <c r="R11" s="407"/>
      <c r="S11" s="407"/>
      <c r="T11" s="407"/>
      <c r="U11" s="407"/>
      <c r="V11" s="407"/>
      <c r="W11" s="407"/>
      <c r="X11" s="407"/>
    </row>
    <row r="12" spans="1:24" ht="12.75" customHeight="1" x14ac:dyDescent="0.2">
      <c r="A12" s="407"/>
      <c r="B12" s="638">
        <f t="shared" si="2"/>
        <v>0</v>
      </c>
      <c r="C12" s="840"/>
      <c r="D12" s="852">
        <f t="shared" si="0"/>
        <v>0</v>
      </c>
      <c r="E12" s="641">
        <f t="shared" si="1"/>
        <v>0</v>
      </c>
      <c r="F12" s="411"/>
      <c r="G12" s="411"/>
      <c r="H12" s="848"/>
      <c r="I12" s="849"/>
      <c r="J12" s="407"/>
      <c r="K12" s="407"/>
      <c r="L12" s="407"/>
      <c r="M12" s="407"/>
      <c r="N12" s="407"/>
      <c r="O12" s="407"/>
      <c r="P12" s="407"/>
      <c r="Q12" s="407"/>
      <c r="R12" s="407"/>
      <c r="S12" s="407"/>
      <c r="T12" s="407"/>
      <c r="U12" s="407"/>
      <c r="V12" s="407"/>
      <c r="W12" s="407"/>
      <c r="X12" s="407"/>
    </row>
    <row r="13" spans="1:24" ht="12.75" customHeight="1" x14ac:dyDescent="0.2">
      <c r="A13" s="407"/>
      <c r="B13" s="638">
        <f t="shared" si="2"/>
        <v>0</v>
      </c>
      <c r="C13" s="840"/>
      <c r="D13" s="852">
        <f t="shared" si="0"/>
        <v>0</v>
      </c>
      <c r="E13" s="641">
        <f t="shared" si="1"/>
        <v>0</v>
      </c>
      <c r="F13" s="411"/>
      <c r="G13" s="411"/>
      <c r="H13" s="848"/>
      <c r="I13" s="849"/>
      <c r="J13" s="407"/>
      <c r="K13" s="407"/>
      <c r="L13" s="407"/>
      <c r="M13" s="407"/>
      <c r="N13" s="407"/>
      <c r="O13" s="407"/>
      <c r="P13" s="407"/>
      <c r="Q13" s="407"/>
      <c r="R13" s="407"/>
      <c r="S13" s="407"/>
      <c r="T13" s="407"/>
      <c r="U13" s="407"/>
      <c r="V13" s="407"/>
      <c r="W13" s="407"/>
      <c r="X13" s="407"/>
    </row>
    <row r="14" spans="1:24" ht="12.75" customHeight="1" x14ac:dyDescent="0.2">
      <c r="A14" s="407"/>
      <c r="B14" s="638">
        <f t="shared" si="2"/>
        <v>0</v>
      </c>
      <c r="C14" s="840"/>
      <c r="D14" s="852">
        <f t="shared" si="0"/>
        <v>0</v>
      </c>
      <c r="E14" s="641">
        <f t="shared" si="1"/>
        <v>0</v>
      </c>
      <c r="F14" s="411"/>
      <c r="G14" s="411"/>
      <c r="H14" s="848"/>
      <c r="I14" s="849"/>
      <c r="J14" s="407"/>
      <c r="K14" s="407"/>
      <c r="L14" s="407"/>
      <c r="M14" s="407"/>
      <c r="N14" s="407"/>
      <c r="O14" s="407"/>
      <c r="P14" s="407"/>
      <c r="Q14" s="407"/>
      <c r="R14" s="407"/>
      <c r="S14" s="407"/>
      <c r="T14" s="407"/>
      <c r="U14" s="407"/>
      <c r="V14" s="407"/>
      <c r="W14" s="407"/>
      <c r="X14" s="407"/>
    </row>
    <row r="15" spans="1:24" ht="12.75" customHeight="1" x14ac:dyDescent="0.2">
      <c r="A15" s="407"/>
      <c r="B15" s="638">
        <f t="shared" si="2"/>
        <v>0</v>
      </c>
      <c r="C15" s="840"/>
      <c r="D15" s="852">
        <f t="shared" si="0"/>
        <v>0</v>
      </c>
      <c r="E15" s="641">
        <f t="shared" si="1"/>
        <v>0</v>
      </c>
      <c r="F15" s="411"/>
      <c r="G15" s="411"/>
      <c r="H15" s="848"/>
      <c r="I15" s="849"/>
      <c r="J15" s="407"/>
      <c r="K15" s="407"/>
      <c r="L15" s="407"/>
      <c r="M15" s="407"/>
      <c r="N15" s="407"/>
      <c r="O15" s="407"/>
      <c r="P15" s="407"/>
      <c r="Q15" s="407"/>
      <c r="R15" s="407"/>
      <c r="S15" s="407"/>
      <c r="T15" s="407"/>
      <c r="U15" s="407"/>
      <c r="V15" s="407"/>
      <c r="W15" s="407"/>
      <c r="X15" s="407"/>
    </row>
    <row r="16" spans="1:24" ht="12.75" customHeight="1" x14ac:dyDescent="0.2">
      <c r="A16" s="407"/>
      <c r="B16" s="638">
        <f t="shared" si="2"/>
        <v>0</v>
      </c>
      <c r="C16" s="840"/>
      <c r="D16" s="852">
        <f t="shared" si="0"/>
        <v>0</v>
      </c>
      <c r="E16" s="641">
        <f t="shared" si="1"/>
        <v>0</v>
      </c>
      <c r="F16" s="411"/>
      <c r="G16" s="411"/>
      <c r="H16" s="848"/>
      <c r="I16" s="849"/>
      <c r="J16" s="407"/>
      <c r="K16" s="407"/>
      <c r="L16" s="407"/>
      <c r="M16" s="407"/>
      <c r="N16" s="407"/>
      <c r="O16" s="407"/>
      <c r="P16" s="407"/>
      <c r="Q16" s="407"/>
      <c r="R16" s="407"/>
      <c r="S16" s="407"/>
      <c r="T16" s="407"/>
      <c r="U16" s="407"/>
      <c r="V16" s="407"/>
      <c r="W16" s="407"/>
      <c r="X16" s="407"/>
    </row>
    <row r="17" spans="1:24" ht="12.75" customHeight="1" x14ac:dyDescent="0.2">
      <c r="A17" s="407"/>
      <c r="B17" s="638">
        <f t="shared" si="2"/>
        <v>0</v>
      </c>
      <c r="C17" s="840"/>
      <c r="D17" s="852">
        <f t="shared" si="0"/>
        <v>0</v>
      </c>
      <c r="E17" s="641">
        <f t="shared" si="1"/>
        <v>0</v>
      </c>
      <c r="F17" s="411"/>
      <c r="G17" s="411"/>
      <c r="H17" s="848"/>
      <c r="I17" s="849"/>
      <c r="J17" s="407"/>
      <c r="K17" s="407"/>
      <c r="L17" s="407"/>
      <c r="M17" s="407"/>
      <c r="N17" s="407"/>
      <c r="O17" s="407"/>
      <c r="P17" s="407"/>
      <c r="Q17" s="407"/>
      <c r="R17" s="407"/>
      <c r="S17" s="407"/>
      <c r="T17" s="407"/>
      <c r="U17" s="407"/>
      <c r="V17" s="407"/>
      <c r="W17" s="407"/>
      <c r="X17" s="407"/>
    </row>
    <row r="18" spans="1:24" ht="12.75" customHeight="1" x14ac:dyDescent="0.2">
      <c r="A18" s="407"/>
      <c r="B18" s="638">
        <f t="shared" si="2"/>
        <v>0</v>
      </c>
      <c r="C18" s="840"/>
      <c r="D18" s="852">
        <f t="shared" si="0"/>
        <v>0</v>
      </c>
      <c r="E18" s="641">
        <f t="shared" si="1"/>
        <v>0</v>
      </c>
      <c r="F18" s="411"/>
      <c r="G18" s="411"/>
      <c r="H18" s="848"/>
      <c r="I18" s="849"/>
      <c r="J18" s="407"/>
      <c r="K18" s="407"/>
      <c r="L18" s="407"/>
      <c r="M18" s="407"/>
      <c r="N18" s="407"/>
      <c r="O18" s="407"/>
      <c r="P18" s="407"/>
      <c r="Q18" s="407"/>
      <c r="R18" s="407"/>
      <c r="S18" s="407"/>
      <c r="T18" s="407"/>
      <c r="U18" s="407"/>
      <c r="V18" s="407"/>
      <c r="W18" s="407"/>
      <c r="X18" s="407"/>
    </row>
    <row r="19" spans="1:24" ht="12.75" customHeight="1" x14ac:dyDescent="0.2">
      <c r="A19" s="407"/>
      <c r="B19" s="638">
        <f t="shared" si="2"/>
        <v>0</v>
      </c>
      <c r="C19" s="840"/>
      <c r="D19" s="852">
        <f t="shared" si="0"/>
        <v>0</v>
      </c>
      <c r="E19" s="641">
        <f t="shared" si="1"/>
        <v>0</v>
      </c>
      <c r="F19" s="411"/>
      <c r="G19" s="411"/>
      <c r="H19" s="848"/>
      <c r="I19" s="849"/>
      <c r="J19" s="407"/>
      <c r="K19" s="407"/>
      <c r="L19" s="407"/>
      <c r="M19" s="407"/>
      <c r="N19" s="407"/>
      <c r="O19" s="407"/>
      <c r="P19" s="407"/>
      <c r="Q19" s="407"/>
      <c r="R19" s="407"/>
      <c r="S19" s="407"/>
      <c r="T19" s="407"/>
      <c r="U19" s="407"/>
      <c r="V19" s="407"/>
      <c r="W19" s="407"/>
      <c r="X19" s="407"/>
    </row>
    <row r="20" spans="1:24" ht="12.75" customHeight="1" x14ac:dyDescent="0.2">
      <c r="A20" s="407"/>
      <c r="B20" s="638">
        <f t="shared" si="2"/>
        <v>0</v>
      </c>
      <c r="C20" s="840"/>
      <c r="D20" s="852">
        <f t="shared" si="0"/>
        <v>0</v>
      </c>
      <c r="E20" s="641">
        <f t="shared" si="1"/>
        <v>0</v>
      </c>
      <c r="F20" s="411"/>
      <c r="G20" s="411"/>
      <c r="H20" s="848"/>
      <c r="I20" s="849"/>
      <c r="J20" s="407"/>
      <c r="K20" s="407"/>
      <c r="L20" s="407"/>
      <c r="M20" s="407"/>
      <c r="N20" s="407"/>
      <c r="O20" s="407"/>
      <c r="P20" s="407"/>
      <c r="Q20" s="407"/>
      <c r="R20" s="407"/>
      <c r="S20" s="407"/>
      <c r="T20" s="407"/>
      <c r="U20" s="407"/>
      <c r="V20" s="407"/>
      <c r="W20" s="407"/>
      <c r="X20" s="407"/>
    </row>
    <row r="21" spans="1:24" ht="12.75" customHeight="1" x14ac:dyDescent="0.2">
      <c r="A21" s="407"/>
      <c r="B21" s="638">
        <f t="shared" si="2"/>
        <v>0</v>
      </c>
      <c r="C21" s="840"/>
      <c r="D21" s="852">
        <f t="shared" si="0"/>
        <v>0</v>
      </c>
      <c r="E21" s="641">
        <f t="shared" si="1"/>
        <v>0</v>
      </c>
      <c r="F21" s="411"/>
      <c r="G21" s="411"/>
      <c r="H21" s="848"/>
      <c r="I21" s="849"/>
      <c r="J21" s="407"/>
      <c r="K21" s="407"/>
      <c r="L21" s="407"/>
      <c r="M21" s="407"/>
      <c r="N21" s="407"/>
      <c r="O21" s="407"/>
      <c r="P21" s="407"/>
      <c r="Q21" s="407"/>
      <c r="R21" s="407"/>
      <c r="S21" s="407"/>
      <c r="T21" s="407"/>
      <c r="U21" s="407"/>
      <c r="V21" s="407"/>
      <c r="W21" s="407"/>
      <c r="X21" s="407"/>
    </row>
    <row r="22" spans="1:24" ht="12.75" customHeight="1" x14ac:dyDescent="0.2">
      <c r="A22" s="407"/>
      <c r="B22" s="638">
        <f t="shared" si="2"/>
        <v>0</v>
      </c>
      <c r="C22" s="840"/>
      <c r="D22" s="852">
        <f t="shared" si="0"/>
        <v>0</v>
      </c>
      <c r="E22" s="641">
        <f t="shared" si="1"/>
        <v>0</v>
      </c>
      <c r="F22" s="411"/>
      <c r="G22" s="411"/>
      <c r="H22" s="848"/>
      <c r="I22" s="849"/>
      <c r="J22" s="407"/>
      <c r="K22" s="407"/>
      <c r="L22" s="407"/>
      <c r="M22" s="407"/>
      <c r="N22" s="407"/>
      <c r="O22" s="407"/>
      <c r="P22" s="407"/>
      <c r="Q22" s="407"/>
      <c r="R22" s="407"/>
      <c r="S22" s="407"/>
      <c r="T22" s="407"/>
      <c r="U22" s="407"/>
      <c r="V22" s="407"/>
      <c r="W22" s="407"/>
      <c r="X22" s="407"/>
    </row>
    <row r="23" spans="1:24" ht="12.75" customHeight="1" x14ac:dyDescent="0.2">
      <c r="A23" s="407"/>
      <c r="B23" s="638">
        <f t="shared" si="2"/>
        <v>0</v>
      </c>
      <c r="C23" s="840"/>
      <c r="D23" s="852">
        <f t="shared" si="0"/>
        <v>0</v>
      </c>
      <c r="E23" s="641">
        <f t="shared" si="1"/>
        <v>0</v>
      </c>
      <c r="F23" s="411"/>
      <c r="G23" s="411"/>
      <c r="H23" s="848"/>
      <c r="I23" s="849"/>
      <c r="J23" s="407"/>
      <c r="K23" s="407"/>
      <c r="L23" s="407"/>
      <c r="M23" s="407"/>
      <c r="N23" s="407"/>
      <c r="O23" s="407"/>
      <c r="P23" s="407"/>
      <c r="Q23" s="407"/>
      <c r="R23" s="407"/>
      <c r="S23" s="407"/>
      <c r="T23" s="407"/>
      <c r="U23" s="407"/>
      <c r="V23" s="407"/>
      <c r="W23" s="407"/>
      <c r="X23" s="407"/>
    </row>
    <row r="24" spans="1:24" ht="12.75" customHeight="1" x14ac:dyDescent="0.2">
      <c r="A24" s="407"/>
      <c r="B24" s="638">
        <f t="shared" si="2"/>
        <v>0</v>
      </c>
      <c r="C24" s="840"/>
      <c r="D24" s="852">
        <f t="shared" si="0"/>
        <v>0</v>
      </c>
      <c r="E24" s="641">
        <f t="shared" si="1"/>
        <v>0</v>
      </c>
      <c r="F24" s="411"/>
      <c r="G24" s="411"/>
      <c r="H24" s="848"/>
      <c r="I24" s="849"/>
      <c r="J24" s="407"/>
      <c r="K24" s="407"/>
      <c r="L24" s="407"/>
      <c r="M24" s="407"/>
      <c r="N24" s="407"/>
      <c r="O24" s="407"/>
      <c r="P24" s="407"/>
      <c r="Q24" s="407"/>
      <c r="R24" s="407"/>
      <c r="S24" s="407"/>
      <c r="T24" s="407"/>
      <c r="U24" s="407"/>
      <c r="V24" s="407"/>
      <c r="W24" s="407"/>
      <c r="X24" s="407"/>
    </row>
    <row r="25" spans="1:24" ht="12.75" customHeight="1" x14ac:dyDescent="0.2">
      <c r="A25" s="407"/>
      <c r="B25" s="638">
        <f t="shared" si="2"/>
        <v>0</v>
      </c>
      <c r="C25" s="840"/>
      <c r="D25" s="852">
        <f t="shared" si="0"/>
        <v>0</v>
      </c>
      <c r="E25" s="641">
        <f t="shared" si="1"/>
        <v>0</v>
      </c>
      <c r="F25" s="411"/>
      <c r="G25" s="411"/>
      <c r="H25" s="848"/>
      <c r="I25" s="849"/>
      <c r="J25" s="407"/>
      <c r="K25" s="407"/>
      <c r="L25" s="407"/>
      <c r="M25" s="407"/>
      <c r="N25" s="407"/>
      <c r="O25" s="407"/>
      <c r="P25" s="407"/>
      <c r="Q25" s="407"/>
      <c r="R25" s="407"/>
      <c r="S25" s="407"/>
      <c r="T25" s="407"/>
      <c r="U25" s="407"/>
      <c r="V25" s="407"/>
      <c r="W25" s="407"/>
      <c r="X25" s="407"/>
    </row>
    <row r="26" spans="1:24" ht="12.75" customHeight="1" x14ac:dyDescent="0.2">
      <c r="A26" s="407"/>
      <c r="B26" s="638">
        <f t="shared" si="2"/>
        <v>0</v>
      </c>
      <c r="C26" s="840"/>
      <c r="D26" s="852">
        <f t="shared" si="0"/>
        <v>0</v>
      </c>
      <c r="E26" s="641">
        <f t="shared" si="1"/>
        <v>0</v>
      </c>
      <c r="F26" s="411"/>
      <c r="G26" s="411"/>
      <c r="H26" s="848"/>
      <c r="I26" s="849"/>
      <c r="J26" s="407"/>
      <c r="K26" s="407"/>
      <c r="L26" s="407"/>
      <c r="M26" s="407"/>
      <c r="N26" s="407"/>
      <c r="O26" s="407"/>
      <c r="P26" s="407"/>
      <c r="Q26" s="407"/>
      <c r="R26" s="407"/>
      <c r="S26" s="407"/>
      <c r="T26" s="407"/>
      <c r="U26" s="407"/>
      <c r="V26" s="407"/>
      <c r="W26" s="407"/>
      <c r="X26" s="407"/>
    </row>
    <row r="27" spans="1:24" ht="12.75" customHeight="1" x14ac:dyDescent="0.2">
      <c r="A27" s="407"/>
      <c r="B27" s="638">
        <f t="shared" si="2"/>
        <v>0</v>
      </c>
      <c r="C27" s="840"/>
      <c r="D27" s="852">
        <f t="shared" si="0"/>
        <v>0</v>
      </c>
      <c r="E27" s="641">
        <f t="shared" si="1"/>
        <v>0</v>
      </c>
      <c r="F27" s="411"/>
      <c r="G27" s="411"/>
      <c r="H27" s="848"/>
      <c r="I27" s="849"/>
      <c r="J27" s="407"/>
      <c r="K27" s="407"/>
      <c r="L27" s="407"/>
      <c r="M27" s="407"/>
      <c r="N27" s="407"/>
      <c r="O27" s="407"/>
      <c r="P27" s="407"/>
      <c r="Q27" s="407"/>
      <c r="R27" s="407"/>
      <c r="S27" s="407"/>
      <c r="T27" s="407"/>
      <c r="U27" s="407"/>
      <c r="V27" s="407"/>
      <c r="W27" s="407"/>
      <c r="X27" s="407"/>
    </row>
    <row r="28" spans="1:24" ht="12.75" customHeight="1" x14ac:dyDescent="0.2">
      <c r="A28" s="407"/>
      <c r="B28" s="638">
        <f t="shared" si="2"/>
        <v>0</v>
      </c>
      <c r="C28" s="840"/>
      <c r="D28" s="852">
        <f t="shared" si="0"/>
        <v>0</v>
      </c>
      <c r="E28" s="641">
        <f t="shared" si="1"/>
        <v>0</v>
      </c>
      <c r="F28" s="411"/>
      <c r="G28" s="411"/>
      <c r="H28" s="848"/>
      <c r="I28" s="849"/>
      <c r="J28" s="407"/>
      <c r="K28" s="407"/>
      <c r="L28" s="407"/>
      <c r="M28" s="407"/>
      <c r="N28" s="407"/>
      <c r="O28" s="407"/>
      <c r="P28" s="407"/>
      <c r="Q28" s="407"/>
      <c r="R28" s="407"/>
      <c r="S28" s="407"/>
      <c r="T28" s="407"/>
      <c r="U28" s="407"/>
      <c r="V28" s="407"/>
      <c r="W28" s="407"/>
      <c r="X28" s="407"/>
    </row>
    <row r="29" spans="1:24" ht="12.75" customHeight="1" x14ac:dyDescent="0.2">
      <c r="A29" s="407"/>
      <c r="B29" s="638">
        <f t="shared" si="2"/>
        <v>0</v>
      </c>
      <c r="C29" s="840"/>
      <c r="D29" s="852">
        <f t="shared" si="0"/>
        <v>0</v>
      </c>
      <c r="E29" s="641">
        <f t="shared" si="1"/>
        <v>0</v>
      </c>
      <c r="F29" s="411"/>
      <c r="G29" s="411"/>
      <c r="H29" s="848"/>
      <c r="I29" s="849"/>
      <c r="J29" s="407"/>
      <c r="K29" s="407"/>
      <c r="L29" s="407"/>
      <c r="M29" s="407"/>
      <c r="N29" s="407"/>
      <c r="O29" s="407"/>
      <c r="P29" s="407"/>
      <c r="Q29" s="407"/>
      <c r="R29" s="407"/>
      <c r="S29" s="407"/>
      <c r="T29" s="407"/>
      <c r="U29" s="407"/>
      <c r="V29" s="407"/>
      <c r="W29" s="407"/>
      <c r="X29" s="407"/>
    </row>
    <row r="30" spans="1:24" ht="12.75" customHeight="1" x14ac:dyDescent="0.2">
      <c r="A30" s="407"/>
      <c r="B30" s="638">
        <f t="shared" si="2"/>
        <v>0</v>
      </c>
      <c r="C30" s="840"/>
      <c r="D30" s="852">
        <f t="shared" si="0"/>
        <v>0</v>
      </c>
      <c r="E30" s="641">
        <f t="shared" si="1"/>
        <v>0</v>
      </c>
      <c r="F30" s="411"/>
      <c r="G30" s="411"/>
      <c r="H30" s="848"/>
      <c r="I30" s="849"/>
      <c r="J30" s="407"/>
      <c r="K30" s="407"/>
      <c r="L30" s="407"/>
      <c r="M30" s="407"/>
      <c r="N30" s="407"/>
      <c r="O30" s="407"/>
      <c r="P30" s="407"/>
      <c r="Q30" s="407"/>
      <c r="R30" s="407"/>
      <c r="S30" s="407"/>
      <c r="T30" s="407"/>
      <c r="U30" s="407"/>
      <c r="V30" s="407"/>
      <c r="W30" s="407"/>
      <c r="X30" s="407"/>
    </row>
    <row r="31" spans="1:24" ht="12.75" customHeight="1" x14ac:dyDescent="0.2">
      <c r="A31" s="407"/>
      <c r="B31" s="638">
        <f t="shared" si="2"/>
        <v>0</v>
      </c>
      <c r="C31" s="840"/>
      <c r="D31" s="852">
        <f t="shared" si="0"/>
        <v>0</v>
      </c>
      <c r="E31" s="641">
        <f t="shared" si="1"/>
        <v>0</v>
      </c>
      <c r="F31" s="411"/>
      <c r="G31" s="411"/>
      <c r="H31" s="848"/>
      <c r="I31" s="849"/>
      <c r="J31" s="407"/>
      <c r="K31" s="407"/>
      <c r="L31" s="407"/>
      <c r="M31" s="407"/>
      <c r="N31" s="407"/>
      <c r="O31" s="407"/>
      <c r="P31" s="407"/>
      <c r="Q31" s="407"/>
      <c r="R31" s="407"/>
      <c r="S31" s="407"/>
      <c r="T31" s="407"/>
      <c r="U31" s="407"/>
      <c r="V31" s="407"/>
      <c r="W31" s="407"/>
      <c r="X31" s="407"/>
    </row>
    <row r="32" spans="1:24" ht="12.75" customHeight="1" x14ac:dyDescent="0.2">
      <c r="A32" s="407"/>
      <c r="B32" s="638">
        <f t="shared" si="2"/>
        <v>0</v>
      </c>
      <c r="C32" s="840"/>
      <c r="D32" s="852">
        <f t="shared" si="0"/>
        <v>0</v>
      </c>
      <c r="E32" s="641">
        <f t="shared" si="1"/>
        <v>0</v>
      </c>
      <c r="F32" s="411"/>
      <c r="G32" s="411"/>
      <c r="H32" s="848"/>
      <c r="I32" s="849"/>
      <c r="J32" s="407"/>
      <c r="K32" s="407"/>
      <c r="L32" s="407"/>
      <c r="M32" s="407"/>
      <c r="N32" s="407"/>
      <c r="O32" s="407"/>
      <c r="P32" s="407"/>
      <c r="Q32" s="407"/>
      <c r="R32" s="407"/>
      <c r="S32" s="407"/>
      <c r="T32" s="407"/>
      <c r="U32" s="407"/>
      <c r="V32" s="407"/>
      <c r="W32" s="407"/>
      <c r="X32" s="407"/>
    </row>
    <row r="33" spans="1:24" ht="12.75" customHeight="1" x14ac:dyDescent="0.2">
      <c r="A33" s="407"/>
      <c r="B33" s="638">
        <f t="shared" si="2"/>
        <v>0</v>
      </c>
      <c r="C33" s="840"/>
      <c r="D33" s="852">
        <f t="shared" si="0"/>
        <v>0</v>
      </c>
      <c r="E33" s="641">
        <f t="shared" si="1"/>
        <v>0</v>
      </c>
      <c r="F33" s="411"/>
      <c r="G33" s="411"/>
      <c r="H33" s="848"/>
      <c r="I33" s="849"/>
      <c r="J33" s="412"/>
      <c r="K33" s="412"/>
      <c r="L33" s="412"/>
      <c r="M33" s="412"/>
      <c r="N33" s="407"/>
      <c r="O33" s="407"/>
      <c r="P33" s="407"/>
      <c r="Q33" s="407"/>
      <c r="R33" s="407"/>
      <c r="S33" s="407"/>
      <c r="T33" s="407"/>
      <c r="U33" s="407"/>
      <c r="V33" s="407"/>
      <c r="W33" s="407"/>
      <c r="X33" s="407"/>
    </row>
    <row r="34" spans="1:24" ht="12.75" customHeight="1" x14ac:dyDescent="0.2">
      <c r="A34" s="407"/>
      <c r="B34" s="638">
        <f t="shared" si="2"/>
        <v>0</v>
      </c>
      <c r="C34" s="840"/>
      <c r="D34" s="852">
        <f t="shared" si="0"/>
        <v>0</v>
      </c>
      <c r="E34" s="641">
        <f t="shared" si="1"/>
        <v>0</v>
      </c>
      <c r="F34" s="411"/>
      <c r="G34" s="411"/>
      <c r="H34" s="848"/>
      <c r="I34" s="849"/>
      <c r="J34" s="407"/>
      <c r="K34" s="407"/>
      <c r="L34" s="407"/>
      <c r="M34" s="407"/>
      <c r="N34" s="407"/>
      <c r="O34" s="407"/>
      <c r="P34" s="407"/>
      <c r="Q34" s="407"/>
      <c r="R34" s="407"/>
      <c r="S34" s="407"/>
      <c r="T34" s="407"/>
      <c r="U34" s="407"/>
      <c r="V34" s="407"/>
      <c r="W34" s="407"/>
      <c r="X34" s="407"/>
    </row>
    <row r="35" spans="1:24" ht="12.75" customHeight="1" x14ac:dyDescent="0.2">
      <c r="A35" s="407"/>
      <c r="B35" s="638">
        <f t="shared" si="2"/>
        <v>0</v>
      </c>
      <c r="C35" s="840"/>
      <c r="D35" s="852">
        <f t="shared" si="0"/>
        <v>0</v>
      </c>
      <c r="E35" s="641">
        <f t="shared" si="1"/>
        <v>0</v>
      </c>
      <c r="F35" s="411"/>
      <c r="G35" s="411"/>
      <c r="H35" s="848"/>
      <c r="I35" s="849"/>
      <c r="J35" s="407"/>
      <c r="K35" s="407"/>
      <c r="L35" s="407"/>
      <c r="M35" s="407"/>
      <c r="N35" s="407"/>
      <c r="O35" s="407"/>
      <c r="P35" s="407"/>
      <c r="Q35" s="407"/>
      <c r="R35" s="407"/>
      <c r="S35" s="407"/>
      <c r="T35" s="407"/>
      <c r="U35" s="407"/>
      <c r="V35" s="407"/>
      <c r="W35" s="407"/>
      <c r="X35" s="407"/>
    </row>
    <row r="36" spans="1:24" ht="12.75" customHeight="1" x14ac:dyDescent="0.2">
      <c r="A36" s="407"/>
      <c r="B36" s="638">
        <f t="shared" si="2"/>
        <v>0</v>
      </c>
      <c r="C36" s="840"/>
      <c r="D36" s="852">
        <f t="shared" si="0"/>
        <v>0</v>
      </c>
      <c r="E36" s="641">
        <f t="shared" si="1"/>
        <v>0</v>
      </c>
      <c r="F36" s="411"/>
      <c r="G36" s="411"/>
      <c r="H36" s="848"/>
      <c r="I36" s="849"/>
      <c r="J36" s="407"/>
      <c r="K36" s="407"/>
      <c r="L36" s="407"/>
      <c r="M36" s="407"/>
      <c r="N36" s="407"/>
      <c r="O36" s="407"/>
      <c r="P36" s="407"/>
      <c r="Q36" s="407"/>
      <c r="R36" s="407"/>
      <c r="S36" s="407"/>
      <c r="T36" s="407"/>
      <c r="U36" s="407"/>
      <c r="V36" s="407"/>
      <c r="W36" s="407"/>
      <c r="X36" s="407"/>
    </row>
    <row r="37" spans="1:24" ht="12.75" customHeight="1" x14ac:dyDescent="0.2">
      <c r="A37" s="407"/>
      <c r="B37" s="638">
        <f t="shared" si="2"/>
        <v>0</v>
      </c>
      <c r="C37" s="840"/>
      <c r="D37" s="852">
        <f t="shared" si="0"/>
        <v>0</v>
      </c>
      <c r="E37" s="641">
        <f t="shared" si="1"/>
        <v>0</v>
      </c>
      <c r="F37" s="411"/>
      <c r="G37" s="411"/>
      <c r="H37" s="848"/>
      <c r="I37" s="849"/>
      <c r="J37" s="407"/>
      <c r="K37" s="407"/>
      <c r="L37" s="407"/>
      <c r="M37" s="407"/>
      <c r="N37" s="407"/>
      <c r="O37" s="407"/>
      <c r="P37" s="407"/>
      <c r="Q37" s="407"/>
      <c r="R37" s="407"/>
      <c r="S37" s="407"/>
      <c r="T37" s="407"/>
      <c r="U37" s="407"/>
      <c r="V37" s="407"/>
      <c r="W37" s="407"/>
      <c r="X37" s="407"/>
    </row>
    <row r="38" spans="1:24" ht="12.75" customHeight="1" x14ac:dyDescent="0.2">
      <c r="A38" s="407"/>
      <c r="B38" s="638">
        <f t="shared" si="2"/>
        <v>0</v>
      </c>
      <c r="C38" s="840"/>
      <c r="D38" s="852">
        <f t="shared" si="0"/>
        <v>0</v>
      </c>
      <c r="E38" s="641">
        <f t="shared" si="1"/>
        <v>0</v>
      </c>
      <c r="F38" s="411"/>
      <c r="G38" s="411"/>
      <c r="H38" s="848"/>
      <c r="I38" s="849"/>
      <c r="J38" s="1545"/>
      <c r="K38" s="1545"/>
      <c r="L38" s="1545"/>
      <c r="M38" s="1545"/>
      <c r="N38" s="407"/>
      <c r="O38" s="407"/>
      <c r="P38" s="407"/>
      <c r="Q38" s="407"/>
      <c r="R38" s="407"/>
      <c r="S38" s="407"/>
      <c r="T38" s="407"/>
      <c r="U38" s="407"/>
      <c r="V38" s="407"/>
      <c r="W38" s="407"/>
      <c r="X38" s="407"/>
    </row>
    <row r="39" spans="1:24" ht="12.75" customHeight="1" x14ac:dyDescent="0.2">
      <c r="A39" s="407"/>
      <c r="B39" s="638">
        <f t="shared" si="2"/>
        <v>0</v>
      </c>
      <c r="C39" s="840"/>
      <c r="D39" s="852">
        <f t="shared" si="0"/>
        <v>0</v>
      </c>
      <c r="E39" s="641">
        <f t="shared" si="1"/>
        <v>0</v>
      </c>
      <c r="F39" s="411"/>
      <c r="G39" s="411"/>
      <c r="H39" s="848"/>
      <c r="I39" s="849"/>
      <c r="J39" s="407"/>
      <c r="K39" s="407"/>
      <c r="L39" s="407"/>
      <c r="M39" s="407"/>
      <c r="N39" s="407"/>
      <c r="O39" s="407"/>
      <c r="P39" s="407"/>
      <c r="Q39" s="407"/>
      <c r="R39" s="407"/>
      <c r="S39" s="407"/>
      <c r="T39" s="407"/>
      <c r="U39" s="407"/>
      <c r="V39" s="407"/>
      <c r="W39" s="407"/>
      <c r="X39" s="407"/>
    </row>
    <row r="40" spans="1:24" ht="12.75" customHeight="1" x14ac:dyDescent="0.2">
      <c r="A40" s="407"/>
      <c r="B40" s="638">
        <f t="shared" si="2"/>
        <v>0</v>
      </c>
      <c r="C40" s="840"/>
      <c r="D40" s="852">
        <f t="shared" si="0"/>
        <v>0</v>
      </c>
      <c r="E40" s="641">
        <f t="shared" si="1"/>
        <v>0</v>
      </c>
      <c r="F40" s="411"/>
      <c r="G40" s="411"/>
      <c r="H40" s="848"/>
      <c r="I40" s="849"/>
      <c r="J40" s="407"/>
      <c r="K40" s="407"/>
      <c r="L40" s="407"/>
      <c r="M40" s="407"/>
      <c r="N40" s="407"/>
      <c r="O40" s="407"/>
      <c r="P40" s="407"/>
      <c r="Q40" s="407"/>
      <c r="R40" s="407"/>
      <c r="S40" s="407"/>
      <c r="T40" s="407"/>
      <c r="U40" s="407"/>
      <c r="V40" s="407"/>
      <c r="W40" s="407"/>
      <c r="X40" s="407"/>
    </row>
    <row r="41" spans="1:24" ht="12.75" customHeight="1" x14ac:dyDescent="0.2">
      <c r="A41" s="407"/>
      <c r="B41" s="638">
        <f t="shared" si="2"/>
        <v>0</v>
      </c>
      <c r="C41" s="840"/>
      <c r="D41" s="852">
        <f t="shared" si="0"/>
        <v>0</v>
      </c>
      <c r="E41" s="641">
        <f t="shared" si="1"/>
        <v>0</v>
      </c>
      <c r="F41" s="411"/>
      <c r="G41" s="411"/>
      <c r="H41" s="848"/>
      <c r="I41" s="849"/>
      <c r="J41" s="407"/>
      <c r="K41" s="407"/>
      <c r="L41" s="407"/>
      <c r="M41" s="407"/>
      <c r="N41" s="407"/>
      <c r="O41" s="407"/>
      <c r="P41" s="407"/>
      <c r="Q41" s="407"/>
      <c r="R41" s="407"/>
      <c r="S41" s="407"/>
      <c r="T41" s="407"/>
      <c r="U41" s="407"/>
      <c r="V41" s="407"/>
      <c r="W41" s="407"/>
      <c r="X41" s="407"/>
    </row>
    <row r="42" spans="1:24" ht="12.75" customHeight="1" x14ac:dyDescent="0.2">
      <c r="A42" s="407"/>
      <c r="B42" s="638">
        <f t="shared" si="2"/>
        <v>0</v>
      </c>
      <c r="C42" s="840"/>
      <c r="D42" s="852">
        <f t="shared" si="0"/>
        <v>0</v>
      </c>
      <c r="E42" s="641">
        <f t="shared" si="1"/>
        <v>0</v>
      </c>
      <c r="F42" s="411"/>
      <c r="G42" s="411"/>
      <c r="H42" s="848"/>
      <c r="I42" s="849"/>
      <c r="J42" s="1545"/>
      <c r="K42" s="1545"/>
      <c r="L42" s="1545"/>
      <c r="M42" s="1545"/>
      <c r="N42" s="407"/>
      <c r="O42" s="407"/>
      <c r="P42" s="407"/>
      <c r="Q42" s="407"/>
      <c r="R42" s="407"/>
      <c r="S42" s="407"/>
      <c r="T42" s="407"/>
      <c r="U42" s="407"/>
      <c r="V42" s="407"/>
      <c r="W42" s="407"/>
      <c r="X42" s="407"/>
    </row>
    <row r="43" spans="1:24" ht="12.75" customHeight="1" x14ac:dyDescent="0.2">
      <c r="A43" s="407"/>
      <c r="B43" s="638">
        <f t="shared" si="2"/>
        <v>0</v>
      </c>
      <c r="C43" s="840"/>
      <c r="D43" s="852">
        <f t="shared" si="0"/>
        <v>0</v>
      </c>
      <c r="E43" s="641">
        <f t="shared" si="1"/>
        <v>0</v>
      </c>
      <c r="F43" s="411"/>
      <c r="G43" s="411"/>
      <c r="H43" s="848"/>
      <c r="I43" s="849"/>
      <c r="J43" s="407"/>
      <c r="K43" s="407"/>
      <c r="L43" s="407"/>
      <c r="M43" s="407"/>
      <c r="N43" s="407"/>
      <c r="O43" s="407"/>
      <c r="P43" s="407"/>
      <c r="Q43" s="407"/>
      <c r="R43" s="407"/>
      <c r="S43" s="407"/>
      <c r="T43" s="407"/>
      <c r="U43" s="407"/>
      <c r="V43" s="407"/>
      <c r="W43" s="407"/>
      <c r="X43" s="407"/>
    </row>
    <row r="44" spans="1:24" ht="12.75" customHeight="1" x14ac:dyDescent="0.2">
      <c r="A44" s="407"/>
      <c r="B44" s="638">
        <f t="shared" si="2"/>
        <v>0</v>
      </c>
      <c r="C44" s="840"/>
      <c r="D44" s="852">
        <f t="shared" si="0"/>
        <v>0</v>
      </c>
      <c r="E44" s="641">
        <f t="shared" si="1"/>
        <v>0</v>
      </c>
      <c r="F44" s="411"/>
      <c r="G44" s="411"/>
      <c r="H44" s="848"/>
      <c r="I44" s="849"/>
      <c r="J44" s="407"/>
      <c r="K44" s="407"/>
      <c r="L44" s="407"/>
      <c r="M44" s="407"/>
      <c r="N44" s="407"/>
      <c r="O44" s="407"/>
      <c r="P44" s="407"/>
      <c r="Q44" s="407"/>
      <c r="R44" s="407"/>
      <c r="S44" s="407"/>
      <c r="T44" s="407"/>
      <c r="U44" s="407"/>
      <c r="V44" s="407"/>
      <c r="W44" s="407"/>
      <c r="X44" s="407"/>
    </row>
    <row r="45" spans="1:24" ht="12.75" customHeight="1" x14ac:dyDescent="0.2">
      <c r="A45" s="407"/>
      <c r="B45" s="638">
        <f t="shared" si="2"/>
        <v>0</v>
      </c>
      <c r="C45" s="840"/>
      <c r="D45" s="852">
        <f t="shared" si="0"/>
        <v>0</v>
      </c>
      <c r="E45" s="641">
        <f t="shared" si="1"/>
        <v>0</v>
      </c>
      <c r="F45" s="411"/>
      <c r="G45" s="411"/>
      <c r="H45" s="848"/>
      <c r="I45" s="849"/>
      <c r="J45" s="407"/>
      <c r="K45" s="407"/>
      <c r="L45" s="407"/>
      <c r="M45" s="407"/>
      <c r="N45" s="407"/>
      <c r="O45" s="407"/>
      <c r="P45" s="407"/>
      <c r="Q45" s="407"/>
      <c r="R45" s="407"/>
      <c r="S45" s="407"/>
      <c r="T45" s="407"/>
      <c r="U45" s="407"/>
      <c r="V45" s="407"/>
      <c r="W45" s="407"/>
      <c r="X45" s="407"/>
    </row>
    <row r="46" spans="1:24" ht="12.75" customHeight="1" x14ac:dyDescent="0.2">
      <c r="A46" s="407"/>
      <c r="B46" s="638">
        <f t="shared" si="2"/>
        <v>0</v>
      </c>
      <c r="C46" s="840"/>
      <c r="D46" s="852">
        <f t="shared" si="0"/>
        <v>0</v>
      </c>
      <c r="E46" s="641">
        <f t="shared" si="1"/>
        <v>0</v>
      </c>
      <c r="F46" s="411"/>
      <c r="G46" s="411"/>
      <c r="H46" s="848"/>
      <c r="I46" s="849"/>
      <c r="J46" s="1545"/>
      <c r="K46" s="1545"/>
      <c r="L46" s="1545"/>
      <c r="M46" s="1545"/>
      <c r="N46" s="407"/>
      <c r="O46" s="407"/>
      <c r="P46" s="407"/>
      <c r="Q46" s="407"/>
      <c r="R46" s="407"/>
      <c r="S46" s="407"/>
      <c r="T46" s="407"/>
      <c r="U46" s="407"/>
      <c r="V46" s="407"/>
      <c r="W46" s="407"/>
      <c r="X46" s="407"/>
    </row>
    <row r="47" spans="1:24" ht="12.75" customHeight="1" thickBot="1" x14ac:dyDescent="0.25">
      <c r="A47" s="407"/>
      <c r="B47" s="638">
        <f t="shared" si="2"/>
        <v>0</v>
      </c>
      <c r="C47" s="840"/>
      <c r="D47" s="852">
        <f t="shared" si="0"/>
        <v>0</v>
      </c>
      <c r="E47" s="641">
        <f t="shared" si="1"/>
        <v>0</v>
      </c>
      <c r="F47" s="411"/>
      <c r="G47" s="411"/>
      <c r="H47" s="434"/>
      <c r="I47" s="435"/>
      <c r="J47" s="407"/>
      <c r="K47" s="407"/>
      <c r="L47" s="407"/>
      <c r="M47" s="407"/>
      <c r="N47" s="407"/>
      <c r="O47" s="407"/>
      <c r="P47" s="407"/>
      <c r="Q47" s="407"/>
      <c r="R47" s="407"/>
      <c r="S47" s="407"/>
      <c r="T47" s="407"/>
      <c r="U47" s="407"/>
      <c r="V47" s="407"/>
      <c r="W47" s="407"/>
      <c r="X47" s="407"/>
    </row>
    <row r="48" spans="1:24" ht="12.75" customHeight="1" thickBot="1" x14ac:dyDescent="0.25">
      <c r="A48" s="407"/>
      <c r="B48" s="646"/>
      <c r="C48" s="841" t="s">
        <v>34</v>
      </c>
      <c r="D48" s="847">
        <f>SUM(D5:D47)</f>
        <v>0</v>
      </c>
      <c r="E48" s="842">
        <f>SUM(E5:E47)</f>
        <v>0</v>
      </c>
      <c r="F48" s="843"/>
      <c r="G48" s="843"/>
      <c r="H48" s="406"/>
      <c r="I48" s="407"/>
      <c r="J48" s="407"/>
      <c r="K48" s="407"/>
      <c r="L48" s="407"/>
      <c r="M48" s="407"/>
      <c r="N48" s="407"/>
      <c r="O48" s="407"/>
      <c r="P48" s="407"/>
      <c r="Q48" s="407"/>
      <c r="R48" s="407"/>
      <c r="S48" s="407"/>
      <c r="T48" s="407"/>
      <c r="U48" s="407"/>
      <c r="V48" s="407"/>
      <c r="W48" s="407"/>
      <c r="X48" s="407"/>
    </row>
    <row r="49" spans="1:24" ht="12.75" customHeight="1" x14ac:dyDescent="0.2">
      <c r="A49" s="407"/>
      <c r="B49" s="653"/>
      <c r="C49" s="846"/>
      <c r="D49" s="846"/>
      <c r="E49" s="843"/>
      <c r="F49" s="843"/>
      <c r="G49" s="843"/>
      <c r="H49" s="406"/>
      <c r="I49" s="407"/>
      <c r="J49" s="407"/>
      <c r="K49" s="407"/>
      <c r="L49" s="407"/>
      <c r="M49" s="407"/>
      <c r="N49" s="407"/>
      <c r="O49" s="407"/>
      <c r="P49" s="407"/>
      <c r="Q49" s="407"/>
      <c r="R49" s="407"/>
      <c r="S49" s="407"/>
      <c r="T49" s="407"/>
      <c r="U49" s="407"/>
      <c r="V49" s="407"/>
      <c r="W49" s="407"/>
      <c r="X49" s="407"/>
    </row>
    <row r="50" spans="1:24" ht="12.75" customHeight="1" x14ac:dyDescent="0.2">
      <c r="A50" s="407"/>
      <c r="B50" s="424" t="s">
        <v>58</v>
      </c>
      <c r="C50" s="412"/>
      <c r="D50" s="412"/>
      <c r="E50" s="407"/>
      <c r="F50" s="407"/>
      <c r="G50" s="407"/>
      <c r="H50" s="407"/>
      <c r="I50" s="407"/>
      <c r="K50" s="407"/>
      <c r="L50" s="407"/>
      <c r="M50" s="407"/>
      <c r="N50" s="407"/>
      <c r="O50" s="407"/>
      <c r="P50" s="407"/>
      <c r="Q50" s="407"/>
      <c r="R50" s="407"/>
      <c r="S50" s="407"/>
      <c r="T50" s="407"/>
      <c r="U50" s="407"/>
      <c r="V50" s="407"/>
      <c r="W50" s="407"/>
      <c r="X50" s="407"/>
    </row>
    <row r="51" spans="1:24" ht="51" customHeight="1" x14ac:dyDescent="0.2">
      <c r="A51" s="407"/>
      <c r="B51" s="1535" t="s">
        <v>556</v>
      </c>
      <c r="C51" s="1291"/>
      <c r="D51" s="1291"/>
      <c r="E51" s="1291"/>
      <c r="F51" s="844"/>
      <c r="G51" s="844"/>
      <c r="H51" s="656"/>
      <c r="I51" s="407"/>
      <c r="K51" s="407"/>
      <c r="L51" s="407"/>
      <c r="M51" s="407"/>
      <c r="N51" s="407"/>
      <c r="O51" s="407"/>
      <c r="P51" s="407"/>
      <c r="Q51" s="407"/>
      <c r="R51" s="407"/>
      <c r="S51" s="407"/>
      <c r="T51" s="407"/>
      <c r="U51" s="407"/>
      <c r="V51" s="407"/>
      <c r="W51" s="407"/>
      <c r="X51" s="407"/>
    </row>
    <row r="52" spans="1:24" ht="6.75" customHeight="1" x14ac:dyDescent="0.2">
      <c r="A52" s="407"/>
      <c r="B52" s="407"/>
      <c r="C52" s="412"/>
      <c r="D52" s="412"/>
      <c r="E52" s="407"/>
      <c r="F52" s="407"/>
      <c r="G52" s="407"/>
      <c r="H52" s="407"/>
      <c r="I52" s="407"/>
      <c r="K52" s="407"/>
      <c r="L52" s="407"/>
      <c r="M52" s="407"/>
      <c r="N52" s="407"/>
      <c r="O52" s="407"/>
      <c r="P52" s="407"/>
      <c r="Q52" s="407"/>
      <c r="R52" s="407"/>
      <c r="S52" s="407"/>
      <c r="T52" s="407"/>
      <c r="U52" s="407"/>
      <c r="V52" s="407"/>
      <c r="W52" s="407"/>
      <c r="X52" s="407"/>
    </row>
    <row r="53" spans="1:24" x14ac:dyDescent="0.2">
      <c r="A53" s="407"/>
      <c r="B53" s="407"/>
      <c r="C53" s="412"/>
      <c r="D53" s="412"/>
      <c r="E53" s="407"/>
      <c r="F53" s="407"/>
      <c r="G53" s="407"/>
      <c r="H53" s="407"/>
      <c r="I53" s="407"/>
      <c r="J53" s="407"/>
      <c r="K53" s="407"/>
      <c r="L53" s="407"/>
      <c r="M53" s="407"/>
      <c r="N53" s="407"/>
      <c r="O53" s="407"/>
      <c r="P53" s="407"/>
      <c r="Q53" s="407"/>
      <c r="R53" s="407"/>
      <c r="S53" s="407"/>
      <c r="T53" s="407"/>
      <c r="U53" s="407"/>
      <c r="V53" s="407"/>
      <c r="W53" s="407"/>
      <c r="X53" s="407"/>
    </row>
    <row r="54" spans="1:24" x14ac:dyDescent="0.2">
      <c r="A54" s="407"/>
      <c r="B54" s="407"/>
      <c r="C54" s="412"/>
      <c r="D54" s="412"/>
      <c r="E54" s="407"/>
      <c r="F54" s="407"/>
      <c r="G54" s="407"/>
      <c r="H54" s="407"/>
      <c r="I54" s="407"/>
      <c r="J54" s="116"/>
      <c r="K54" s="738"/>
      <c r="L54" s="407"/>
      <c r="M54" s="407"/>
      <c r="N54" s="407"/>
      <c r="O54" s="407"/>
      <c r="P54" s="407"/>
      <c r="Q54" s="407"/>
      <c r="R54" s="407"/>
      <c r="S54" s="407"/>
      <c r="T54" s="407"/>
      <c r="U54" s="407"/>
      <c r="V54" s="407"/>
      <c r="W54" s="407"/>
      <c r="X54" s="407"/>
    </row>
    <row r="55" spans="1:24" x14ac:dyDescent="0.2">
      <c r="A55" s="407"/>
      <c r="B55" s="407"/>
      <c r="C55" s="412"/>
      <c r="D55" s="412"/>
      <c r="E55" s="407"/>
      <c r="F55" s="407"/>
      <c r="G55" s="407"/>
      <c r="H55" s="407"/>
      <c r="I55" s="407"/>
      <c r="J55" s="116" t="s">
        <v>370</v>
      </c>
      <c r="K55" s="738" t="s">
        <v>370</v>
      </c>
      <c r="L55" s="407"/>
      <c r="M55" s="407"/>
      <c r="N55" s="407"/>
      <c r="O55" s="407"/>
      <c r="P55" s="407"/>
      <c r="Q55" s="407"/>
      <c r="R55" s="407"/>
      <c r="S55" s="407"/>
      <c r="T55" s="407"/>
      <c r="U55" s="407"/>
      <c r="V55" s="407"/>
      <c r="W55" s="407"/>
      <c r="X55" s="407"/>
    </row>
    <row r="56" spans="1:24" x14ac:dyDescent="0.2">
      <c r="A56" s="407"/>
      <c r="B56" s="407"/>
      <c r="C56" s="412"/>
      <c r="D56" s="412"/>
      <c r="E56" s="407"/>
      <c r="F56" s="407"/>
      <c r="G56" s="407"/>
      <c r="H56" s="407"/>
      <c r="I56" s="407"/>
      <c r="J56" s="116" t="s">
        <v>554</v>
      </c>
      <c r="K56" s="738" t="s">
        <v>371</v>
      </c>
      <c r="L56" s="407"/>
      <c r="M56" s="407"/>
      <c r="N56" s="407"/>
      <c r="O56" s="407"/>
      <c r="P56" s="407"/>
      <c r="Q56" s="407"/>
      <c r="R56" s="407"/>
      <c r="S56" s="407"/>
      <c r="T56" s="407"/>
      <c r="U56" s="407"/>
      <c r="V56" s="407"/>
      <c r="W56" s="407"/>
      <c r="X56" s="407"/>
    </row>
    <row r="57" spans="1:24" x14ac:dyDescent="0.2">
      <c r="A57" s="407"/>
      <c r="B57" s="407"/>
      <c r="C57" s="412"/>
      <c r="D57" s="412"/>
      <c r="E57" s="407"/>
      <c r="F57" s="407"/>
      <c r="G57" s="407"/>
      <c r="H57" s="407"/>
      <c r="I57" s="407"/>
      <c r="J57" s="407"/>
      <c r="K57" s="407"/>
      <c r="L57" s="407"/>
      <c r="M57" s="407"/>
      <c r="N57" s="407"/>
      <c r="O57" s="407"/>
      <c r="P57" s="407"/>
      <c r="Q57" s="407"/>
      <c r="R57" s="407"/>
      <c r="S57" s="407"/>
      <c r="T57" s="407"/>
      <c r="U57" s="407"/>
      <c r="V57" s="407"/>
      <c r="W57" s="407"/>
      <c r="X57" s="407"/>
    </row>
    <row r="58" spans="1:24" x14ac:dyDescent="0.2">
      <c r="A58" s="407"/>
      <c r="B58" s="407"/>
      <c r="C58" s="412"/>
      <c r="D58" s="412"/>
      <c r="E58" s="407"/>
      <c r="F58" s="407"/>
      <c r="G58" s="407"/>
      <c r="H58" s="407"/>
      <c r="I58" s="407"/>
      <c r="J58" s="407"/>
      <c r="K58" s="407"/>
      <c r="L58" s="407"/>
      <c r="M58" s="407"/>
      <c r="N58" s="407"/>
      <c r="O58" s="407"/>
      <c r="P58" s="407"/>
      <c r="Q58" s="407"/>
      <c r="R58" s="407"/>
      <c r="S58" s="407"/>
      <c r="T58" s="407"/>
      <c r="U58" s="407"/>
      <c r="V58" s="407"/>
      <c r="W58" s="407"/>
      <c r="X58" s="407"/>
    </row>
    <row r="59" spans="1:24" x14ac:dyDescent="0.2">
      <c r="A59" s="407"/>
      <c r="B59" s="407"/>
      <c r="C59" s="412"/>
      <c r="D59" s="412"/>
      <c r="E59" s="407"/>
      <c r="F59" s="407"/>
      <c r="G59" s="407"/>
      <c r="H59" s="407"/>
      <c r="I59" s="407"/>
      <c r="J59" s="407"/>
      <c r="K59" s="407"/>
      <c r="L59" s="407"/>
      <c r="M59" s="407"/>
      <c r="N59" s="407"/>
      <c r="O59" s="407"/>
      <c r="P59" s="407"/>
      <c r="Q59" s="407"/>
      <c r="R59" s="407"/>
      <c r="S59" s="407"/>
      <c r="T59" s="407"/>
      <c r="U59" s="407"/>
      <c r="V59" s="407"/>
      <c r="W59" s="407"/>
      <c r="X59" s="407"/>
    </row>
    <row r="60" spans="1:24" x14ac:dyDescent="0.2">
      <c r="A60" s="407"/>
      <c r="B60" s="407"/>
      <c r="C60" s="412"/>
      <c r="D60" s="412"/>
      <c r="E60" s="407"/>
      <c r="F60" s="407"/>
      <c r="G60" s="407"/>
      <c r="H60" s="407"/>
      <c r="I60" s="407"/>
      <c r="J60" s="407"/>
      <c r="K60" s="407"/>
      <c r="L60" s="407"/>
      <c r="M60" s="407"/>
      <c r="N60" s="407"/>
      <c r="O60" s="407"/>
      <c r="P60" s="407"/>
      <c r="Q60" s="407"/>
      <c r="R60" s="407"/>
      <c r="S60" s="407"/>
      <c r="T60" s="407"/>
      <c r="U60" s="407"/>
      <c r="V60" s="407"/>
      <c r="W60" s="407"/>
      <c r="X60" s="407"/>
    </row>
    <row r="61" spans="1:24" x14ac:dyDescent="0.2">
      <c r="A61" s="407"/>
      <c r="B61" s="407"/>
      <c r="C61" s="412"/>
      <c r="D61" s="412"/>
      <c r="E61" s="407"/>
      <c r="F61" s="407"/>
      <c r="G61" s="407"/>
      <c r="H61" s="407"/>
      <c r="I61" s="407"/>
      <c r="J61" s="407"/>
      <c r="K61" s="407"/>
      <c r="L61" s="407"/>
      <c r="M61" s="407"/>
      <c r="N61" s="407"/>
      <c r="O61" s="407"/>
      <c r="P61" s="407"/>
      <c r="Q61" s="407"/>
      <c r="R61" s="407"/>
      <c r="S61" s="407"/>
      <c r="T61" s="407"/>
      <c r="U61" s="407"/>
      <c r="V61" s="407"/>
      <c r="W61" s="407"/>
      <c r="X61" s="407"/>
    </row>
    <row r="62" spans="1:24" x14ac:dyDescent="0.2">
      <c r="A62" s="407"/>
      <c r="B62" s="407"/>
      <c r="C62" s="412"/>
      <c r="D62" s="412"/>
      <c r="E62" s="407"/>
      <c r="F62" s="407"/>
      <c r="G62" s="407"/>
      <c r="H62" s="407"/>
      <c r="I62" s="407"/>
      <c r="J62" s="407"/>
      <c r="K62" s="407"/>
      <c r="L62" s="407"/>
      <c r="M62" s="407"/>
      <c r="N62" s="407"/>
      <c r="O62" s="407"/>
      <c r="P62" s="407"/>
      <c r="Q62" s="407"/>
      <c r="R62" s="407"/>
      <c r="S62" s="407"/>
      <c r="T62" s="407"/>
      <c r="U62" s="407"/>
      <c r="V62" s="407"/>
      <c r="W62" s="407"/>
      <c r="X62" s="407"/>
    </row>
    <row r="63" spans="1:24" x14ac:dyDescent="0.2">
      <c r="A63" s="407"/>
      <c r="B63" s="407"/>
      <c r="C63" s="412"/>
      <c r="D63" s="412"/>
      <c r="E63" s="407"/>
      <c r="F63" s="407"/>
      <c r="G63" s="407"/>
      <c r="H63" s="407"/>
      <c r="I63" s="407"/>
      <c r="J63" s="407"/>
      <c r="K63" s="407"/>
      <c r="L63" s="407"/>
      <c r="M63" s="407"/>
      <c r="N63" s="407"/>
      <c r="O63" s="407"/>
      <c r="P63" s="407"/>
      <c r="Q63" s="407"/>
      <c r="R63" s="407"/>
      <c r="S63" s="407"/>
      <c r="T63" s="407"/>
      <c r="U63" s="407"/>
      <c r="V63" s="407"/>
      <c r="W63" s="407"/>
      <c r="X63" s="407"/>
    </row>
    <row r="64" spans="1:24" x14ac:dyDescent="0.2">
      <c r="A64" s="407"/>
      <c r="B64" s="407"/>
      <c r="C64" s="412"/>
      <c r="D64" s="412"/>
      <c r="E64" s="407"/>
      <c r="F64" s="407"/>
      <c r="G64" s="407"/>
      <c r="H64" s="407"/>
      <c r="I64" s="407"/>
      <c r="J64" s="407"/>
      <c r="K64" s="407"/>
      <c r="L64" s="407"/>
      <c r="M64" s="407"/>
      <c r="N64" s="407"/>
      <c r="O64" s="407"/>
      <c r="P64" s="407"/>
      <c r="Q64" s="407"/>
      <c r="R64" s="407"/>
      <c r="S64" s="407"/>
      <c r="T64" s="407"/>
      <c r="U64" s="407"/>
      <c r="V64" s="407"/>
      <c r="W64" s="407"/>
      <c r="X64" s="407"/>
    </row>
    <row r="65" spans="1:24" x14ac:dyDescent="0.2">
      <c r="A65" s="407"/>
      <c r="B65" s="407"/>
      <c r="C65" s="412"/>
      <c r="D65" s="412"/>
      <c r="E65" s="407"/>
      <c r="F65" s="407"/>
      <c r="G65" s="407"/>
      <c r="H65" s="407"/>
      <c r="I65" s="407"/>
      <c r="J65" s="407"/>
      <c r="K65" s="407"/>
      <c r="L65" s="407"/>
      <c r="M65" s="407"/>
      <c r="N65" s="407"/>
      <c r="O65" s="407"/>
      <c r="P65" s="407"/>
      <c r="Q65" s="407"/>
      <c r="R65" s="407"/>
      <c r="S65" s="407"/>
      <c r="T65" s="407"/>
      <c r="U65" s="407"/>
      <c r="V65" s="407"/>
      <c r="W65" s="407"/>
      <c r="X65" s="407"/>
    </row>
    <row r="66" spans="1:24" x14ac:dyDescent="0.2">
      <c r="A66" s="407"/>
      <c r="B66" s="407"/>
      <c r="C66" s="412"/>
      <c r="D66" s="412"/>
      <c r="E66" s="407"/>
      <c r="F66" s="407"/>
      <c r="G66" s="407"/>
      <c r="H66" s="407"/>
      <c r="I66" s="407"/>
      <c r="J66" s="407"/>
      <c r="K66" s="407"/>
      <c r="L66" s="407"/>
      <c r="M66" s="407"/>
      <c r="N66" s="407"/>
      <c r="O66" s="407"/>
      <c r="P66" s="407"/>
      <c r="Q66" s="407"/>
      <c r="R66" s="407"/>
      <c r="S66" s="407"/>
      <c r="T66" s="407"/>
      <c r="U66" s="407"/>
      <c r="V66" s="407"/>
      <c r="W66" s="407"/>
      <c r="X66" s="407"/>
    </row>
    <row r="67" spans="1:24" x14ac:dyDescent="0.2">
      <c r="A67" s="407"/>
      <c r="B67" s="407"/>
      <c r="C67" s="412"/>
      <c r="D67" s="412"/>
      <c r="E67" s="407"/>
      <c r="F67" s="407"/>
      <c r="G67" s="407"/>
      <c r="H67" s="407"/>
      <c r="I67" s="407"/>
      <c r="J67" s="407"/>
      <c r="K67" s="407"/>
      <c r="L67" s="407"/>
      <c r="M67" s="407"/>
      <c r="N67" s="407"/>
      <c r="O67" s="407"/>
      <c r="P67" s="407"/>
      <c r="Q67" s="407"/>
      <c r="R67" s="407"/>
      <c r="S67" s="407"/>
      <c r="T67" s="407"/>
      <c r="U67" s="407"/>
      <c r="V67" s="407"/>
      <c r="W67" s="407"/>
      <c r="X67" s="407"/>
    </row>
    <row r="68" spans="1:24" x14ac:dyDescent="0.2">
      <c r="A68" s="407"/>
      <c r="B68" s="407"/>
      <c r="C68" s="412"/>
      <c r="D68" s="412"/>
      <c r="E68" s="407"/>
      <c r="F68" s="407"/>
      <c r="G68" s="407"/>
      <c r="H68" s="407"/>
      <c r="I68" s="407"/>
      <c r="J68" s="407"/>
      <c r="K68" s="407"/>
      <c r="L68" s="407"/>
      <c r="M68" s="407"/>
      <c r="N68" s="407"/>
      <c r="O68" s="407"/>
      <c r="P68" s="407"/>
      <c r="Q68" s="407"/>
      <c r="R68" s="407"/>
      <c r="S68" s="407"/>
      <c r="T68" s="407"/>
      <c r="U68" s="407"/>
      <c r="V68" s="407"/>
      <c r="W68" s="407"/>
      <c r="X68" s="407"/>
    </row>
    <row r="69" spans="1:24" x14ac:dyDescent="0.2">
      <c r="A69" s="407"/>
      <c r="B69" s="407"/>
      <c r="C69" s="412"/>
      <c r="D69" s="412"/>
      <c r="E69" s="407"/>
      <c r="F69" s="407"/>
      <c r="G69" s="407"/>
      <c r="H69" s="407"/>
      <c r="I69" s="407"/>
      <c r="J69" s="407"/>
      <c r="K69" s="407"/>
      <c r="L69" s="407"/>
      <c r="M69" s="407"/>
      <c r="N69" s="407"/>
      <c r="O69" s="407"/>
      <c r="P69" s="407"/>
      <c r="Q69" s="407"/>
      <c r="R69" s="407"/>
      <c r="S69" s="407"/>
      <c r="T69" s="407"/>
      <c r="U69" s="407"/>
      <c r="V69" s="407"/>
      <c r="W69" s="407"/>
      <c r="X69" s="407"/>
    </row>
    <row r="70" spans="1:24" x14ac:dyDescent="0.2">
      <c r="A70" s="407"/>
      <c r="B70" s="407"/>
      <c r="C70" s="412"/>
      <c r="D70" s="412"/>
      <c r="E70" s="407"/>
      <c r="F70" s="407"/>
      <c r="G70" s="407"/>
      <c r="H70" s="407"/>
      <c r="I70" s="407"/>
      <c r="J70" s="407"/>
      <c r="K70" s="407"/>
      <c r="L70" s="407"/>
      <c r="M70" s="407"/>
      <c r="N70" s="407"/>
      <c r="O70" s="407"/>
      <c r="P70" s="407"/>
      <c r="Q70" s="407"/>
      <c r="R70" s="407"/>
      <c r="S70" s="407"/>
      <c r="T70" s="407"/>
      <c r="U70" s="407"/>
      <c r="V70" s="407"/>
      <c r="W70" s="407"/>
      <c r="X70" s="407"/>
    </row>
    <row r="71" spans="1:24" x14ac:dyDescent="0.2">
      <c r="A71" s="407"/>
      <c r="B71" s="407"/>
      <c r="C71" s="412"/>
      <c r="D71" s="412"/>
      <c r="E71" s="407"/>
      <c r="F71" s="407"/>
      <c r="G71" s="407"/>
      <c r="H71" s="407"/>
      <c r="I71" s="407"/>
      <c r="J71" s="407"/>
      <c r="K71" s="407"/>
      <c r="L71" s="407"/>
      <c r="M71" s="407"/>
      <c r="N71" s="407"/>
      <c r="O71" s="407"/>
      <c r="P71" s="407"/>
      <c r="Q71" s="407"/>
      <c r="R71" s="407"/>
      <c r="S71" s="407"/>
      <c r="T71" s="407"/>
      <c r="U71" s="407"/>
      <c r="V71" s="407"/>
      <c r="W71" s="407"/>
      <c r="X71" s="407"/>
    </row>
    <row r="72" spans="1:24" x14ac:dyDescent="0.2">
      <c r="A72" s="407"/>
      <c r="B72" s="407"/>
      <c r="C72" s="412"/>
      <c r="D72" s="412"/>
      <c r="E72" s="407"/>
      <c r="F72" s="407"/>
      <c r="G72" s="407"/>
      <c r="H72" s="407"/>
      <c r="I72" s="407"/>
      <c r="J72" s="407"/>
      <c r="K72" s="407"/>
      <c r="L72" s="407"/>
      <c r="M72" s="407"/>
      <c r="N72" s="407"/>
      <c r="O72" s="407"/>
      <c r="P72" s="407"/>
      <c r="Q72" s="407"/>
      <c r="R72" s="407"/>
      <c r="S72" s="407"/>
      <c r="T72" s="407"/>
      <c r="U72" s="407"/>
      <c r="V72" s="407"/>
      <c r="W72" s="407"/>
      <c r="X72" s="407"/>
    </row>
    <row r="73" spans="1:24" x14ac:dyDescent="0.2">
      <c r="A73" s="407"/>
      <c r="B73" s="407"/>
      <c r="C73" s="412"/>
      <c r="D73" s="412"/>
      <c r="E73" s="407"/>
      <c r="F73" s="407"/>
      <c r="G73" s="407"/>
      <c r="H73" s="407"/>
      <c r="I73" s="407"/>
      <c r="J73" s="407"/>
      <c r="K73" s="407"/>
      <c r="L73" s="407"/>
      <c r="M73" s="407"/>
      <c r="N73" s="407"/>
      <c r="O73" s="407"/>
      <c r="P73" s="407"/>
      <c r="Q73" s="407"/>
      <c r="R73" s="407"/>
      <c r="S73" s="407"/>
      <c r="T73" s="407"/>
      <c r="U73" s="407"/>
      <c r="V73" s="407"/>
      <c r="W73" s="407"/>
      <c r="X73" s="407"/>
    </row>
    <row r="74" spans="1:24" x14ac:dyDescent="0.2">
      <c r="A74" s="407"/>
      <c r="B74" s="407"/>
      <c r="C74" s="412"/>
      <c r="D74" s="412"/>
      <c r="E74" s="407"/>
      <c r="F74" s="407"/>
      <c r="G74" s="407"/>
      <c r="H74" s="407"/>
      <c r="I74" s="407"/>
      <c r="J74" s="407"/>
      <c r="K74" s="407"/>
      <c r="L74" s="407"/>
      <c r="M74" s="407"/>
      <c r="N74" s="407"/>
      <c r="O74" s="407"/>
      <c r="P74" s="407"/>
      <c r="Q74" s="407"/>
      <c r="R74" s="407"/>
      <c r="S74" s="407"/>
      <c r="T74" s="407"/>
      <c r="U74" s="407"/>
      <c r="V74" s="407"/>
      <c r="W74" s="407"/>
      <c r="X74" s="407"/>
    </row>
    <row r="75" spans="1:24" x14ac:dyDescent="0.2">
      <c r="A75" s="407"/>
      <c r="B75" s="407"/>
      <c r="C75" s="412"/>
      <c r="D75" s="412"/>
      <c r="E75" s="407"/>
      <c r="F75" s="407"/>
      <c r="G75" s="407"/>
      <c r="H75" s="407"/>
      <c r="I75" s="407"/>
      <c r="J75" s="407"/>
      <c r="K75" s="407"/>
      <c r="L75" s="407"/>
      <c r="M75" s="407"/>
      <c r="N75" s="407"/>
      <c r="O75" s="407"/>
      <c r="P75" s="407"/>
      <c r="Q75" s="407"/>
      <c r="R75" s="407"/>
      <c r="S75" s="407"/>
      <c r="T75" s="407"/>
      <c r="U75" s="407"/>
      <c r="V75" s="407"/>
      <c r="W75" s="407"/>
      <c r="X75" s="407"/>
    </row>
    <row r="76" spans="1:24" x14ac:dyDescent="0.2">
      <c r="A76" s="407"/>
      <c r="B76" s="407"/>
      <c r="C76" s="412"/>
      <c r="D76" s="412"/>
      <c r="E76" s="407"/>
      <c r="F76" s="407"/>
      <c r="G76" s="407"/>
      <c r="H76" s="407"/>
      <c r="I76" s="407"/>
      <c r="J76" s="407"/>
      <c r="K76" s="407"/>
      <c r="L76" s="407"/>
      <c r="M76" s="407"/>
      <c r="N76" s="407"/>
      <c r="O76" s="407"/>
      <c r="P76" s="407"/>
      <c r="Q76" s="407"/>
      <c r="R76" s="407"/>
      <c r="S76" s="407"/>
      <c r="T76" s="407"/>
      <c r="U76" s="407"/>
      <c r="V76" s="407"/>
      <c r="W76" s="407"/>
      <c r="X76" s="407"/>
    </row>
    <row r="77" spans="1:24" x14ac:dyDescent="0.2">
      <c r="A77" s="407"/>
      <c r="B77" s="407"/>
      <c r="C77" s="412"/>
      <c r="D77" s="412"/>
      <c r="E77" s="407"/>
      <c r="F77" s="407"/>
      <c r="G77" s="407"/>
      <c r="H77" s="407"/>
      <c r="I77" s="407"/>
      <c r="J77" s="407"/>
      <c r="K77" s="407"/>
      <c r="L77" s="407"/>
      <c r="M77" s="407"/>
      <c r="N77" s="407"/>
      <c r="O77" s="407"/>
      <c r="P77" s="407"/>
      <c r="Q77" s="407"/>
      <c r="R77" s="407"/>
      <c r="S77" s="407"/>
      <c r="T77" s="407"/>
      <c r="U77" s="407"/>
      <c r="V77" s="407"/>
      <c r="W77" s="407"/>
      <c r="X77" s="407"/>
    </row>
    <row r="78" spans="1:24" x14ac:dyDescent="0.2">
      <c r="A78" s="407"/>
      <c r="B78" s="407"/>
      <c r="C78" s="412"/>
      <c r="D78" s="412"/>
      <c r="E78" s="407"/>
      <c r="F78" s="407"/>
      <c r="G78" s="407"/>
      <c r="H78" s="407"/>
      <c r="I78" s="407"/>
      <c r="J78" s="407"/>
      <c r="K78" s="407"/>
      <c r="L78" s="407"/>
      <c r="M78" s="407"/>
      <c r="N78" s="407"/>
      <c r="O78" s="407"/>
      <c r="P78" s="407"/>
      <c r="Q78" s="407"/>
      <c r="R78" s="407"/>
      <c r="S78" s="407"/>
      <c r="T78" s="407"/>
      <c r="U78" s="407"/>
      <c r="V78" s="407"/>
      <c r="W78" s="407"/>
      <c r="X78" s="407"/>
    </row>
    <row r="79" spans="1:24" x14ac:dyDescent="0.2">
      <c r="A79" s="407"/>
      <c r="B79" s="407"/>
      <c r="C79" s="412"/>
      <c r="D79" s="412"/>
      <c r="E79" s="407"/>
      <c r="F79" s="407"/>
      <c r="G79" s="407"/>
      <c r="H79" s="407"/>
      <c r="I79" s="407"/>
      <c r="J79" s="407"/>
      <c r="K79" s="407"/>
      <c r="L79" s="407"/>
      <c r="M79" s="407"/>
      <c r="N79" s="407"/>
      <c r="O79" s="407"/>
      <c r="P79" s="407"/>
      <c r="Q79" s="407"/>
      <c r="R79" s="407"/>
      <c r="S79" s="407"/>
      <c r="T79" s="407"/>
      <c r="U79" s="407"/>
      <c r="V79" s="407"/>
      <c r="W79" s="407"/>
      <c r="X79" s="407"/>
    </row>
    <row r="80" spans="1:24" x14ac:dyDescent="0.2">
      <c r="A80" s="407"/>
      <c r="B80" s="407"/>
      <c r="C80" s="412"/>
      <c r="D80" s="412"/>
      <c r="E80" s="407"/>
      <c r="F80" s="407"/>
      <c r="G80" s="407"/>
      <c r="H80" s="407"/>
      <c r="I80" s="407"/>
      <c r="J80" s="407"/>
      <c r="K80" s="407"/>
      <c r="L80" s="407"/>
      <c r="M80" s="407"/>
      <c r="N80" s="407"/>
      <c r="O80" s="407"/>
      <c r="P80" s="407"/>
      <c r="Q80" s="407"/>
      <c r="R80" s="407"/>
      <c r="S80" s="407"/>
      <c r="T80" s="407"/>
      <c r="U80" s="407"/>
      <c r="V80" s="407"/>
      <c r="W80" s="407"/>
      <c r="X80" s="407"/>
    </row>
  </sheetData>
  <mergeCells count="12">
    <mergeCell ref="B51:E51"/>
    <mergeCell ref="A1:F1"/>
    <mergeCell ref="H2:H4"/>
    <mergeCell ref="I2:I4"/>
    <mergeCell ref="H1:K1"/>
    <mergeCell ref="J38:M38"/>
    <mergeCell ref="J42:M42"/>
    <mergeCell ref="J46:M46"/>
    <mergeCell ref="B2:E2"/>
    <mergeCell ref="B3:B4"/>
    <mergeCell ref="C3:C4"/>
    <mergeCell ref="K3:L4"/>
  </mergeCells>
  <dataValidations count="2">
    <dataValidation type="list" showInputMessage="1" showErrorMessage="1" sqref="H5:H47">
      <formula1>$J$54:$J$56</formula1>
    </dataValidation>
    <dataValidation type="list" showInputMessage="1" showErrorMessage="1" sqref="I5:I47">
      <formula1>$K$54:$K$56</formula1>
    </dataValidation>
  </dataValidations>
  <printOptions horizontalCentered="1"/>
  <pageMargins left="0.35" right="0.35" top="0.4" bottom="0.4" header="0" footer="0"/>
  <pageSetup firstPageNumber="31" orientation="portrait" useFirstPageNumber="1" r:id="rId1"/>
  <headerFooter alignWithMargins="0"/>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6"/>
  <dimension ref="A1:Y81"/>
  <sheetViews>
    <sheetView showGridLines="0" showZeros="0" zoomScale="75" zoomScaleNormal="75" workbookViewId="0">
      <selection activeCell="I1" sqref="I1:O1"/>
    </sheetView>
  </sheetViews>
  <sheetFormatPr defaultRowHeight="12.75" x14ac:dyDescent="0.2"/>
  <cols>
    <col min="1" max="1" width="1.7109375" style="16" customWidth="1"/>
    <col min="2" max="2" width="12.5703125" style="16" customWidth="1"/>
    <col min="3" max="3" width="12.5703125" style="836" customWidth="1"/>
    <col min="4" max="4" width="8.5703125" style="836" bestFit="1" customWidth="1"/>
    <col min="5" max="5" width="12.5703125" style="836" customWidth="1"/>
    <col min="6" max="6" width="12.42578125" style="16" customWidth="1"/>
    <col min="7" max="7" width="1.7109375" style="16" customWidth="1"/>
    <col min="8" max="8" width="8.42578125" style="16" customWidth="1"/>
    <col min="9" max="9" width="20.28515625" style="16" customWidth="1"/>
    <col min="10" max="10" width="13.28515625" style="16" customWidth="1"/>
    <col min="11" max="11" width="9.140625" style="16"/>
    <col min="12" max="12" width="8.5703125" style="16" bestFit="1" customWidth="1"/>
    <col min="13" max="16384" width="9.140625" style="16"/>
  </cols>
  <sheetData>
    <row r="1" spans="1:25" ht="39" customHeight="1" thickBot="1" x14ac:dyDescent="0.25">
      <c r="A1" s="1536" t="str">
        <f>UPPER("Milled HMA Corrugations for ELRS Summary Table")</f>
        <v>MILLED HMA CORRUGATIONS FOR ELRS SUMMARY TABLE</v>
      </c>
      <c r="B1" s="1536"/>
      <c r="C1" s="1536"/>
      <c r="D1" s="1536"/>
      <c r="E1" s="1536"/>
      <c r="F1" s="1536"/>
      <c r="G1" s="1536"/>
      <c r="H1" s="838"/>
      <c r="I1" s="1543" t="s">
        <v>572</v>
      </c>
      <c r="J1" s="1543"/>
      <c r="K1" s="1543"/>
      <c r="L1" s="1543"/>
      <c r="M1" s="1543"/>
      <c r="N1" s="1543"/>
      <c r="O1" s="1543"/>
      <c r="P1" s="407"/>
      <c r="Q1" s="407"/>
      <c r="R1" s="407"/>
      <c r="S1" s="407"/>
      <c r="T1" s="407"/>
      <c r="U1" s="407"/>
      <c r="V1" s="407"/>
      <c r="W1" s="407"/>
      <c r="X1" s="407"/>
      <c r="Y1" s="407"/>
    </row>
    <row r="2" spans="1:25" ht="12.75" customHeight="1" thickBot="1" x14ac:dyDescent="0.25">
      <c r="A2" s="407"/>
      <c r="B2" s="1488"/>
      <c r="C2" s="1488"/>
      <c r="D2" s="1488"/>
      <c r="E2" s="1488"/>
      <c r="F2" s="1488"/>
      <c r="G2" s="406"/>
      <c r="H2" s="406"/>
      <c r="I2" s="1537" t="s">
        <v>560</v>
      </c>
      <c r="J2" s="1540" t="s">
        <v>558</v>
      </c>
      <c r="K2" s="407"/>
      <c r="L2" s="407"/>
      <c r="M2" s="407"/>
      <c r="N2" s="407"/>
      <c r="O2" s="407"/>
      <c r="P2" s="407"/>
      <c r="Q2" s="407"/>
      <c r="R2" s="407"/>
      <c r="S2" s="407"/>
      <c r="T2" s="407"/>
      <c r="U2" s="407"/>
      <c r="V2" s="407"/>
      <c r="W2" s="407"/>
      <c r="X2" s="407"/>
      <c r="Y2" s="407"/>
    </row>
    <row r="3" spans="1:25" ht="25.5" customHeight="1" x14ac:dyDescent="0.2">
      <c r="A3" s="407"/>
      <c r="B3" s="1546" t="s">
        <v>2</v>
      </c>
      <c r="C3" s="1550" t="s">
        <v>3</v>
      </c>
      <c r="D3" s="1552" t="s">
        <v>39</v>
      </c>
      <c r="E3" s="839" t="s">
        <v>555</v>
      </c>
      <c r="F3" s="835" t="s">
        <v>553</v>
      </c>
      <c r="G3" s="616"/>
      <c r="H3" s="616"/>
      <c r="I3" s="1538"/>
      <c r="J3" s="1541"/>
      <c r="K3" s="407"/>
      <c r="L3" s="407"/>
      <c r="M3" s="407"/>
      <c r="N3" s="407"/>
      <c r="O3" s="407"/>
      <c r="P3" s="407"/>
      <c r="Q3" s="407"/>
      <c r="R3" s="407"/>
      <c r="S3" s="407"/>
      <c r="T3" s="407"/>
      <c r="U3" s="407"/>
      <c r="V3" s="407"/>
      <c r="W3" s="407"/>
      <c r="X3" s="407"/>
      <c r="Y3" s="407"/>
    </row>
    <row r="4" spans="1:25" ht="12.75" customHeight="1" thickBot="1" x14ac:dyDescent="0.25">
      <c r="A4" s="407"/>
      <c r="B4" s="1547"/>
      <c r="C4" s="1551"/>
      <c r="D4" s="1553"/>
      <c r="E4" s="845" t="s">
        <v>19</v>
      </c>
      <c r="F4" s="659" t="s">
        <v>19</v>
      </c>
      <c r="G4" s="616"/>
      <c r="H4" s="616"/>
      <c r="I4" s="1539"/>
      <c r="J4" s="1542"/>
      <c r="K4" s="407"/>
      <c r="L4" s="407"/>
      <c r="M4" s="407"/>
      <c r="N4" s="407"/>
      <c r="O4" s="407"/>
      <c r="P4" s="407"/>
      <c r="Q4" s="407"/>
      <c r="R4" s="407"/>
      <c r="S4" s="407"/>
      <c r="T4" s="407"/>
      <c r="U4" s="407"/>
      <c r="V4" s="407"/>
      <c r="W4" s="407"/>
      <c r="X4" s="407"/>
      <c r="Y4" s="407"/>
    </row>
    <row r="5" spans="1:25" ht="12.75" customHeight="1" x14ac:dyDescent="0.2">
      <c r="A5" s="407"/>
      <c r="B5" s="638"/>
      <c r="C5" s="853"/>
      <c r="D5" s="854"/>
      <c r="E5" s="852">
        <f t="shared" ref="E5:E48" si="0">IF(AND(I5=$K$56,J5=$K$57),ABS($C5-$B5),0)</f>
        <v>0</v>
      </c>
      <c r="F5" s="641">
        <f t="shared" ref="F5:F48" si="1">IF(I5=$K$56,ABS($C5-$B5),0)</f>
        <v>0</v>
      </c>
      <c r="G5" s="411"/>
      <c r="H5" s="411"/>
      <c r="I5" s="850"/>
      <c r="J5" s="851"/>
      <c r="K5" s="407"/>
      <c r="L5" s="407"/>
      <c r="M5" s="407"/>
      <c r="N5" s="407"/>
      <c r="O5" s="407"/>
      <c r="P5" s="407"/>
      <c r="Q5" s="407"/>
      <c r="R5" s="407"/>
      <c r="S5" s="407"/>
      <c r="T5" s="407"/>
      <c r="U5" s="407"/>
      <c r="V5" s="407"/>
      <c r="W5" s="407"/>
      <c r="X5" s="407"/>
      <c r="Y5" s="407"/>
    </row>
    <row r="6" spans="1:25" ht="12.75" customHeight="1" x14ac:dyDescent="0.2">
      <c r="A6" s="407"/>
      <c r="B6" s="638">
        <f>C5</f>
        <v>0</v>
      </c>
      <c r="C6" s="853"/>
      <c r="D6" s="854"/>
      <c r="E6" s="852">
        <f t="shared" si="0"/>
        <v>0</v>
      </c>
      <c r="F6" s="641">
        <f t="shared" si="1"/>
        <v>0</v>
      </c>
      <c r="G6" s="411"/>
      <c r="H6" s="411"/>
      <c r="I6" s="848"/>
      <c r="J6" s="849"/>
      <c r="K6" s="407"/>
      <c r="L6" s="407"/>
      <c r="M6" s="407"/>
      <c r="N6" s="407"/>
      <c r="O6" s="407"/>
      <c r="P6" s="407"/>
      <c r="Q6" s="407"/>
      <c r="R6" s="407"/>
      <c r="S6" s="407"/>
      <c r="T6" s="407"/>
      <c r="U6" s="407"/>
      <c r="V6" s="407"/>
      <c r="W6" s="407"/>
      <c r="X6" s="407"/>
      <c r="Y6" s="407"/>
    </row>
    <row r="7" spans="1:25" ht="12.75" customHeight="1" x14ac:dyDescent="0.2">
      <c r="A7" s="407"/>
      <c r="B7" s="638">
        <f t="shared" ref="B7:B48" si="2">C6</f>
        <v>0</v>
      </c>
      <c r="C7" s="853"/>
      <c r="D7" s="854"/>
      <c r="E7" s="852">
        <f t="shared" si="0"/>
        <v>0</v>
      </c>
      <c r="F7" s="641">
        <f t="shared" si="1"/>
        <v>0</v>
      </c>
      <c r="G7" s="411"/>
      <c r="H7" s="411"/>
      <c r="I7" s="848"/>
      <c r="J7" s="849"/>
      <c r="K7" s="407"/>
      <c r="L7" s="407"/>
      <c r="M7" s="407"/>
      <c r="N7" s="407"/>
      <c r="O7" s="407"/>
      <c r="P7" s="407"/>
      <c r="Q7" s="407"/>
      <c r="R7" s="407"/>
      <c r="S7" s="407"/>
      <c r="T7" s="407"/>
      <c r="U7" s="407"/>
      <c r="V7" s="407"/>
      <c r="W7" s="407"/>
      <c r="X7" s="407"/>
      <c r="Y7" s="407"/>
    </row>
    <row r="8" spans="1:25" ht="12.75" customHeight="1" x14ac:dyDescent="0.2">
      <c r="A8" s="407"/>
      <c r="B8" s="638">
        <f t="shared" si="2"/>
        <v>0</v>
      </c>
      <c r="C8" s="853"/>
      <c r="D8" s="854"/>
      <c r="E8" s="852">
        <f t="shared" si="0"/>
        <v>0</v>
      </c>
      <c r="F8" s="641">
        <f t="shared" si="1"/>
        <v>0</v>
      </c>
      <c r="G8" s="411"/>
      <c r="H8" s="411"/>
      <c r="I8" s="848"/>
      <c r="J8" s="849"/>
      <c r="K8" s="407"/>
      <c r="L8" s="407"/>
      <c r="M8" s="407"/>
      <c r="N8" s="407"/>
      <c r="O8" s="407"/>
      <c r="P8" s="407"/>
      <c r="Q8" s="407"/>
      <c r="R8" s="407"/>
      <c r="S8" s="407"/>
      <c r="T8" s="407"/>
      <c r="U8" s="407"/>
      <c r="V8" s="407"/>
      <c r="W8" s="407"/>
      <c r="X8" s="407"/>
      <c r="Y8" s="407"/>
    </row>
    <row r="9" spans="1:25" ht="12.75" customHeight="1" x14ac:dyDescent="0.2">
      <c r="A9" s="407"/>
      <c r="B9" s="638">
        <f t="shared" si="2"/>
        <v>0</v>
      </c>
      <c r="C9" s="853"/>
      <c r="D9" s="854"/>
      <c r="E9" s="852">
        <f t="shared" si="0"/>
        <v>0</v>
      </c>
      <c r="F9" s="641">
        <f t="shared" si="1"/>
        <v>0</v>
      </c>
      <c r="G9" s="411"/>
      <c r="H9" s="411"/>
      <c r="I9" s="848"/>
      <c r="J9" s="849"/>
      <c r="K9" s="407"/>
      <c r="L9" s="407"/>
      <c r="M9" s="407"/>
      <c r="N9" s="407"/>
      <c r="O9" s="407"/>
      <c r="P9" s="407"/>
      <c r="Q9" s="407"/>
      <c r="R9" s="407"/>
      <c r="S9" s="407"/>
      <c r="T9" s="407"/>
      <c r="U9" s="407"/>
      <c r="V9" s="407"/>
      <c r="W9" s="407"/>
      <c r="X9" s="407"/>
      <c r="Y9" s="407"/>
    </row>
    <row r="10" spans="1:25" ht="12.75" customHeight="1" x14ac:dyDescent="0.2">
      <c r="A10" s="407"/>
      <c r="B10" s="638">
        <f t="shared" si="2"/>
        <v>0</v>
      </c>
      <c r="C10" s="853"/>
      <c r="D10" s="854"/>
      <c r="E10" s="852">
        <f t="shared" si="0"/>
        <v>0</v>
      </c>
      <c r="F10" s="641">
        <f t="shared" si="1"/>
        <v>0</v>
      </c>
      <c r="G10" s="411"/>
      <c r="H10" s="411"/>
      <c r="I10" s="848"/>
      <c r="J10" s="849"/>
      <c r="K10" s="407"/>
      <c r="L10" s="407"/>
      <c r="M10" s="407"/>
      <c r="N10" s="407"/>
      <c r="O10" s="407"/>
      <c r="P10" s="407"/>
      <c r="Q10" s="407"/>
      <c r="R10" s="407"/>
      <c r="S10" s="407"/>
      <c r="T10" s="407"/>
      <c r="U10" s="407"/>
      <c r="V10" s="407"/>
      <c r="W10" s="407"/>
      <c r="X10" s="407"/>
      <c r="Y10" s="407"/>
    </row>
    <row r="11" spans="1:25" ht="12.75" customHeight="1" x14ac:dyDescent="0.2">
      <c r="A11" s="407"/>
      <c r="B11" s="638">
        <f t="shared" si="2"/>
        <v>0</v>
      </c>
      <c r="C11" s="853"/>
      <c r="D11" s="854"/>
      <c r="E11" s="852">
        <f t="shared" si="0"/>
        <v>0</v>
      </c>
      <c r="F11" s="641">
        <f t="shared" si="1"/>
        <v>0</v>
      </c>
      <c r="G11" s="411"/>
      <c r="H11" s="411"/>
      <c r="I11" s="848"/>
      <c r="J11" s="849"/>
      <c r="K11" s="407"/>
      <c r="L11" s="407"/>
      <c r="M11" s="407"/>
      <c r="N11" s="407"/>
      <c r="O11" s="407"/>
      <c r="P11" s="407"/>
      <c r="Q11" s="407"/>
      <c r="R11" s="407"/>
      <c r="S11" s="407"/>
      <c r="T11" s="407"/>
      <c r="U11" s="407"/>
      <c r="V11" s="407"/>
      <c r="W11" s="407"/>
      <c r="X11" s="407"/>
      <c r="Y11" s="407"/>
    </row>
    <row r="12" spans="1:25" ht="12.75" customHeight="1" x14ac:dyDescent="0.2">
      <c r="A12" s="407"/>
      <c r="B12" s="638">
        <f t="shared" si="2"/>
        <v>0</v>
      </c>
      <c r="C12" s="853"/>
      <c r="D12" s="854"/>
      <c r="E12" s="852">
        <f t="shared" si="0"/>
        <v>0</v>
      </c>
      <c r="F12" s="641">
        <f t="shared" si="1"/>
        <v>0</v>
      </c>
      <c r="G12" s="411"/>
      <c r="H12" s="411"/>
      <c r="I12" s="848"/>
      <c r="J12" s="849"/>
      <c r="K12" s="407"/>
      <c r="L12" s="407"/>
      <c r="M12" s="407"/>
      <c r="N12" s="407"/>
      <c r="O12" s="407"/>
      <c r="P12" s="407"/>
      <c r="Q12" s="407"/>
      <c r="R12" s="407"/>
      <c r="S12" s="407"/>
      <c r="T12" s="407"/>
      <c r="U12" s="407"/>
      <c r="V12" s="407"/>
      <c r="W12" s="407"/>
      <c r="X12" s="407"/>
      <c r="Y12" s="407"/>
    </row>
    <row r="13" spans="1:25" ht="12.75" customHeight="1" x14ac:dyDescent="0.2">
      <c r="A13" s="407"/>
      <c r="B13" s="638">
        <f t="shared" si="2"/>
        <v>0</v>
      </c>
      <c r="C13" s="853"/>
      <c r="D13" s="854"/>
      <c r="E13" s="852">
        <f t="shared" si="0"/>
        <v>0</v>
      </c>
      <c r="F13" s="641">
        <f t="shared" si="1"/>
        <v>0</v>
      </c>
      <c r="G13" s="411"/>
      <c r="H13" s="411"/>
      <c r="I13" s="848"/>
      <c r="J13" s="849"/>
      <c r="K13" s="407"/>
      <c r="L13" s="407"/>
      <c r="M13" s="407"/>
      <c r="N13" s="407"/>
      <c r="O13" s="407"/>
      <c r="P13" s="407"/>
      <c r="Q13" s="407"/>
      <c r="R13" s="407"/>
      <c r="S13" s="407"/>
      <c r="T13" s="407"/>
      <c r="U13" s="407"/>
      <c r="V13" s="407"/>
      <c r="W13" s="407"/>
      <c r="X13" s="407"/>
      <c r="Y13" s="407"/>
    </row>
    <row r="14" spans="1:25" ht="12.75" customHeight="1" x14ac:dyDescent="0.2">
      <c r="A14" s="407"/>
      <c r="B14" s="638">
        <f t="shared" si="2"/>
        <v>0</v>
      </c>
      <c r="C14" s="853"/>
      <c r="D14" s="854"/>
      <c r="E14" s="852">
        <f t="shared" si="0"/>
        <v>0</v>
      </c>
      <c r="F14" s="641">
        <f t="shared" si="1"/>
        <v>0</v>
      </c>
      <c r="G14" s="411"/>
      <c r="H14" s="411"/>
      <c r="I14" s="848"/>
      <c r="J14" s="849"/>
      <c r="K14" s="407"/>
      <c r="L14" s="407"/>
      <c r="M14" s="407"/>
      <c r="N14" s="407"/>
      <c r="O14" s="407"/>
      <c r="P14" s="407"/>
      <c r="Q14" s="407"/>
      <c r="R14" s="407"/>
      <c r="S14" s="407"/>
      <c r="T14" s="407"/>
      <c r="U14" s="407"/>
      <c r="V14" s="407"/>
      <c r="W14" s="407"/>
      <c r="X14" s="407"/>
      <c r="Y14" s="407"/>
    </row>
    <row r="15" spans="1:25" ht="12.75" customHeight="1" x14ac:dyDescent="0.2">
      <c r="A15" s="407"/>
      <c r="B15" s="638">
        <f t="shared" si="2"/>
        <v>0</v>
      </c>
      <c r="C15" s="853"/>
      <c r="D15" s="854"/>
      <c r="E15" s="852">
        <f t="shared" si="0"/>
        <v>0</v>
      </c>
      <c r="F15" s="641">
        <f t="shared" si="1"/>
        <v>0</v>
      </c>
      <c r="G15" s="411"/>
      <c r="H15" s="411"/>
      <c r="I15" s="848"/>
      <c r="J15" s="849"/>
      <c r="K15" s="407"/>
      <c r="L15" s="407"/>
      <c r="M15" s="407"/>
      <c r="N15" s="407"/>
      <c r="O15" s="407"/>
      <c r="P15" s="407"/>
      <c r="Q15" s="407"/>
      <c r="R15" s="407"/>
      <c r="S15" s="407"/>
      <c r="T15" s="407"/>
      <c r="U15" s="407"/>
      <c r="V15" s="407"/>
      <c r="W15" s="407"/>
      <c r="X15" s="407"/>
      <c r="Y15" s="407"/>
    </row>
    <row r="16" spans="1:25" ht="12.75" customHeight="1" x14ac:dyDescent="0.2">
      <c r="A16" s="407"/>
      <c r="B16" s="638">
        <f t="shared" si="2"/>
        <v>0</v>
      </c>
      <c r="C16" s="853"/>
      <c r="D16" s="854"/>
      <c r="E16" s="852">
        <f t="shared" si="0"/>
        <v>0</v>
      </c>
      <c r="F16" s="641">
        <f t="shared" si="1"/>
        <v>0</v>
      </c>
      <c r="G16" s="411"/>
      <c r="H16" s="411"/>
      <c r="I16" s="848"/>
      <c r="J16" s="849"/>
      <c r="K16" s="407"/>
      <c r="L16" s="407"/>
      <c r="M16" s="407"/>
      <c r="N16" s="407"/>
      <c r="O16" s="407"/>
      <c r="P16" s="407"/>
      <c r="Q16" s="407"/>
      <c r="R16" s="407"/>
      <c r="S16" s="407"/>
      <c r="T16" s="407"/>
      <c r="U16" s="407"/>
      <c r="V16" s="407"/>
      <c r="W16" s="407"/>
      <c r="X16" s="407"/>
      <c r="Y16" s="407"/>
    </row>
    <row r="17" spans="1:25" ht="12.75" customHeight="1" x14ac:dyDescent="0.2">
      <c r="A17" s="407"/>
      <c r="B17" s="638">
        <f t="shared" si="2"/>
        <v>0</v>
      </c>
      <c r="C17" s="853"/>
      <c r="D17" s="854"/>
      <c r="E17" s="852">
        <f t="shared" si="0"/>
        <v>0</v>
      </c>
      <c r="F17" s="641">
        <f t="shared" si="1"/>
        <v>0</v>
      </c>
      <c r="G17" s="411"/>
      <c r="H17" s="411"/>
      <c r="I17" s="848"/>
      <c r="J17" s="849"/>
      <c r="K17" s="407"/>
      <c r="L17" s="407"/>
      <c r="M17" s="407"/>
      <c r="N17" s="407"/>
      <c r="O17" s="407"/>
      <c r="P17" s="407"/>
      <c r="Q17" s="407"/>
      <c r="R17" s="407"/>
      <c r="S17" s="407"/>
      <c r="T17" s="407"/>
      <c r="U17" s="407"/>
      <c r="V17" s="407"/>
      <c r="W17" s="407"/>
      <c r="X17" s="407"/>
      <c r="Y17" s="407"/>
    </row>
    <row r="18" spans="1:25" ht="12.75" customHeight="1" x14ac:dyDescent="0.2">
      <c r="A18" s="407"/>
      <c r="B18" s="638">
        <f t="shared" si="2"/>
        <v>0</v>
      </c>
      <c r="C18" s="853"/>
      <c r="D18" s="854"/>
      <c r="E18" s="852">
        <f t="shared" si="0"/>
        <v>0</v>
      </c>
      <c r="F18" s="641">
        <f t="shared" si="1"/>
        <v>0</v>
      </c>
      <c r="G18" s="411"/>
      <c r="H18" s="411"/>
      <c r="I18" s="848"/>
      <c r="J18" s="849"/>
      <c r="K18" s="407"/>
      <c r="L18" s="407"/>
      <c r="M18" s="407"/>
      <c r="N18" s="407"/>
      <c r="O18" s="407"/>
      <c r="P18" s="407"/>
      <c r="Q18" s="407"/>
      <c r="R18" s="407"/>
      <c r="S18" s="407"/>
      <c r="T18" s="407"/>
      <c r="U18" s="407"/>
      <c r="V18" s="407"/>
      <c r="W18" s="407"/>
      <c r="X18" s="407"/>
      <c r="Y18" s="407"/>
    </row>
    <row r="19" spans="1:25" ht="12.75" customHeight="1" x14ac:dyDescent="0.2">
      <c r="A19" s="407"/>
      <c r="B19" s="638">
        <f t="shared" si="2"/>
        <v>0</v>
      </c>
      <c r="C19" s="853"/>
      <c r="D19" s="854"/>
      <c r="E19" s="852">
        <f t="shared" si="0"/>
        <v>0</v>
      </c>
      <c r="F19" s="641">
        <f t="shared" si="1"/>
        <v>0</v>
      </c>
      <c r="G19" s="411"/>
      <c r="H19" s="411"/>
      <c r="I19" s="848"/>
      <c r="J19" s="849"/>
      <c r="K19" s="407"/>
      <c r="L19" s="407"/>
      <c r="M19" s="407"/>
      <c r="N19" s="407"/>
      <c r="O19" s="407"/>
      <c r="P19" s="407"/>
      <c r="Q19" s="407"/>
      <c r="R19" s="407"/>
      <c r="S19" s="407"/>
      <c r="T19" s="407"/>
      <c r="U19" s="407"/>
      <c r="V19" s="407"/>
      <c r="W19" s="407"/>
      <c r="X19" s="407"/>
      <c r="Y19" s="407"/>
    </row>
    <row r="20" spans="1:25" ht="12.75" customHeight="1" x14ac:dyDescent="0.2">
      <c r="A20" s="407"/>
      <c r="B20" s="638">
        <f t="shared" si="2"/>
        <v>0</v>
      </c>
      <c r="C20" s="853"/>
      <c r="D20" s="854"/>
      <c r="E20" s="852">
        <f t="shared" si="0"/>
        <v>0</v>
      </c>
      <c r="F20" s="641">
        <f t="shared" si="1"/>
        <v>0</v>
      </c>
      <c r="G20" s="411"/>
      <c r="H20" s="411"/>
      <c r="I20" s="848"/>
      <c r="J20" s="849"/>
      <c r="K20" s="407"/>
      <c r="L20" s="407"/>
      <c r="M20" s="407"/>
      <c r="N20" s="407"/>
      <c r="O20" s="407"/>
      <c r="P20" s="407"/>
      <c r="Q20" s="407"/>
      <c r="R20" s="407"/>
      <c r="S20" s="407"/>
      <c r="T20" s="407"/>
      <c r="U20" s="407"/>
      <c r="V20" s="407"/>
      <c r="W20" s="407"/>
      <c r="X20" s="407"/>
      <c r="Y20" s="407"/>
    </row>
    <row r="21" spans="1:25" ht="12.75" customHeight="1" x14ac:dyDescent="0.2">
      <c r="A21" s="407"/>
      <c r="B21" s="638">
        <f t="shared" si="2"/>
        <v>0</v>
      </c>
      <c r="C21" s="853"/>
      <c r="D21" s="854"/>
      <c r="E21" s="852">
        <f t="shared" si="0"/>
        <v>0</v>
      </c>
      <c r="F21" s="641">
        <f t="shared" si="1"/>
        <v>0</v>
      </c>
      <c r="G21" s="411"/>
      <c r="H21" s="411"/>
      <c r="I21" s="848"/>
      <c r="J21" s="849"/>
      <c r="K21" s="407"/>
      <c r="L21" s="407"/>
      <c r="M21" s="407"/>
      <c r="N21" s="407"/>
      <c r="O21" s="407"/>
      <c r="P21" s="407"/>
      <c r="Q21" s="407"/>
      <c r="R21" s="407"/>
      <c r="S21" s="407"/>
      <c r="T21" s="407"/>
      <c r="U21" s="407"/>
      <c r="V21" s="407"/>
      <c r="W21" s="407"/>
      <c r="X21" s="407"/>
      <c r="Y21" s="407"/>
    </row>
    <row r="22" spans="1:25" ht="12.75" customHeight="1" x14ac:dyDescent="0.2">
      <c r="A22" s="407"/>
      <c r="B22" s="638">
        <f t="shared" si="2"/>
        <v>0</v>
      </c>
      <c r="C22" s="853"/>
      <c r="D22" s="854"/>
      <c r="E22" s="852">
        <f t="shared" si="0"/>
        <v>0</v>
      </c>
      <c r="F22" s="641">
        <f t="shared" si="1"/>
        <v>0</v>
      </c>
      <c r="G22" s="411"/>
      <c r="H22" s="411"/>
      <c r="I22" s="848"/>
      <c r="J22" s="849"/>
      <c r="K22" s="407"/>
      <c r="L22" s="407"/>
      <c r="M22" s="407"/>
      <c r="N22" s="407"/>
      <c r="O22" s="407"/>
      <c r="P22" s="407"/>
      <c r="Q22" s="407"/>
      <c r="R22" s="407"/>
      <c r="S22" s="407"/>
      <c r="T22" s="407"/>
      <c r="U22" s="407"/>
      <c r="V22" s="407"/>
      <c r="W22" s="407"/>
      <c r="X22" s="407"/>
      <c r="Y22" s="407"/>
    </row>
    <row r="23" spans="1:25" ht="12.75" customHeight="1" x14ac:dyDescent="0.2">
      <c r="A23" s="407"/>
      <c r="B23" s="638">
        <f t="shared" si="2"/>
        <v>0</v>
      </c>
      <c r="C23" s="853"/>
      <c r="D23" s="854"/>
      <c r="E23" s="852">
        <f t="shared" si="0"/>
        <v>0</v>
      </c>
      <c r="F23" s="641">
        <f t="shared" si="1"/>
        <v>0</v>
      </c>
      <c r="G23" s="411"/>
      <c r="H23" s="411"/>
      <c r="I23" s="848"/>
      <c r="J23" s="849"/>
      <c r="K23" s="407"/>
      <c r="L23" s="407"/>
      <c r="M23" s="407"/>
      <c r="N23" s="407"/>
      <c r="O23" s="407"/>
      <c r="P23" s="407"/>
      <c r="Q23" s="407"/>
      <c r="R23" s="407"/>
      <c r="S23" s="407"/>
      <c r="T23" s="407"/>
      <c r="U23" s="407"/>
      <c r="V23" s="407"/>
      <c r="W23" s="407"/>
      <c r="X23" s="407"/>
      <c r="Y23" s="407"/>
    </row>
    <row r="24" spans="1:25" ht="12.75" customHeight="1" x14ac:dyDescent="0.2">
      <c r="A24" s="407"/>
      <c r="B24" s="638">
        <f t="shared" si="2"/>
        <v>0</v>
      </c>
      <c r="C24" s="853"/>
      <c r="D24" s="854"/>
      <c r="E24" s="852">
        <f t="shared" si="0"/>
        <v>0</v>
      </c>
      <c r="F24" s="641">
        <f t="shared" si="1"/>
        <v>0</v>
      </c>
      <c r="G24" s="411"/>
      <c r="H24" s="411"/>
      <c r="I24" s="848"/>
      <c r="J24" s="849"/>
      <c r="K24" s="407"/>
      <c r="L24" s="407"/>
      <c r="M24" s="407"/>
      <c r="N24" s="407"/>
      <c r="O24" s="407"/>
      <c r="P24" s="407"/>
      <c r="Q24" s="407"/>
      <c r="R24" s="407"/>
      <c r="S24" s="407"/>
      <c r="T24" s="407"/>
      <c r="U24" s="407"/>
      <c r="V24" s="407"/>
      <c r="W24" s="407"/>
      <c r="X24" s="407"/>
      <c r="Y24" s="407"/>
    </row>
    <row r="25" spans="1:25" ht="12.75" customHeight="1" x14ac:dyDescent="0.2">
      <c r="A25" s="407"/>
      <c r="B25" s="638">
        <f t="shared" si="2"/>
        <v>0</v>
      </c>
      <c r="C25" s="853"/>
      <c r="D25" s="854"/>
      <c r="E25" s="852">
        <f t="shared" si="0"/>
        <v>0</v>
      </c>
      <c r="F25" s="641">
        <f t="shared" si="1"/>
        <v>0</v>
      </c>
      <c r="G25" s="411"/>
      <c r="H25" s="411"/>
      <c r="I25" s="848"/>
      <c r="J25" s="849"/>
      <c r="K25" s="407"/>
      <c r="L25" s="407"/>
      <c r="M25" s="407"/>
      <c r="N25" s="407"/>
      <c r="O25" s="407"/>
      <c r="P25" s="407"/>
      <c r="Q25" s="407"/>
      <c r="R25" s="407"/>
      <c r="S25" s="407"/>
      <c r="T25" s="407"/>
      <c r="U25" s="407"/>
      <c r="V25" s="407"/>
      <c r="W25" s="407"/>
      <c r="X25" s="407"/>
      <c r="Y25" s="407"/>
    </row>
    <row r="26" spans="1:25" ht="12.75" customHeight="1" x14ac:dyDescent="0.2">
      <c r="A26" s="407"/>
      <c r="B26" s="638">
        <f t="shared" si="2"/>
        <v>0</v>
      </c>
      <c r="C26" s="853"/>
      <c r="D26" s="854"/>
      <c r="E26" s="852">
        <f t="shared" si="0"/>
        <v>0</v>
      </c>
      <c r="F26" s="641">
        <f t="shared" si="1"/>
        <v>0</v>
      </c>
      <c r="G26" s="411"/>
      <c r="H26" s="411"/>
      <c r="I26" s="848"/>
      <c r="J26" s="849"/>
      <c r="K26" s="407"/>
      <c r="L26" s="407"/>
      <c r="M26" s="407"/>
      <c r="N26" s="407"/>
      <c r="O26" s="407"/>
      <c r="P26" s="407"/>
      <c r="Q26" s="407"/>
      <c r="R26" s="407"/>
      <c r="S26" s="407"/>
      <c r="T26" s="407"/>
      <c r="U26" s="407"/>
      <c r="V26" s="407"/>
      <c r="W26" s="407"/>
      <c r="X26" s="407"/>
      <c r="Y26" s="407"/>
    </row>
    <row r="27" spans="1:25" ht="12.75" customHeight="1" x14ac:dyDescent="0.2">
      <c r="A27" s="407"/>
      <c r="B27" s="638">
        <f t="shared" si="2"/>
        <v>0</v>
      </c>
      <c r="C27" s="853"/>
      <c r="D27" s="854"/>
      <c r="E27" s="852">
        <f t="shared" si="0"/>
        <v>0</v>
      </c>
      <c r="F27" s="641">
        <f t="shared" si="1"/>
        <v>0</v>
      </c>
      <c r="G27" s="411"/>
      <c r="H27" s="411"/>
      <c r="I27" s="848"/>
      <c r="J27" s="849"/>
      <c r="K27" s="407"/>
      <c r="L27" s="407"/>
      <c r="M27" s="407"/>
      <c r="N27" s="407"/>
      <c r="O27" s="407"/>
      <c r="P27" s="407"/>
      <c r="Q27" s="407"/>
      <c r="R27" s="407"/>
      <c r="S27" s="407"/>
      <c r="T27" s="407"/>
      <c r="U27" s="407"/>
      <c r="V27" s="407"/>
      <c r="W27" s="407"/>
      <c r="X27" s="407"/>
      <c r="Y27" s="407"/>
    </row>
    <row r="28" spans="1:25" ht="12.75" customHeight="1" x14ac:dyDescent="0.2">
      <c r="A28" s="407"/>
      <c r="B28" s="638">
        <f t="shared" si="2"/>
        <v>0</v>
      </c>
      <c r="C28" s="853"/>
      <c r="D28" s="854"/>
      <c r="E28" s="852">
        <f t="shared" si="0"/>
        <v>0</v>
      </c>
      <c r="F28" s="641">
        <f t="shared" si="1"/>
        <v>0</v>
      </c>
      <c r="G28" s="411"/>
      <c r="H28" s="411"/>
      <c r="I28" s="848"/>
      <c r="J28" s="849"/>
      <c r="K28" s="407"/>
      <c r="L28" s="407"/>
      <c r="M28" s="407"/>
      <c r="N28" s="407"/>
      <c r="O28" s="407"/>
      <c r="P28" s="407"/>
      <c r="Q28" s="407"/>
      <c r="R28" s="407"/>
      <c r="S28" s="407"/>
      <c r="T28" s="407"/>
      <c r="U28" s="407"/>
      <c r="V28" s="407"/>
      <c r="W28" s="407"/>
      <c r="X28" s="407"/>
      <c r="Y28" s="407"/>
    </row>
    <row r="29" spans="1:25" ht="12.75" customHeight="1" x14ac:dyDescent="0.2">
      <c r="A29" s="407"/>
      <c r="B29" s="638">
        <f t="shared" si="2"/>
        <v>0</v>
      </c>
      <c r="C29" s="853"/>
      <c r="D29" s="854"/>
      <c r="E29" s="852">
        <f t="shared" si="0"/>
        <v>0</v>
      </c>
      <c r="F29" s="641">
        <f t="shared" si="1"/>
        <v>0</v>
      </c>
      <c r="G29" s="411"/>
      <c r="H29" s="411"/>
      <c r="I29" s="848"/>
      <c r="J29" s="849"/>
      <c r="K29" s="407"/>
      <c r="L29" s="407"/>
      <c r="M29" s="407"/>
      <c r="N29" s="407"/>
      <c r="O29" s="407"/>
      <c r="P29" s="407"/>
      <c r="Q29" s="407"/>
      <c r="R29" s="407"/>
      <c r="S29" s="407"/>
      <c r="T29" s="407"/>
      <c r="U29" s="407"/>
      <c r="V29" s="407"/>
      <c r="W29" s="407"/>
      <c r="X29" s="407"/>
      <c r="Y29" s="407"/>
    </row>
    <row r="30" spans="1:25" ht="12.75" customHeight="1" x14ac:dyDescent="0.2">
      <c r="A30" s="407"/>
      <c r="B30" s="638">
        <f t="shared" si="2"/>
        <v>0</v>
      </c>
      <c r="C30" s="853"/>
      <c r="D30" s="854"/>
      <c r="E30" s="852">
        <f t="shared" si="0"/>
        <v>0</v>
      </c>
      <c r="F30" s="641">
        <f t="shared" si="1"/>
        <v>0</v>
      </c>
      <c r="G30" s="411"/>
      <c r="H30" s="411"/>
      <c r="I30" s="848"/>
      <c r="J30" s="849"/>
      <c r="K30" s="407"/>
      <c r="L30" s="407"/>
      <c r="M30" s="407"/>
      <c r="N30" s="407"/>
      <c r="O30" s="407"/>
      <c r="P30" s="407"/>
      <c r="Q30" s="407"/>
      <c r="R30" s="407"/>
      <c r="S30" s="407"/>
      <c r="T30" s="407"/>
      <c r="U30" s="407"/>
      <c r="V30" s="407"/>
      <c r="W30" s="407"/>
      <c r="X30" s="407"/>
      <c r="Y30" s="407"/>
    </row>
    <row r="31" spans="1:25" ht="12.75" customHeight="1" x14ac:dyDescent="0.2">
      <c r="A31" s="407"/>
      <c r="B31" s="638">
        <f t="shared" si="2"/>
        <v>0</v>
      </c>
      <c r="C31" s="853"/>
      <c r="D31" s="854"/>
      <c r="E31" s="852">
        <f t="shared" si="0"/>
        <v>0</v>
      </c>
      <c r="F31" s="641">
        <f t="shared" si="1"/>
        <v>0</v>
      </c>
      <c r="G31" s="411"/>
      <c r="H31" s="411"/>
      <c r="I31" s="848"/>
      <c r="J31" s="849"/>
      <c r="K31" s="407"/>
      <c r="L31" s="407"/>
      <c r="M31" s="407"/>
      <c r="N31" s="407"/>
      <c r="O31" s="407"/>
      <c r="P31" s="407"/>
      <c r="Q31" s="407"/>
      <c r="R31" s="407"/>
      <c r="S31" s="407"/>
      <c r="T31" s="407"/>
      <c r="U31" s="407"/>
      <c r="V31" s="407"/>
      <c r="W31" s="407"/>
      <c r="X31" s="407"/>
      <c r="Y31" s="407"/>
    </row>
    <row r="32" spans="1:25" ht="12.75" customHeight="1" x14ac:dyDescent="0.2">
      <c r="A32" s="407"/>
      <c r="B32" s="638">
        <f t="shared" si="2"/>
        <v>0</v>
      </c>
      <c r="C32" s="853"/>
      <c r="D32" s="854"/>
      <c r="E32" s="852">
        <f t="shared" si="0"/>
        <v>0</v>
      </c>
      <c r="F32" s="641">
        <f t="shared" si="1"/>
        <v>0</v>
      </c>
      <c r="G32" s="411"/>
      <c r="H32" s="411"/>
      <c r="I32" s="848"/>
      <c r="J32" s="849"/>
      <c r="K32" s="407"/>
      <c r="L32" s="407"/>
      <c r="M32" s="407"/>
      <c r="N32" s="407"/>
      <c r="O32" s="407"/>
      <c r="P32" s="407"/>
      <c r="Q32" s="407"/>
      <c r="R32" s="407"/>
      <c r="S32" s="407"/>
      <c r="T32" s="407"/>
      <c r="U32" s="407"/>
      <c r="V32" s="407"/>
      <c r="W32" s="407"/>
      <c r="X32" s="407"/>
      <c r="Y32" s="407"/>
    </row>
    <row r="33" spans="1:25" ht="12.75" customHeight="1" x14ac:dyDescent="0.2">
      <c r="A33" s="407"/>
      <c r="B33" s="638">
        <f t="shared" si="2"/>
        <v>0</v>
      </c>
      <c r="C33" s="853"/>
      <c r="D33" s="854"/>
      <c r="E33" s="852">
        <f t="shared" si="0"/>
        <v>0</v>
      </c>
      <c r="F33" s="641">
        <f t="shared" si="1"/>
        <v>0</v>
      </c>
      <c r="G33" s="411"/>
      <c r="H33" s="411"/>
      <c r="I33" s="848"/>
      <c r="J33" s="849"/>
      <c r="K33" s="407"/>
      <c r="L33" s="407"/>
      <c r="M33" s="407"/>
      <c r="N33" s="407"/>
      <c r="O33" s="407"/>
      <c r="P33" s="407"/>
      <c r="Q33" s="407"/>
      <c r="R33" s="407"/>
      <c r="S33" s="407"/>
      <c r="T33" s="407"/>
      <c r="U33" s="407"/>
      <c r="V33" s="407"/>
      <c r="W33" s="407"/>
      <c r="X33" s="407"/>
      <c r="Y33" s="407"/>
    </row>
    <row r="34" spans="1:25" ht="12.75" customHeight="1" x14ac:dyDescent="0.2">
      <c r="A34" s="407"/>
      <c r="B34" s="638">
        <f t="shared" si="2"/>
        <v>0</v>
      </c>
      <c r="C34" s="853"/>
      <c r="D34" s="854"/>
      <c r="E34" s="852">
        <f t="shared" si="0"/>
        <v>0</v>
      </c>
      <c r="F34" s="641">
        <f t="shared" si="1"/>
        <v>0</v>
      </c>
      <c r="G34" s="411"/>
      <c r="H34" s="411"/>
      <c r="I34" s="848"/>
      <c r="J34" s="849"/>
      <c r="K34" s="412"/>
      <c r="L34" s="412"/>
      <c r="M34" s="412"/>
      <c r="N34" s="412"/>
      <c r="O34" s="407"/>
      <c r="P34" s="407"/>
      <c r="Q34" s="407"/>
      <c r="R34" s="407"/>
      <c r="S34" s="407"/>
      <c r="T34" s="407"/>
      <c r="U34" s="407"/>
      <c r="V34" s="407"/>
      <c r="W34" s="407"/>
      <c r="X34" s="407"/>
      <c r="Y34" s="407"/>
    </row>
    <row r="35" spans="1:25" ht="12.75" customHeight="1" x14ac:dyDescent="0.2">
      <c r="A35" s="407"/>
      <c r="B35" s="638">
        <f t="shared" si="2"/>
        <v>0</v>
      </c>
      <c r="C35" s="853"/>
      <c r="D35" s="854"/>
      <c r="E35" s="852">
        <f t="shared" si="0"/>
        <v>0</v>
      </c>
      <c r="F35" s="641">
        <f t="shared" si="1"/>
        <v>0</v>
      </c>
      <c r="G35" s="411"/>
      <c r="H35" s="411"/>
      <c r="I35" s="848"/>
      <c r="J35" s="849"/>
      <c r="K35" s="407"/>
      <c r="L35" s="407"/>
      <c r="M35" s="407"/>
      <c r="N35" s="407"/>
      <c r="O35" s="407"/>
      <c r="P35" s="407"/>
      <c r="Q35" s="407"/>
      <c r="R35" s="407"/>
      <c r="S35" s="407"/>
      <c r="T35" s="407"/>
      <c r="U35" s="407"/>
      <c r="V35" s="407"/>
      <c r="W35" s="407"/>
      <c r="X35" s="407"/>
      <c r="Y35" s="407"/>
    </row>
    <row r="36" spans="1:25" ht="12.75" customHeight="1" x14ac:dyDescent="0.2">
      <c r="A36" s="407"/>
      <c r="B36" s="638">
        <f t="shared" si="2"/>
        <v>0</v>
      </c>
      <c r="C36" s="853"/>
      <c r="D36" s="854"/>
      <c r="E36" s="852">
        <f t="shared" si="0"/>
        <v>0</v>
      </c>
      <c r="F36" s="641">
        <f t="shared" si="1"/>
        <v>0</v>
      </c>
      <c r="G36" s="411"/>
      <c r="H36" s="411"/>
      <c r="I36" s="848"/>
      <c r="J36" s="849"/>
      <c r="K36" s="407"/>
      <c r="L36" s="407"/>
      <c r="M36" s="407"/>
      <c r="N36" s="407"/>
      <c r="O36" s="407"/>
      <c r="P36" s="407"/>
      <c r="Q36" s="407"/>
      <c r="R36" s="407"/>
      <c r="S36" s="407"/>
      <c r="T36" s="407"/>
      <c r="U36" s="407"/>
      <c r="V36" s="407"/>
      <c r="W36" s="407"/>
      <c r="X36" s="407"/>
      <c r="Y36" s="407"/>
    </row>
    <row r="37" spans="1:25" ht="12.75" customHeight="1" x14ac:dyDescent="0.2">
      <c r="A37" s="407"/>
      <c r="B37" s="638">
        <f t="shared" si="2"/>
        <v>0</v>
      </c>
      <c r="C37" s="853"/>
      <c r="D37" s="854"/>
      <c r="E37" s="852">
        <f t="shared" si="0"/>
        <v>0</v>
      </c>
      <c r="F37" s="641">
        <f t="shared" si="1"/>
        <v>0</v>
      </c>
      <c r="G37" s="411"/>
      <c r="H37" s="411"/>
      <c r="I37" s="848"/>
      <c r="J37" s="849"/>
      <c r="K37" s="407"/>
      <c r="L37" s="407"/>
      <c r="M37" s="407"/>
      <c r="N37" s="407"/>
      <c r="O37" s="407"/>
      <c r="P37" s="407"/>
      <c r="Q37" s="407"/>
      <c r="R37" s="407"/>
      <c r="S37" s="407"/>
      <c r="T37" s="407"/>
      <c r="U37" s="407"/>
      <c r="V37" s="407"/>
      <c r="W37" s="407"/>
      <c r="X37" s="407"/>
      <c r="Y37" s="407"/>
    </row>
    <row r="38" spans="1:25" ht="12.75" customHeight="1" x14ac:dyDescent="0.2">
      <c r="A38" s="407"/>
      <c r="B38" s="638">
        <f t="shared" si="2"/>
        <v>0</v>
      </c>
      <c r="C38" s="853"/>
      <c r="D38" s="854"/>
      <c r="E38" s="852">
        <f t="shared" si="0"/>
        <v>0</v>
      </c>
      <c r="F38" s="641">
        <f t="shared" si="1"/>
        <v>0</v>
      </c>
      <c r="G38" s="411"/>
      <c r="H38" s="411"/>
      <c r="I38" s="848"/>
      <c r="J38" s="849"/>
      <c r="K38" s="407"/>
      <c r="L38" s="407"/>
      <c r="M38" s="407"/>
      <c r="N38" s="407"/>
      <c r="O38" s="407"/>
      <c r="P38" s="407"/>
      <c r="Q38" s="407"/>
      <c r="R38" s="407"/>
      <c r="S38" s="407"/>
      <c r="T38" s="407"/>
      <c r="U38" s="407"/>
      <c r="V38" s="407"/>
      <c r="W38" s="407"/>
      <c r="X38" s="407"/>
      <c r="Y38" s="407"/>
    </row>
    <row r="39" spans="1:25" ht="12.75" customHeight="1" x14ac:dyDescent="0.2">
      <c r="A39" s="407"/>
      <c r="B39" s="638">
        <f t="shared" si="2"/>
        <v>0</v>
      </c>
      <c r="C39" s="853"/>
      <c r="D39" s="854"/>
      <c r="E39" s="852">
        <f t="shared" si="0"/>
        <v>0</v>
      </c>
      <c r="F39" s="641">
        <f t="shared" si="1"/>
        <v>0</v>
      </c>
      <c r="G39" s="411"/>
      <c r="H39" s="411"/>
      <c r="I39" s="848"/>
      <c r="J39" s="849"/>
      <c r="K39" s="1545"/>
      <c r="L39" s="1545"/>
      <c r="M39" s="1545"/>
      <c r="N39" s="1545"/>
      <c r="O39" s="407"/>
      <c r="P39" s="407"/>
      <c r="Q39" s="407"/>
      <c r="R39" s="407"/>
      <c r="S39" s="407"/>
      <c r="T39" s="407"/>
      <c r="U39" s="407"/>
      <c r="V39" s="407"/>
      <c r="W39" s="407"/>
      <c r="X39" s="407"/>
      <c r="Y39" s="407"/>
    </row>
    <row r="40" spans="1:25" ht="12.75" customHeight="1" x14ac:dyDescent="0.2">
      <c r="A40" s="407"/>
      <c r="B40" s="638">
        <f t="shared" si="2"/>
        <v>0</v>
      </c>
      <c r="C40" s="853"/>
      <c r="D40" s="854"/>
      <c r="E40" s="852">
        <f t="shared" si="0"/>
        <v>0</v>
      </c>
      <c r="F40" s="641">
        <f t="shared" si="1"/>
        <v>0</v>
      </c>
      <c r="G40" s="411"/>
      <c r="H40" s="411"/>
      <c r="I40" s="848"/>
      <c r="J40" s="849"/>
      <c r="K40" s="407"/>
      <c r="L40" s="407"/>
      <c r="M40" s="407"/>
      <c r="N40" s="407"/>
      <c r="O40" s="407"/>
      <c r="P40" s="407"/>
      <c r="Q40" s="407"/>
      <c r="R40" s="407"/>
      <c r="S40" s="407"/>
      <c r="T40" s="407"/>
      <c r="U40" s="407"/>
      <c r="V40" s="407"/>
      <c r="W40" s="407"/>
      <c r="X40" s="407"/>
      <c r="Y40" s="407"/>
    </row>
    <row r="41" spans="1:25" ht="12.75" customHeight="1" x14ac:dyDescent="0.2">
      <c r="A41" s="407"/>
      <c r="B41" s="638">
        <f t="shared" si="2"/>
        <v>0</v>
      </c>
      <c r="C41" s="853"/>
      <c r="D41" s="854"/>
      <c r="E41" s="852">
        <f t="shared" si="0"/>
        <v>0</v>
      </c>
      <c r="F41" s="641">
        <f t="shared" si="1"/>
        <v>0</v>
      </c>
      <c r="G41" s="411"/>
      <c r="H41" s="411"/>
      <c r="I41" s="848"/>
      <c r="J41" s="849"/>
      <c r="K41" s="407"/>
      <c r="L41" s="407"/>
      <c r="M41" s="407"/>
      <c r="N41" s="407"/>
      <c r="O41" s="407"/>
      <c r="P41" s="407"/>
      <c r="Q41" s="407"/>
      <c r="R41" s="407"/>
      <c r="S41" s="407"/>
      <c r="T41" s="407"/>
      <c r="U41" s="407"/>
      <c r="V41" s="407"/>
      <c r="W41" s="407"/>
      <c r="X41" s="407"/>
      <c r="Y41" s="407"/>
    </row>
    <row r="42" spans="1:25" ht="12.75" customHeight="1" x14ac:dyDescent="0.2">
      <c r="A42" s="407"/>
      <c r="B42" s="638">
        <f t="shared" si="2"/>
        <v>0</v>
      </c>
      <c r="C42" s="853"/>
      <c r="D42" s="854"/>
      <c r="E42" s="852">
        <f t="shared" si="0"/>
        <v>0</v>
      </c>
      <c r="F42" s="641">
        <f t="shared" si="1"/>
        <v>0</v>
      </c>
      <c r="G42" s="411"/>
      <c r="H42" s="411"/>
      <c r="I42" s="848"/>
      <c r="J42" s="849"/>
      <c r="K42" s="407"/>
      <c r="L42" s="407"/>
      <c r="M42" s="407"/>
      <c r="N42" s="407"/>
      <c r="O42" s="407"/>
      <c r="P42" s="407"/>
      <c r="Q42" s="407"/>
      <c r="R42" s="407"/>
      <c r="S42" s="407"/>
      <c r="T42" s="407"/>
      <c r="U42" s="407"/>
      <c r="V42" s="407"/>
      <c r="W42" s="407"/>
      <c r="X42" s="407"/>
      <c r="Y42" s="407"/>
    </row>
    <row r="43" spans="1:25" ht="12.75" customHeight="1" x14ac:dyDescent="0.2">
      <c r="A43" s="407"/>
      <c r="B43" s="638">
        <f t="shared" si="2"/>
        <v>0</v>
      </c>
      <c r="C43" s="853"/>
      <c r="D43" s="854"/>
      <c r="E43" s="852">
        <f t="shared" si="0"/>
        <v>0</v>
      </c>
      <c r="F43" s="641">
        <f t="shared" si="1"/>
        <v>0</v>
      </c>
      <c r="G43" s="411"/>
      <c r="H43" s="411"/>
      <c r="I43" s="848"/>
      <c r="J43" s="849"/>
      <c r="K43" s="1545"/>
      <c r="L43" s="1545"/>
      <c r="M43" s="1545"/>
      <c r="N43" s="1545"/>
      <c r="O43" s="407"/>
      <c r="P43" s="407"/>
      <c r="Q43" s="407"/>
      <c r="R43" s="407"/>
      <c r="S43" s="407"/>
      <c r="T43" s="407"/>
      <c r="U43" s="407"/>
      <c r="V43" s="407"/>
      <c r="W43" s="407"/>
      <c r="X43" s="407"/>
      <c r="Y43" s="407"/>
    </row>
    <row r="44" spans="1:25" ht="12.75" customHeight="1" x14ac:dyDescent="0.2">
      <c r="A44" s="407"/>
      <c r="B44" s="638">
        <f t="shared" si="2"/>
        <v>0</v>
      </c>
      <c r="C44" s="853"/>
      <c r="D44" s="854"/>
      <c r="E44" s="852">
        <f t="shared" si="0"/>
        <v>0</v>
      </c>
      <c r="F44" s="641">
        <f t="shared" si="1"/>
        <v>0</v>
      </c>
      <c r="G44" s="411"/>
      <c r="H44" s="411"/>
      <c r="I44" s="848"/>
      <c r="J44" s="849"/>
      <c r="K44" s="407"/>
      <c r="L44" s="407"/>
      <c r="M44" s="407"/>
      <c r="N44" s="407"/>
      <c r="O44" s="407"/>
      <c r="P44" s="407"/>
      <c r="Q44" s="407"/>
      <c r="R44" s="407"/>
      <c r="S44" s="407"/>
      <c r="T44" s="407"/>
      <c r="U44" s="407"/>
      <c r="V44" s="407"/>
      <c r="W44" s="407"/>
      <c r="X44" s="407"/>
      <c r="Y44" s="407"/>
    </row>
    <row r="45" spans="1:25" ht="12.75" customHeight="1" x14ac:dyDescent="0.2">
      <c r="A45" s="407"/>
      <c r="B45" s="638">
        <f t="shared" si="2"/>
        <v>0</v>
      </c>
      <c r="C45" s="853"/>
      <c r="D45" s="854"/>
      <c r="E45" s="852">
        <f t="shared" si="0"/>
        <v>0</v>
      </c>
      <c r="F45" s="641">
        <f t="shared" si="1"/>
        <v>0</v>
      </c>
      <c r="G45" s="411"/>
      <c r="H45" s="411"/>
      <c r="I45" s="848"/>
      <c r="J45" s="849"/>
      <c r="K45" s="407"/>
      <c r="L45" s="407"/>
      <c r="M45" s="407"/>
      <c r="N45" s="407"/>
      <c r="O45" s="407"/>
      <c r="P45" s="407"/>
      <c r="Q45" s="407"/>
      <c r="R45" s="407"/>
      <c r="S45" s="407"/>
      <c r="T45" s="407"/>
      <c r="U45" s="407"/>
      <c r="V45" s="407"/>
      <c r="W45" s="407"/>
      <c r="X45" s="407"/>
      <c r="Y45" s="407"/>
    </row>
    <row r="46" spans="1:25" ht="12.75" customHeight="1" x14ac:dyDescent="0.2">
      <c r="A46" s="407"/>
      <c r="B46" s="638">
        <f t="shared" si="2"/>
        <v>0</v>
      </c>
      <c r="C46" s="853"/>
      <c r="D46" s="854"/>
      <c r="E46" s="852">
        <f t="shared" si="0"/>
        <v>0</v>
      </c>
      <c r="F46" s="641">
        <f t="shared" si="1"/>
        <v>0</v>
      </c>
      <c r="G46" s="411"/>
      <c r="H46" s="411"/>
      <c r="I46" s="848"/>
      <c r="J46" s="849"/>
      <c r="K46" s="407"/>
      <c r="L46" s="407"/>
      <c r="M46" s="407"/>
      <c r="N46" s="407"/>
      <c r="O46" s="407"/>
      <c r="P46" s="407"/>
      <c r="Q46" s="407"/>
      <c r="R46" s="407"/>
      <c r="S46" s="407"/>
      <c r="T46" s="407"/>
      <c r="U46" s="407"/>
      <c r="V46" s="407"/>
      <c r="W46" s="407"/>
      <c r="X46" s="407"/>
      <c r="Y46" s="407"/>
    </row>
    <row r="47" spans="1:25" ht="12.75" customHeight="1" x14ac:dyDescent="0.2">
      <c r="A47" s="407"/>
      <c r="B47" s="638">
        <f t="shared" si="2"/>
        <v>0</v>
      </c>
      <c r="C47" s="853"/>
      <c r="D47" s="854"/>
      <c r="E47" s="852">
        <f t="shared" si="0"/>
        <v>0</v>
      </c>
      <c r="F47" s="641">
        <f t="shared" si="1"/>
        <v>0</v>
      </c>
      <c r="G47" s="411"/>
      <c r="H47" s="411"/>
      <c r="I47" s="848"/>
      <c r="J47" s="849"/>
      <c r="K47" s="1545"/>
      <c r="L47" s="1545"/>
      <c r="M47" s="1545"/>
      <c r="N47" s="1545"/>
      <c r="O47" s="407"/>
      <c r="P47" s="407"/>
      <c r="Q47" s="407"/>
      <c r="R47" s="407"/>
      <c r="S47" s="407"/>
      <c r="T47" s="407"/>
      <c r="U47" s="407"/>
      <c r="V47" s="407"/>
      <c r="W47" s="407"/>
      <c r="X47" s="407"/>
      <c r="Y47" s="407"/>
    </row>
    <row r="48" spans="1:25" ht="12.75" customHeight="1" thickBot="1" x14ac:dyDescent="0.25">
      <c r="A48" s="407"/>
      <c r="B48" s="638">
        <f t="shared" si="2"/>
        <v>0</v>
      </c>
      <c r="C48" s="855"/>
      <c r="D48" s="856"/>
      <c r="E48" s="852">
        <f t="shared" si="0"/>
        <v>0</v>
      </c>
      <c r="F48" s="641">
        <f t="shared" si="1"/>
        <v>0</v>
      </c>
      <c r="G48" s="411"/>
      <c r="H48" s="411"/>
      <c r="I48" s="434"/>
      <c r="J48" s="435"/>
      <c r="K48" s="407"/>
      <c r="L48" s="407"/>
      <c r="M48" s="407"/>
      <c r="N48" s="407"/>
      <c r="O48" s="407"/>
      <c r="P48" s="407"/>
      <c r="Q48" s="407"/>
      <c r="R48" s="407"/>
      <c r="S48" s="407"/>
      <c r="T48" s="407"/>
      <c r="U48" s="407"/>
      <c r="V48" s="407"/>
      <c r="W48" s="407"/>
      <c r="X48" s="407"/>
      <c r="Y48" s="407"/>
    </row>
    <row r="49" spans="1:25" ht="12.75" customHeight="1" thickBot="1" x14ac:dyDescent="0.25">
      <c r="A49" s="407"/>
      <c r="B49" s="646"/>
      <c r="C49" s="841"/>
      <c r="D49" s="841" t="s">
        <v>34</v>
      </c>
      <c r="E49" s="847">
        <f>SUM(E5:E48)</f>
        <v>0</v>
      </c>
      <c r="F49" s="842">
        <f>SUM(F5:F48)</f>
        <v>0</v>
      </c>
      <c r="G49" s="843"/>
      <c r="H49" s="843"/>
      <c r="I49" s="406"/>
      <c r="J49" s="407"/>
      <c r="K49" s="407"/>
      <c r="L49" s="407"/>
      <c r="M49" s="407"/>
      <c r="N49" s="407"/>
      <c r="O49" s="407"/>
      <c r="P49" s="407"/>
      <c r="Q49" s="407"/>
      <c r="R49" s="407"/>
      <c r="S49" s="407"/>
      <c r="T49" s="407"/>
      <c r="U49" s="407"/>
      <c r="V49" s="407"/>
      <c r="W49" s="407"/>
      <c r="X49" s="407"/>
      <c r="Y49" s="407"/>
    </row>
    <row r="50" spans="1:25" ht="12.75" customHeight="1" x14ac:dyDescent="0.2">
      <c r="A50" s="407"/>
      <c r="B50" s="653"/>
      <c r="C50" s="846"/>
      <c r="D50" s="846"/>
      <c r="E50" s="846"/>
      <c r="F50" s="843"/>
      <c r="G50" s="843"/>
      <c r="H50" s="843"/>
      <c r="I50" s="406"/>
      <c r="J50" s="407"/>
      <c r="K50" s="407"/>
      <c r="L50" s="407"/>
      <c r="M50" s="407"/>
      <c r="N50" s="407"/>
      <c r="O50" s="407"/>
      <c r="P50" s="407"/>
      <c r="Q50" s="407"/>
      <c r="R50" s="407"/>
      <c r="S50" s="407"/>
      <c r="T50" s="407"/>
      <c r="U50" s="407"/>
      <c r="V50" s="407"/>
      <c r="W50" s="407"/>
      <c r="X50" s="407"/>
      <c r="Y50" s="407"/>
    </row>
    <row r="51" spans="1:25" ht="12.75" customHeight="1" x14ac:dyDescent="0.2">
      <c r="A51" s="407"/>
      <c r="B51" s="424" t="s">
        <v>58</v>
      </c>
      <c r="C51" s="412"/>
      <c r="D51" s="412"/>
      <c r="E51" s="412"/>
      <c r="F51" s="407"/>
      <c r="G51" s="407"/>
      <c r="H51" s="407"/>
      <c r="I51" s="407"/>
      <c r="J51" s="407"/>
      <c r="L51" s="407"/>
      <c r="M51" s="407"/>
      <c r="N51" s="407"/>
      <c r="O51" s="407"/>
      <c r="P51" s="407"/>
      <c r="Q51" s="407"/>
      <c r="R51" s="407"/>
      <c r="S51" s="407"/>
      <c r="T51" s="407"/>
      <c r="U51" s="407"/>
      <c r="V51" s="407"/>
      <c r="W51" s="407"/>
      <c r="X51" s="407"/>
      <c r="Y51" s="407"/>
    </row>
    <row r="52" spans="1:25" ht="38.25" customHeight="1" x14ac:dyDescent="0.2">
      <c r="A52" s="407"/>
      <c r="B52" s="1535" t="s">
        <v>561</v>
      </c>
      <c r="C52" s="1291"/>
      <c r="D52" s="1291"/>
      <c r="E52" s="1291"/>
      <c r="F52" s="1291"/>
      <c r="G52" s="844"/>
      <c r="H52" s="844"/>
      <c r="I52" s="656"/>
      <c r="J52" s="407"/>
      <c r="L52" s="407"/>
      <c r="M52" s="407"/>
      <c r="N52" s="407"/>
      <c r="O52" s="407"/>
      <c r="P52" s="407"/>
      <c r="Q52" s="407"/>
      <c r="R52" s="407"/>
      <c r="S52" s="407"/>
      <c r="T52" s="407"/>
      <c r="U52" s="407"/>
      <c r="V52" s="407"/>
      <c r="W52" s="407"/>
      <c r="X52" s="407"/>
      <c r="Y52" s="407"/>
    </row>
    <row r="53" spans="1:25" ht="6.75" customHeight="1" x14ac:dyDescent="0.2">
      <c r="A53" s="407"/>
      <c r="B53" s="407"/>
      <c r="C53" s="412"/>
      <c r="D53" s="412"/>
      <c r="E53" s="412"/>
      <c r="F53" s="407"/>
      <c r="G53" s="407"/>
      <c r="H53" s="407"/>
      <c r="I53" s="407"/>
      <c r="J53" s="407"/>
      <c r="L53" s="407"/>
      <c r="M53" s="407"/>
      <c r="N53" s="407"/>
      <c r="O53" s="407"/>
      <c r="P53" s="407"/>
      <c r="Q53" s="407"/>
      <c r="R53" s="407"/>
      <c r="S53" s="407"/>
      <c r="T53" s="407"/>
      <c r="U53" s="407"/>
      <c r="V53" s="407"/>
      <c r="W53" s="407"/>
      <c r="X53" s="407"/>
      <c r="Y53" s="407"/>
    </row>
    <row r="54" spans="1:25" x14ac:dyDescent="0.2">
      <c r="A54" s="407"/>
      <c r="B54" s="407"/>
      <c r="C54" s="412"/>
      <c r="D54" s="412"/>
      <c r="E54" s="412"/>
      <c r="F54" s="407"/>
      <c r="G54" s="407"/>
      <c r="H54" s="407"/>
      <c r="I54" s="407"/>
      <c r="J54" s="407"/>
      <c r="K54" s="407"/>
      <c r="L54" s="174" t="s">
        <v>39</v>
      </c>
      <c r="M54" s="407"/>
      <c r="N54" s="407"/>
      <c r="O54" s="407"/>
      <c r="P54" s="407"/>
      <c r="Q54" s="407"/>
      <c r="R54" s="407"/>
      <c r="S54" s="407"/>
      <c r="T54" s="407"/>
      <c r="U54" s="407"/>
      <c r="V54" s="407"/>
      <c r="W54" s="407"/>
      <c r="X54" s="407"/>
      <c r="Y54" s="407"/>
    </row>
    <row r="55" spans="1:25" x14ac:dyDescent="0.2">
      <c r="A55" s="407"/>
      <c r="B55" s="407"/>
      <c r="C55" s="412"/>
      <c r="D55" s="412"/>
      <c r="E55" s="412"/>
      <c r="F55" s="407"/>
      <c r="G55" s="407"/>
      <c r="H55" s="407"/>
      <c r="I55" s="407"/>
      <c r="J55" s="407"/>
      <c r="K55" s="711"/>
      <c r="L55" s="90"/>
      <c r="M55" s="407"/>
      <c r="N55" s="407"/>
      <c r="O55" s="407"/>
      <c r="P55" s="407"/>
      <c r="Q55" s="407"/>
      <c r="R55" s="407"/>
      <c r="S55" s="407"/>
      <c r="T55" s="407"/>
      <c r="U55" s="407"/>
      <c r="V55" s="407"/>
      <c r="W55" s="407"/>
      <c r="X55" s="407"/>
      <c r="Y55" s="407"/>
    </row>
    <row r="56" spans="1:25" x14ac:dyDescent="0.2">
      <c r="A56" s="407"/>
      <c r="B56" s="407"/>
      <c r="C56" s="412"/>
      <c r="D56" s="412"/>
      <c r="E56" s="412"/>
      <c r="F56" s="407"/>
      <c r="G56" s="407"/>
      <c r="H56" s="407"/>
      <c r="I56" s="407"/>
      <c r="J56" s="407"/>
      <c r="K56" s="711" t="s">
        <v>370</v>
      </c>
      <c r="L56" s="90" t="s">
        <v>40</v>
      </c>
      <c r="M56" s="407"/>
      <c r="N56" s="407"/>
      <c r="O56" s="407"/>
      <c r="P56" s="407"/>
      <c r="Q56" s="407"/>
      <c r="R56" s="407"/>
      <c r="S56" s="407"/>
      <c r="T56" s="407"/>
      <c r="U56" s="407"/>
      <c r="V56" s="407"/>
      <c r="W56" s="407"/>
      <c r="X56" s="407"/>
      <c r="Y56" s="407"/>
    </row>
    <row r="57" spans="1:25" x14ac:dyDescent="0.2">
      <c r="A57" s="407"/>
      <c r="B57" s="407"/>
      <c r="C57" s="412"/>
      <c r="D57" s="412"/>
      <c r="E57" s="412"/>
      <c r="F57" s="407"/>
      <c r="G57" s="407"/>
      <c r="H57" s="407"/>
      <c r="I57" s="407"/>
      <c r="J57" s="407"/>
      <c r="K57" s="711" t="s">
        <v>371</v>
      </c>
      <c r="L57" s="90" t="s">
        <v>41</v>
      </c>
      <c r="M57" s="407"/>
      <c r="N57" s="407"/>
      <c r="O57" s="407"/>
      <c r="P57" s="407"/>
      <c r="Q57" s="407"/>
      <c r="R57" s="407"/>
      <c r="S57" s="407"/>
      <c r="T57" s="407"/>
      <c r="U57" s="407"/>
      <c r="V57" s="407"/>
      <c r="W57" s="407"/>
      <c r="X57" s="407"/>
      <c r="Y57" s="407"/>
    </row>
    <row r="58" spans="1:25" x14ac:dyDescent="0.2">
      <c r="A58" s="407"/>
      <c r="B58" s="407"/>
      <c r="C58" s="412"/>
      <c r="D58" s="412"/>
      <c r="E58" s="412"/>
      <c r="F58" s="407"/>
      <c r="G58" s="407"/>
      <c r="H58" s="407"/>
      <c r="I58" s="407"/>
      <c r="J58" s="407"/>
      <c r="K58" s="407"/>
      <c r="L58" s="90" t="s">
        <v>42</v>
      </c>
      <c r="M58" s="407"/>
      <c r="N58" s="407"/>
      <c r="O58" s="407"/>
      <c r="P58" s="407"/>
      <c r="Q58" s="407"/>
      <c r="R58" s="407"/>
      <c r="S58" s="407"/>
      <c r="T58" s="407"/>
      <c r="U58" s="407"/>
      <c r="V58" s="407"/>
      <c r="W58" s="407"/>
      <c r="X58" s="407"/>
      <c r="Y58" s="407"/>
    </row>
    <row r="59" spans="1:25" x14ac:dyDescent="0.2">
      <c r="A59" s="407"/>
      <c r="B59" s="407"/>
      <c r="C59" s="412"/>
      <c r="D59" s="412"/>
      <c r="E59" s="412"/>
      <c r="F59" s="407"/>
      <c r="G59" s="407"/>
      <c r="H59" s="407"/>
      <c r="I59" s="407"/>
      <c r="J59" s="407"/>
      <c r="K59" s="407"/>
      <c r="L59" s="90" t="s">
        <v>43</v>
      </c>
      <c r="M59" s="407"/>
      <c r="N59" s="407"/>
      <c r="O59" s="407"/>
      <c r="P59" s="407"/>
      <c r="Q59" s="407"/>
      <c r="R59" s="407"/>
      <c r="S59" s="407"/>
      <c r="T59" s="407"/>
      <c r="U59" s="407"/>
      <c r="V59" s="407"/>
      <c r="W59" s="407"/>
      <c r="X59" s="407"/>
      <c r="Y59" s="407"/>
    </row>
    <row r="60" spans="1:25" x14ac:dyDescent="0.2">
      <c r="A60" s="407"/>
      <c r="B60" s="407"/>
      <c r="C60" s="412"/>
      <c r="D60" s="412"/>
      <c r="E60" s="412"/>
      <c r="F60" s="407"/>
      <c r="G60" s="407"/>
      <c r="H60" s="407"/>
      <c r="I60" s="407"/>
      <c r="J60" s="407"/>
      <c r="K60" s="407"/>
      <c r="L60" s="407"/>
      <c r="M60" s="407"/>
      <c r="N60" s="407"/>
      <c r="O60" s="407"/>
      <c r="P60" s="407"/>
      <c r="Q60" s="407"/>
      <c r="R60" s="407"/>
      <c r="S60" s="407"/>
      <c r="T60" s="407"/>
      <c r="U60" s="407"/>
      <c r="V60" s="407"/>
      <c r="W60" s="407"/>
      <c r="X60" s="407"/>
      <c r="Y60" s="407"/>
    </row>
    <row r="61" spans="1:25" x14ac:dyDescent="0.2">
      <c r="A61" s="407"/>
      <c r="B61" s="407"/>
      <c r="C61" s="412"/>
      <c r="D61" s="412"/>
      <c r="E61" s="412"/>
      <c r="F61" s="407"/>
      <c r="G61" s="407"/>
      <c r="H61" s="407"/>
      <c r="I61" s="407"/>
      <c r="J61" s="407"/>
      <c r="K61" s="407"/>
      <c r="L61" s="407"/>
      <c r="M61" s="407"/>
      <c r="N61" s="407"/>
      <c r="O61" s="407"/>
      <c r="P61" s="407"/>
      <c r="Q61" s="407"/>
      <c r="R61" s="407"/>
      <c r="S61" s="407"/>
      <c r="T61" s="407"/>
      <c r="U61" s="407"/>
      <c r="V61" s="407"/>
      <c r="W61" s="407"/>
      <c r="X61" s="407"/>
      <c r="Y61" s="407"/>
    </row>
    <row r="62" spans="1:25" x14ac:dyDescent="0.2">
      <c r="A62" s="407"/>
      <c r="B62" s="407"/>
      <c r="C62" s="412"/>
      <c r="D62" s="412"/>
      <c r="E62" s="412"/>
      <c r="F62" s="407"/>
      <c r="G62" s="407"/>
      <c r="H62" s="407"/>
      <c r="I62" s="407"/>
      <c r="J62" s="407"/>
      <c r="K62" s="407"/>
      <c r="L62" s="407"/>
      <c r="M62" s="407"/>
      <c r="N62" s="407"/>
      <c r="O62" s="407"/>
      <c r="P62" s="407"/>
      <c r="Q62" s="407"/>
      <c r="R62" s="407"/>
      <c r="S62" s="407"/>
      <c r="T62" s="407"/>
      <c r="U62" s="407"/>
      <c r="V62" s="407"/>
      <c r="W62" s="407"/>
      <c r="X62" s="407"/>
      <c r="Y62" s="407"/>
    </row>
    <row r="63" spans="1:25" x14ac:dyDescent="0.2">
      <c r="A63" s="407"/>
      <c r="B63" s="407"/>
      <c r="C63" s="412"/>
      <c r="D63" s="412"/>
      <c r="E63" s="412"/>
      <c r="F63" s="407"/>
      <c r="G63" s="407"/>
      <c r="H63" s="407"/>
      <c r="I63" s="407"/>
      <c r="J63" s="407"/>
      <c r="K63" s="407"/>
      <c r="L63" s="407"/>
      <c r="M63" s="407"/>
      <c r="N63" s="407"/>
      <c r="O63" s="407"/>
      <c r="P63" s="407"/>
      <c r="Q63" s="407"/>
      <c r="R63" s="407"/>
      <c r="S63" s="407"/>
      <c r="T63" s="407"/>
      <c r="U63" s="407"/>
      <c r="V63" s="407"/>
      <c r="W63" s="407"/>
      <c r="X63" s="407"/>
      <c r="Y63" s="407"/>
    </row>
    <row r="64" spans="1:25" x14ac:dyDescent="0.2">
      <c r="A64" s="407"/>
      <c r="B64" s="407"/>
      <c r="C64" s="412"/>
      <c r="D64" s="412"/>
      <c r="E64" s="412"/>
      <c r="F64" s="407"/>
      <c r="G64" s="407"/>
      <c r="H64" s="407"/>
      <c r="I64" s="407"/>
      <c r="J64" s="407"/>
      <c r="K64" s="407"/>
      <c r="L64" s="407"/>
      <c r="M64" s="407"/>
      <c r="N64" s="407"/>
      <c r="O64" s="407"/>
      <c r="P64" s="407"/>
      <c r="Q64" s="407"/>
      <c r="R64" s="407"/>
      <c r="S64" s="407"/>
      <c r="T64" s="407"/>
      <c r="U64" s="407"/>
      <c r="V64" s="407"/>
      <c r="W64" s="407"/>
      <c r="X64" s="407"/>
      <c r="Y64" s="407"/>
    </row>
    <row r="65" spans="1:25" x14ac:dyDescent="0.2">
      <c r="A65" s="407"/>
      <c r="B65" s="407"/>
      <c r="C65" s="412"/>
      <c r="D65" s="412"/>
      <c r="E65" s="412"/>
      <c r="F65" s="407"/>
      <c r="G65" s="407"/>
      <c r="H65" s="407"/>
      <c r="I65" s="407"/>
      <c r="J65" s="407"/>
      <c r="K65" s="407"/>
      <c r="L65" s="407"/>
      <c r="M65" s="407"/>
      <c r="N65" s="407"/>
      <c r="O65" s="407"/>
      <c r="P65" s="407"/>
      <c r="Q65" s="407"/>
      <c r="R65" s="407"/>
      <c r="S65" s="407"/>
      <c r="T65" s="407"/>
      <c r="U65" s="407"/>
      <c r="V65" s="407"/>
      <c r="W65" s="407"/>
      <c r="X65" s="407"/>
      <c r="Y65" s="407"/>
    </row>
    <row r="66" spans="1:25" x14ac:dyDescent="0.2">
      <c r="A66" s="407"/>
      <c r="B66" s="407"/>
      <c r="C66" s="412"/>
      <c r="D66" s="412"/>
      <c r="E66" s="412"/>
      <c r="F66" s="407"/>
      <c r="G66" s="407"/>
      <c r="H66" s="407"/>
      <c r="I66" s="407"/>
      <c r="J66" s="407"/>
      <c r="K66" s="407"/>
      <c r="L66" s="407"/>
      <c r="M66" s="407"/>
      <c r="N66" s="407"/>
      <c r="O66" s="407"/>
      <c r="P66" s="407"/>
      <c r="Q66" s="407"/>
      <c r="R66" s="407"/>
      <c r="S66" s="407"/>
      <c r="T66" s="407"/>
      <c r="U66" s="407"/>
      <c r="V66" s="407"/>
      <c r="W66" s="407"/>
      <c r="X66" s="407"/>
      <c r="Y66" s="407"/>
    </row>
    <row r="67" spans="1:25" x14ac:dyDescent="0.2">
      <c r="A67" s="407"/>
      <c r="B67" s="407"/>
      <c r="C67" s="412"/>
      <c r="D67" s="412"/>
      <c r="E67" s="412"/>
      <c r="F67" s="407"/>
      <c r="G67" s="407"/>
      <c r="H67" s="407"/>
      <c r="I67" s="407"/>
      <c r="J67" s="407"/>
      <c r="K67" s="407"/>
      <c r="L67" s="407"/>
      <c r="M67" s="407"/>
      <c r="N67" s="407"/>
      <c r="O67" s="407"/>
      <c r="P67" s="407"/>
      <c r="Q67" s="407"/>
      <c r="R67" s="407"/>
      <c r="S67" s="407"/>
      <c r="T67" s="407"/>
      <c r="U67" s="407"/>
      <c r="V67" s="407"/>
      <c r="W67" s="407"/>
      <c r="X67" s="407"/>
      <c r="Y67" s="407"/>
    </row>
    <row r="68" spans="1:25" x14ac:dyDescent="0.2">
      <c r="A68" s="407"/>
      <c r="B68" s="407"/>
      <c r="C68" s="412"/>
      <c r="D68" s="412"/>
      <c r="E68" s="412"/>
      <c r="F68" s="407"/>
      <c r="G68" s="407"/>
      <c r="H68" s="407"/>
      <c r="I68" s="407"/>
      <c r="J68" s="407"/>
      <c r="K68" s="407"/>
      <c r="L68" s="407"/>
      <c r="M68" s="407"/>
      <c r="N68" s="407"/>
      <c r="O68" s="407"/>
      <c r="P68" s="407"/>
      <c r="Q68" s="407"/>
      <c r="R68" s="407"/>
      <c r="S68" s="407"/>
      <c r="T68" s="407"/>
      <c r="U68" s="407"/>
      <c r="V68" s="407"/>
      <c r="W68" s="407"/>
      <c r="X68" s="407"/>
      <c r="Y68" s="407"/>
    </row>
    <row r="69" spans="1:25" x14ac:dyDescent="0.2">
      <c r="A69" s="407"/>
      <c r="B69" s="407"/>
      <c r="C69" s="412"/>
      <c r="D69" s="412"/>
      <c r="E69" s="412"/>
      <c r="F69" s="407"/>
      <c r="G69" s="407"/>
      <c r="H69" s="407"/>
      <c r="I69" s="407"/>
      <c r="J69" s="407"/>
      <c r="K69" s="407"/>
      <c r="L69" s="407"/>
      <c r="M69" s="407"/>
      <c r="N69" s="407"/>
      <c r="O69" s="407"/>
      <c r="P69" s="407"/>
      <c r="Q69" s="407"/>
      <c r="R69" s="407"/>
      <c r="S69" s="407"/>
      <c r="T69" s="407"/>
      <c r="U69" s="407"/>
      <c r="V69" s="407"/>
      <c r="W69" s="407"/>
      <c r="X69" s="407"/>
      <c r="Y69" s="407"/>
    </row>
    <row r="70" spans="1:25" x14ac:dyDescent="0.2">
      <c r="A70" s="407"/>
      <c r="B70" s="407"/>
      <c r="C70" s="412"/>
      <c r="D70" s="412"/>
      <c r="E70" s="412"/>
      <c r="F70" s="407"/>
      <c r="G70" s="407"/>
      <c r="H70" s="407"/>
      <c r="I70" s="407"/>
      <c r="J70" s="407"/>
      <c r="K70" s="407"/>
      <c r="L70" s="407"/>
      <c r="M70" s="407"/>
      <c r="N70" s="407"/>
      <c r="O70" s="407"/>
      <c r="P70" s="407"/>
      <c r="Q70" s="407"/>
      <c r="R70" s="407"/>
      <c r="S70" s="407"/>
      <c r="T70" s="407"/>
      <c r="U70" s="407"/>
      <c r="V70" s="407"/>
      <c r="W70" s="407"/>
      <c r="X70" s="407"/>
      <c r="Y70" s="407"/>
    </row>
    <row r="71" spans="1:25" x14ac:dyDescent="0.2">
      <c r="A71" s="407"/>
      <c r="B71" s="407"/>
      <c r="C71" s="412"/>
      <c r="D71" s="412"/>
      <c r="E71" s="412"/>
      <c r="F71" s="407"/>
      <c r="G71" s="407"/>
      <c r="H71" s="407"/>
      <c r="I71" s="407"/>
      <c r="J71" s="407"/>
      <c r="K71" s="407"/>
      <c r="L71" s="407"/>
      <c r="M71" s="407"/>
      <c r="N71" s="407"/>
      <c r="O71" s="407"/>
      <c r="P71" s="407"/>
      <c r="Q71" s="407"/>
      <c r="R71" s="407"/>
      <c r="S71" s="407"/>
      <c r="T71" s="407"/>
      <c r="U71" s="407"/>
      <c r="V71" s="407"/>
      <c r="W71" s="407"/>
      <c r="X71" s="407"/>
      <c r="Y71" s="407"/>
    </row>
    <row r="72" spans="1:25" x14ac:dyDescent="0.2">
      <c r="A72" s="407"/>
      <c r="B72" s="407"/>
      <c r="C72" s="412"/>
      <c r="D72" s="412"/>
      <c r="E72" s="412"/>
      <c r="F72" s="407"/>
      <c r="G72" s="407"/>
      <c r="H72" s="407"/>
      <c r="I72" s="407"/>
      <c r="J72" s="407"/>
      <c r="K72" s="407"/>
      <c r="L72" s="407"/>
      <c r="M72" s="407"/>
      <c r="N72" s="407"/>
      <c r="O72" s="407"/>
      <c r="P72" s="407"/>
      <c r="Q72" s="407"/>
      <c r="R72" s="407"/>
      <c r="S72" s="407"/>
      <c r="T72" s="407"/>
      <c r="U72" s="407"/>
      <c r="V72" s="407"/>
      <c r="W72" s="407"/>
      <c r="X72" s="407"/>
      <c r="Y72" s="407"/>
    </row>
    <row r="73" spans="1:25" x14ac:dyDescent="0.2">
      <c r="A73" s="407"/>
      <c r="B73" s="407"/>
      <c r="C73" s="412"/>
      <c r="D73" s="412"/>
      <c r="E73" s="412"/>
      <c r="F73" s="407"/>
      <c r="G73" s="407"/>
      <c r="H73" s="407"/>
      <c r="I73" s="407"/>
      <c r="J73" s="407"/>
      <c r="K73" s="407"/>
      <c r="L73" s="407"/>
      <c r="M73" s="407"/>
      <c r="N73" s="407"/>
      <c r="O73" s="407"/>
      <c r="P73" s="407"/>
      <c r="Q73" s="407"/>
      <c r="R73" s="407"/>
      <c r="S73" s="407"/>
      <c r="T73" s="407"/>
      <c r="U73" s="407"/>
      <c r="V73" s="407"/>
      <c r="W73" s="407"/>
      <c r="X73" s="407"/>
      <c r="Y73" s="407"/>
    </row>
    <row r="74" spans="1:25" x14ac:dyDescent="0.2">
      <c r="A74" s="407"/>
      <c r="B74" s="407"/>
      <c r="C74" s="412"/>
      <c r="D74" s="412"/>
      <c r="E74" s="412"/>
      <c r="F74" s="407"/>
      <c r="G74" s="407"/>
      <c r="H74" s="407"/>
      <c r="I74" s="407"/>
      <c r="J74" s="407"/>
      <c r="K74" s="407"/>
      <c r="L74" s="407"/>
      <c r="M74" s="407"/>
      <c r="N74" s="407"/>
      <c r="O74" s="407"/>
      <c r="P74" s="407"/>
      <c r="Q74" s="407"/>
      <c r="R74" s="407"/>
      <c r="S74" s="407"/>
      <c r="T74" s="407"/>
      <c r="U74" s="407"/>
      <c r="V74" s="407"/>
      <c r="W74" s="407"/>
      <c r="X74" s="407"/>
      <c r="Y74" s="407"/>
    </row>
    <row r="75" spans="1:25" x14ac:dyDescent="0.2">
      <c r="A75" s="407"/>
      <c r="B75" s="407"/>
      <c r="C75" s="412"/>
      <c r="D75" s="412"/>
      <c r="E75" s="412"/>
      <c r="F75" s="407"/>
      <c r="G75" s="407"/>
      <c r="H75" s="407"/>
      <c r="I75" s="407"/>
      <c r="J75" s="407"/>
      <c r="K75" s="407"/>
      <c r="L75" s="407"/>
      <c r="M75" s="407"/>
      <c r="N75" s="407"/>
      <c r="O75" s="407"/>
      <c r="P75" s="407"/>
      <c r="Q75" s="407"/>
      <c r="R75" s="407"/>
      <c r="S75" s="407"/>
      <c r="T75" s="407"/>
      <c r="U75" s="407"/>
      <c r="V75" s="407"/>
      <c r="W75" s="407"/>
      <c r="X75" s="407"/>
      <c r="Y75" s="407"/>
    </row>
    <row r="76" spans="1:25" x14ac:dyDescent="0.2">
      <c r="A76" s="407"/>
      <c r="B76" s="407"/>
      <c r="C76" s="412"/>
      <c r="D76" s="412"/>
      <c r="E76" s="412"/>
      <c r="F76" s="407"/>
      <c r="G76" s="407"/>
      <c r="H76" s="407"/>
      <c r="I76" s="407"/>
      <c r="J76" s="407"/>
      <c r="K76" s="407"/>
      <c r="L76" s="407"/>
      <c r="M76" s="407"/>
      <c r="N76" s="407"/>
      <c r="O76" s="407"/>
      <c r="P76" s="407"/>
      <c r="Q76" s="407"/>
      <c r="R76" s="407"/>
      <c r="S76" s="407"/>
      <c r="T76" s="407"/>
      <c r="U76" s="407"/>
      <c r="V76" s="407"/>
      <c r="W76" s="407"/>
      <c r="X76" s="407"/>
      <c r="Y76" s="407"/>
    </row>
    <row r="77" spans="1:25" x14ac:dyDescent="0.2">
      <c r="A77" s="407"/>
      <c r="B77" s="407"/>
      <c r="C77" s="412"/>
      <c r="D77" s="412"/>
      <c r="E77" s="412"/>
      <c r="F77" s="407"/>
      <c r="G77" s="407"/>
      <c r="H77" s="407"/>
      <c r="I77" s="407"/>
      <c r="J77" s="407"/>
      <c r="K77" s="407"/>
      <c r="L77" s="407"/>
      <c r="M77" s="407"/>
      <c r="N77" s="407"/>
      <c r="O77" s="407"/>
      <c r="P77" s="407"/>
      <c r="Q77" s="407"/>
      <c r="R77" s="407"/>
      <c r="S77" s="407"/>
      <c r="T77" s="407"/>
      <c r="U77" s="407"/>
      <c r="V77" s="407"/>
      <c r="W77" s="407"/>
      <c r="X77" s="407"/>
      <c r="Y77" s="407"/>
    </row>
    <row r="78" spans="1:25" x14ac:dyDescent="0.2">
      <c r="A78" s="407"/>
      <c r="B78" s="407"/>
      <c r="C78" s="412"/>
      <c r="D78" s="412"/>
      <c r="E78" s="412"/>
      <c r="F78" s="407"/>
      <c r="G78" s="407"/>
      <c r="H78" s="407"/>
      <c r="I78" s="407"/>
      <c r="J78" s="407"/>
      <c r="K78" s="407"/>
      <c r="L78" s="407"/>
      <c r="M78" s="407"/>
      <c r="N78" s="407"/>
      <c r="O78" s="407"/>
      <c r="P78" s="407"/>
      <c r="Q78" s="407"/>
      <c r="R78" s="407"/>
      <c r="S78" s="407"/>
      <c r="T78" s="407"/>
      <c r="U78" s="407"/>
      <c r="V78" s="407"/>
      <c r="W78" s="407"/>
      <c r="X78" s="407"/>
      <c r="Y78" s="407"/>
    </row>
    <row r="79" spans="1:25" x14ac:dyDescent="0.2">
      <c r="A79" s="407"/>
      <c r="B79" s="407"/>
      <c r="C79" s="412"/>
      <c r="D79" s="412"/>
      <c r="E79" s="412"/>
      <c r="F79" s="407"/>
      <c r="G79" s="407"/>
      <c r="H79" s="407"/>
      <c r="I79" s="407"/>
      <c r="J79" s="407"/>
      <c r="K79" s="407"/>
      <c r="L79" s="407"/>
      <c r="M79" s="407"/>
      <c r="N79" s="407"/>
      <c r="O79" s="407"/>
      <c r="P79" s="407"/>
      <c r="Q79" s="407"/>
      <c r="R79" s="407"/>
      <c r="S79" s="407"/>
      <c r="T79" s="407"/>
      <c r="U79" s="407"/>
      <c r="V79" s="407"/>
      <c r="W79" s="407"/>
      <c r="X79" s="407"/>
      <c r="Y79" s="407"/>
    </row>
    <row r="80" spans="1:25" x14ac:dyDescent="0.2">
      <c r="A80" s="407"/>
      <c r="B80" s="407"/>
      <c r="C80" s="412"/>
      <c r="D80" s="412"/>
      <c r="E80" s="412"/>
      <c r="F80" s="407"/>
      <c r="G80" s="407"/>
      <c r="H80" s="407"/>
      <c r="I80" s="407"/>
      <c r="J80" s="407"/>
      <c r="K80" s="407"/>
      <c r="L80" s="407"/>
      <c r="M80" s="407"/>
      <c r="N80" s="407"/>
      <c r="O80" s="407"/>
      <c r="P80" s="407"/>
      <c r="Q80" s="407"/>
      <c r="R80" s="407"/>
      <c r="S80" s="407"/>
      <c r="T80" s="407"/>
      <c r="U80" s="407"/>
      <c r="V80" s="407"/>
      <c r="W80" s="407"/>
      <c r="X80" s="407"/>
      <c r="Y80" s="407"/>
    </row>
    <row r="81" spans="1:25" x14ac:dyDescent="0.2">
      <c r="A81" s="407"/>
      <c r="B81" s="407"/>
      <c r="C81" s="412"/>
      <c r="D81" s="412"/>
      <c r="E81" s="412"/>
      <c r="F81" s="407"/>
      <c r="G81" s="407"/>
      <c r="H81" s="407"/>
      <c r="I81" s="407"/>
      <c r="J81" s="407"/>
      <c r="K81" s="407"/>
      <c r="L81" s="407"/>
      <c r="M81" s="407"/>
      <c r="N81" s="407"/>
      <c r="O81" s="407"/>
      <c r="P81" s="407"/>
      <c r="Q81" s="407"/>
      <c r="R81" s="407"/>
      <c r="S81" s="407"/>
      <c r="T81" s="407"/>
      <c r="U81" s="407"/>
      <c r="V81" s="407"/>
      <c r="W81" s="407"/>
      <c r="X81" s="407"/>
      <c r="Y81" s="407"/>
    </row>
  </sheetData>
  <mergeCells count="12">
    <mergeCell ref="K39:N39"/>
    <mergeCell ref="K43:N43"/>
    <mergeCell ref="K47:N47"/>
    <mergeCell ref="B52:F52"/>
    <mergeCell ref="D3:D4"/>
    <mergeCell ref="I1:O1"/>
    <mergeCell ref="A1:G1"/>
    <mergeCell ref="B2:F2"/>
    <mergeCell ref="I2:I4"/>
    <mergeCell ref="J2:J4"/>
    <mergeCell ref="B3:B4"/>
    <mergeCell ref="C3:C4"/>
  </mergeCells>
  <dataValidations count="2">
    <dataValidation type="list" showInputMessage="1" showErrorMessage="1" sqref="I5:J48">
      <formula1>$K$55:$K$57</formula1>
    </dataValidation>
    <dataValidation type="list" showInputMessage="1" showErrorMessage="1" sqref="D5:D48">
      <formula1>$L$55:$L$59</formula1>
    </dataValidation>
  </dataValidations>
  <printOptions horizontalCentered="1"/>
  <pageMargins left="0.35" right="0.35" top="0.4" bottom="0.4" header="0" footer="0"/>
  <pageSetup firstPageNumber="31" orientation="portrait" useFirstPageNumber="1" r:id="rId1"/>
  <headerFooter alignWithMargins="0"/>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pageSetUpPr fitToPage="1"/>
  </sheetPr>
  <dimension ref="A1:BD96"/>
  <sheetViews>
    <sheetView showGridLines="0" showZeros="0" zoomScale="75" zoomScaleNormal="75" workbookViewId="0">
      <pane xSplit="8" ySplit="7" topLeftCell="I8" activePane="bottomRight" state="frozen"/>
      <selection pane="topRight" activeCell="I1" sqref="I1"/>
      <selection pane="bottomLeft" activeCell="A8" sqref="A8"/>
      <selection pane="bottomRight" activeCell="V1" sqref="V1:AJ1"/>
    </sheetView>
  </sheetViews>
  <sheetFormatPr defaultRowHeight="12.75" x14ac:dyDescent="0.2"/>
  <cols>
    <col min="1" max="1" width="1.7109375" style="16" customWidth="1"/>
    <col min="2" max="3" width="11.42578125" style="16" customWidth="1"/>
    <col min="4" max="4" width="5.28515625" style="16" bestFit="1" customWidth="1"/>
    <col min="5" max="5" width="21.5703125" style="16" customWidth="1"/>
    <col min="6" max="6" width="15.140625" style="16" customWidth="1"/>
    <col min="7" max="7" width="21.5703125" style="16" customWidth="1"/>
    <col min="8" max="8" width="5.28515625" style="16" customWidth="1"/>
    <col min="9" max="15" width="7.28515625" style="16" customWidth="1"/>
    <col min="16" max="17" width="9.140625" style="16" customWidth="1"/>
    <col min="18" max="18" width="8.140625" style="16" customWidth="1"/>
    <col min="19" max="19" width="7.7109375" style="16" bestFit="1" customWidth="1"/>
    <col min="20" max="20" width="1.7109375" style="16" customWidth="1"/>
    <col min="21" max="21" width="4.7109375" style="16" customWidth="1"/>
    <col min="22" max="22" width="12.85546875" style="16" customWidth="1"/>
    <col min="23" max="23" width="14.85546875" style="16" bestFit="1" customWidth="1"/>
    <col min="24" max="24" width="6.5703125" style="16" customWidth="1"/>
    <col min="25" max="26" width="6.7109375" style="16" customWidth="1"/>
    <col min="27" max="27" width="7" style="16" customWidth="1"/>
    <col min="28" max="28" width="6.5703125" style="16" customWidth="1"/>
    <col min="29" max="29" width="7.140625" style="16" customWidth="1"/>
    <col min="30" max="30" width="16" style="16" bestFit="1" customWidth="1"/>
    <col min="31" max="32" width="6.5703125" style="16" customWidth="1"/>
    <col min="33" max="33" width="9.42578125" style="16" customWidth="1"/>
    <col min="34" max="37" width="6.7109375" style="16" customWidth="1"/>
    <col min="38" max="38" width="9.28515625" style="16" bestFit="1" customWidth="1"/>
    <col min="39" max="43" width="6.7109375" style="16" customWidth="1"/>
    <col min="44" max="44" width="6.5703125" style="16" customWidth="1"/>
    <col min="45" max="45" width="7.85546875" style="16" customWidth="1"/>
    <col min="46" max="46" width="9.28515625" style="16" bestFit="1" customWidth="1"/>
    <col min="47" max="48" width="17.5703125" style="16" customWidth="1"/>
    <col min="49" max="49" width="16.28515625" style="16" bestFit="1" customWidth="1"/>
    <col min="50" max="50" width="17.42578125" style="16" bestFit="1" customWidth="1"/>
    <col min="51" max="51" width="17.42578125" style="16" customWidth="1"/>
    <col min="52" max="52" width="9.42578125" style="16" customWidth="1"/>
    <col min="53" max="16384" width="9.140625" style="16"/>
  </cols>
  <sheetData>
    <row r="1" spans="1:56" ht="18" x14ac:dyDescent="0.25">
      <c r="A1" s="1473" t="str">
        <f>UPPER("Pavement Markings Summary Table")</f>
        <v>PAVEMENT MARKINGS SUMMARY TABLE</v>
      </c>
      <c r="B1" s="1584"/>
      <c r="C1" s="1584"/>
      <c r="D1" s="1584"/>
      <c r="E1" s="1584"/>
      <c r="F1" s="1584"/>
      <c r="G1" s="1584"/>
      <c r="H1" s="1584"/>
      <c r="I1" s="1584"/>
      <c r="J1" s="1584"/>
      <c r="K1" s="1584"/>
      <c r="L1" s="1584"/>
      <c r="M1" s="1584"/>
      <c r="N1" s="1584"/>
      <c r="O1" s="1584"/>
      <c r="P1" s="1584"/>
      <c r="Q1" s="1584"/>
      <c r="R1" s="1584"/>
      <c r="S1" s="1584"/>
      <c r="T1" s="1584"/>
      <c r="U1" s="482"/>
      <c r="V1" s="1469" t="s">
        <v>472</v>
      </c>
      <c r="W1" s="1469"/>
      <c r="X1" s="1469"/>
      <c r="Y1" s="1469"/>
      <c r="Z1" s="1469"/>
      <c r="AA1" s="1469"/>
      <c r="AB1" s="1469"/>
      <c r="AC1" s="1469"/>
      <c r="AD1" s="1469"/>
      <c r="AE1" s="1469"/>
      <c r="AF1" s="1469"/>
      <c r="AG1" s="1469"/>
      <c r="AH1" s="1469"/>
      <c r="AI1" s="1469"/>
      <c r="AJ1" s="1469"/>
      <c r="AK1" s="1051"/>
      <c r="AL1" s="1051"/>
      <c r="AM1" s="1051"/>
      <c r="AN1" s="1051"/>
      <c r="AO1" s="1051"/>
      <c r="AP1" s="1051"/>
      <c r="AQ1" s="1051"/>
      <c r="AR1" s="989"/>
      <c r="AS1" s="1565" t="s">
        <v>540</v>
      </c>
      <c r="AT1" s="1565"/>
      <c r="AU1" s="613"/>
      <c r="AV1" s="613"/>
      <c r="AW1" s="613"/>
      <c r="AX1" s="613"/>
      <c r="AY1" s="613"/>
      <c r="AZ1" s="407"/>
      <c r="BA1" s="407"/>
      <c r="BB1" s="407"/>
      <c r="BC1" s="407"/>
      <c r="BD1" s="407"/>
    </row>
    <row r="2" spans="1:56" ht="11.25" customHeight="1" thickBot="1" x14ac:dyDescent="0.25">
      <c r="A2" s="407"/>
      <c r="B2" s="1488"/>
      <c r="C2" s="1488"/>
      <c r="D2" s="1488"/>
      <c r="E2" s="1488"/>
      <c r="F2" s="1488"/>
      <c r="G2" s="1488"/>
      <c r="H2" s="1488"/>
      <c r="I2" s="1488"/>
      <c r="J2" s="1488"/>
      <c r="K2" s="1488"/>
      <c r="L2" s="1488"/>
      <c r="M2" s="1488"/>
      <c r="N2" s="1488"/>
      <c r="O2" s="1488"/>
      <c r="P2" s="1488"/>
      <c r="Q2" s="1488"/>
      <c r="R2" s="1488"/>
      <c r="S2" s="1488"/>
      <c r="T2" s="1488"/>
      <c r="U2" s="406"/>
      <c r="V2" s="1578" t="s">
        <v>539</v>
      </c>
      <c r="W2" s="1276"/>
      <c r="X2" s="1276"/>
      <c r="Y2" s="1276"/>
      <c r="Z2" s="1276"/>
      <c r="AA2" s="1276"/>
      <c r="AB2" s="1276"/>
      <c r="AC2" s="1276"/>
      <c r="AD2" s="1276"/>
      <c r="AE2" s="613"/>
      <c r="AF2" s="679"/>
      <c r="AG2" s="424" t="s">
        <v>468</v>
      </c>
      <c r="AH2" s="424"/>
      <c r="AI2" s="613"/>
      <c r="AJ2" s="613"/>
      <c r="AK2" s="613"/>
      <c r="AL2" s="613"/>
      <c r="AM2" s="613"/>
      <c r="AN2" s="613"/>
      <c r="AO2" s="613"/>
      <c r="AP2" s="613"/>
      <c r="AQ2" s="613"/>
      <c r="AR2" s="613"/>
      <c r="AS2" s="1565"/>
      <c r="AT2" s="1565"/>
      <c r="AU2" s="613"/>
      <c r="AV2" s="613"/>
      <c r="AW2" s="613"/>
      <c r="AX2" s="613"/>
      <c r="AY2" s="613"/>
      <c r="AZ2" s="407"/>
      <c r="BA2" s="407"/>
      <c r="BB2" s="407"/>
      <c r="BC2" s="407"/>
      <c r="BD2" s="407"/>
    </row>
    <row r="3" spans="1:56" ht="12.75" customHeight="1" thickBot="1" x14ac:dyDescent="0.25">
      <c r="A3" s="407"/>
      <c r="B3" s="1566" t="s">
        <v>172</v>
      </c>
      <c r="C3" s="1567"/>
      <c r="D3" s="1567"/>
      <c r="E3" s="1567"/>
      <c r="F3" s="1567"/>
      <c r="G3" s="1567"/>
      <c r="H3" s="1567"/>
      <c r="I3" s="1567"/>
      <c r="J3" s="1567"/>
      <c r="K3" s="1567"/>
      <c r="L3" s="1567"/>
      <c r="M3" s="1567"/>
      <c r="N3" s="1567"/>
      <c r="O3" s="1567"/>
      <c r="P3" s="1567"/>
      <c r="Q3" s="1567"/>
      <c r="R3" s="1567"/>
      <c r="S3" s="1568"/>
      <c r="T3" s="407"/>
      <c r="U3" s="406"/>
      <c r="V3" s="1275" t="s">
        <v>473</v>
      </c>
      <c r="W3" s="1275"/>
      <c r="X3" s="1275"/>
      <c r="Y3" s="1275"/>
      <c r="Z3" s="1275"/>
      <c r="AA3" s="482"/>
      <c r="AB3" s="482"/>
      <c r="AC3" s="430" t="s">
        <v>97</v>
      </c>
      <c r="AD3" s="615"/>
      <c r="AE3" s="482"/>
      <c r="AF3" s="680" t="str">
        <f>IF(AND('Resurface, Milling, Agg.'!W52='Resurface, Milling, Agg.'!AA58,AF2="Yes"),"No",IF(OR(AF2="No",AF2=0),"No","Yes"))</f>
        <v>No</v>
      </c>
      <c r="AG3" s="424" t="s">
        <v>469</v>
      </c>
      <c r="AH3" s="424"/>
      <c r="AI3" s="482"/>
      <c r="AJ3" s="482"/>
      <c r="AK3" s="482"/>
      <c r="AL3" s="482"/>
      <c r="AM3" s="482"/>
      <c r="AN3" s="482"/>
      <c r="AO3" s="482"/>
      <c r="AP3" s="482"/>
      <c r="AQ3" s="482"/>
      <c r="AR3" s="482"/>
      <c r="AS3" s="1565"/>
      <c r="AT3" s="1565"/>
      <c r="AU3" s="11"/>
      <c r="AV3" s="614"/>
      <c r="AW3" s="407"/>
      <c r="AX3" s="407"/>
      <c r="AY3" s="407"/>
      <c r="AZ3" s="407"/>
      <c r="BA3" s="407"/>
      <c r="BB3" s="407"/>
      <c r="BC3" s="407"/>
      <c r="BD3" s="407"/>
    </row>
    <row r="4" spans="1:56" ht="12.75" customHeight="1" thickBot="1" x14ac:dyDescent="0.25">
      <c r="A4" s="407"/>
      <c r="B4" s="1546" t="s">
        <v>2</v>
      </c>
      <c r="C4" s="1478" t="s">
        <v>429</v>
      </c>
      <c r="D4" s="1474">
        <f>IF(AD3="NB, SB","SB",IF(AD3="EB, WB","WB",0))</f>
        <v>0</v>
      </c>
      <c r="E4" s="1475"/>
      <c r="F4" s="1589" t="s">
        <v>158</v>
      </c>
      <c r="G4" s="1587">
        <f>IF(D4="SB","NB",IF(D4="WB","EB",0))</f>
        <v>0</v>
      </c>
      <c r="H4" s="1588"/>
      <c r="I4" s="1599" t="str">
        <f>"Line, "&amp;AD4</f>
        <v xml:space="preserve">Line, </v>
      </c>
      <c r="J4" s="1160"/>
      <c r="K4" s="1160"/>
      <c r="L4" s="1160"/>
      <c r="M4" s="1160"/>
      <c r="N4" s="1160"/>
      <c r="O4" s="1161"/>
      <c r="P4" s="1550" t="s">
        <v>939</v>
      </c>
      <c r="Q4" s="1550" t="s">
        <v>838</v>
      </c>
      <c r="R4" s="1548" t="s">
        <v>466</v>
      </c>
      <c r="S4" s="1552" t="s">
        <v>114</v>
      </c>
      <c r="T4" s="616"/>
      <c r="U4" s="616"/>
      <c r="V4" s="614" t="s">
        <v>95</v>
      </c>
      <c r="X4" s="407"/>
      <c r="Y4" s="482"/>
      <c r="Z4" s="482"/>
      <c r="AA4" s="482"/>
      <c r="AB4" s="482"/>
      <c r="AC4" s="430" t="s">
        <v>173</v>
      </c>
      <c r="AD4" s="617"/>
      <c r="AE4" s="482"/>
      <c r="AF4" s="615"/>
      <c r="AG4" s="424" t="s">
        <v>470</v>
      </c>
      <c r="AH4" s="424"/>
      <c r="AI4" s="482"/>
      <c r="AJ4" s="482"/>
      <c r="AK4" s="482"/>
      <c r="AL4" s="482"/>
      <c r="AM4" s="482"/>
      <c r="AN4" s="482"/>
      <c r="AO4" s="482"/>
      <c r="AP4" s="482"/>
      <c r="AQ4" s="482"/>
      <c r="AS4" s="1565"/>
      <c r="AT4" s="1565"/>
      <c r="AU4" s="1554" t="s">
        <v>541</v>
      </c>
      <c r="AV4" s="1555"/>
      <c r="AW4" s="407"/>
      <c r="AX4" s="1554" t="s">
        <v>541</v>
      </c>
      <c r="AY4" s="1555"/>
      <c r="AZ4" s="407"/>
      <c r="BA4" s="407"/>
      <c r="BB4" s="407"/>
      <c r="BC4" s="407"/>
      <c r="BD4" s="407"/>
    </row>
    <row r="5" spans="1:56" ht="12.75" customHeight="1" x14ac:dyDescent="0.2">
      <c r="A5" s="407"/>
      <c r="B5" s="1569"/>
      <c r="C5" s="1570"/>
      <c r="D5" s="1595" t="s">
        <v>464</v>
      </c>
      <c r="E5" s="1592" t="s">
        <v>174</v>
      </c>
      <c r="F5" s="1590"/>
      <c r="G5" s="1592" t="s">
        <v>174</v>
      </c>
      <c r="H5" s="1596" t="s">
        <v>464</v>
      </c>
      <c r="I5" s="1575" t="s">
        <v>844</v>
      </c>
      <c r="J5" s="1558" t="s">
        <v>843</v>
      </c>
      <c r="K5" s="1558" t="s">
        <v>842</v>
      </c>
      <c r="L5" s="1558" t="s">
        <v>841</v>
      </c>
      <c r="M5" s="1558" t="s">
        <v>840</v>
      </c>
      <c r="N5" s="1558" t="s">
        <v>808</v>
      </c>
      <c r="O5" s="1558" t="s">
        <v>839</v>
      </c>
      <c r="P5" s="1585"/>
      <c r="Q5" s="1585"/>
      <c r="R5" s="1563"/>
      <c r="S5" s="1571"/>
      <c r="T5" s="486"/>
      <c r="U5" s="486"/>
      <c r="V5" s="665" t="s">
        <v>175</v>
      </c>
      <c r="W5" s="665" t="s">
        <v>176</v>
      </c>
      <c r="X5" s="1579" t="s">
        <v>177</v>
      </c>
      <c r="Y5" s="1580"/>
      <c r="Z5" s="1573" t="s">
        <v>178</v>
      </c>
      <c r="AA5" s="1574"/>
      <c r="AB5" s="1573" t="s">
        <v>345</v>
      </c>
      <c r="AC5" s="1574"/>
      <c r="AD5" s="634" t="s">
        <v>215</v>
      </c>
      <c r="AE5" s="1573" t="s">
        <v>243</v>
      </c>
      <c r="AF5" s="1580"/>
      <c r="AG5" s="1554" t="s">
        <v>217</v>
      </c>
      <c r="AH5" s="1556"/>
      <c r="AI5" s="1557"/>
      <c r="AJ5" s="1557"/>
      <c r="AK5" s="1557"/>
      <c r="AL5" s="1554" t="s">
        <v>893</v>
      </c>
      <c r="AM5" s="1556"/>
      <c r="AN5" s="1556"/>
      <c r="AO5" s="1556"/>
      <c r="AP5" s="1556"/>
      <c r="AQ5" s="1556"/>
      <c r="AR5" s="1560"/>
      <c r="AS5" s="1561" t="s">
        <v>179</v>
      </c>
      <c r="AT5" s="616"/>
      <c r="AU5" s="1554" t="s">
        <v>928</v>
      </c>
      <c r="AV5" s="1555"/>
      <c r="AX5" s="1554" t="s">
        <v>929</v>
      </c>
      <c r="AY5" s="1555"/>
      <c r="BA5" s="412"/>
      <c r="BB5" s="407"/>
      <c r="BC5" s="407"/>
      <c r="BD5" s="407"/>
    </row>
    <row r="6" spans="1:56" ht="25.5" customHeight="1" x14ac:dyDescent="0.2">
      <c r="A6" s="407"/>
      <c r="B6" s="1569"/>
      <c r="C6" s="1570"/>
      <c r="D6" s="1569"/>
      <c r="E6" s="1593"/>
      <c r="F6" s="1590"/>
      <c r="G6" s="1593"/>
      <c r="H6" s="1597"/>
      <c r="I6" s="1576"/>
      <c r="J6" s="1577"/>
      <c r="K6" s="1577"/>
      <c r="L6" s="1577"/>
      <c r="M6" s="1559"/>
      <c r="N6" s="1577"/>
      <c r="O6" s="1577"/>
      <c r="P6" s="1559"/>
      <c r="Q6" s="1559"/>
      <c r="R6" s="1564"/>
      <c r="S6" s="1572"/>
      <c r="T6" s="486"/>
      <c r="U6" s="486"/>
      <c r="V6" s="667" t="str">
        <f>$F$4</f>
        <v>Centerline</v>
      </c>
      <c r="W6" s="667" t="str">
        <f>$F$4</f>
        <v>Centerline</v>
      </c>
      <c r="X6" s="668">
        <f>$D$4</f>
        <v>0</v>
      </c>
      <c r="Y6" s="663">
        <f>$G$4</f>
        <v>0</v>
      </c>
      <c r="Z6" s="662">
        <f>$D$4</f>
        <v>0</v>
      </c>
      <c r="AA6" s="663">
        <f>$G$4</f>
        <v>0</v>
      </c>
      <c r="AB6" s="662">
        <f>$D$4</f>
        <v>0</v>
      </c>
      <c r="AC6" s="663">
        <f>$G$4</f>
        <v>0</v>
      </c>
      <c r="AD6" s="669" t="str">
        <f>$F$4</f>
        <v>Centerline</v>
      </c>
      <c r="AE6" s="662">
        <f>$D$4</f>
        <v>0</v>
      </c>
      <c r="AF6" s="670">
        <f>$G$4</f>
        <v>0</v>
      </c>
      <c r="AG6" s="1053" t="str">
        <f>$F$4</f>
        <v>Centerline</v>
      </c>
      <c r="AH6" s="1054" t="str">
        <f>CONCATENATE($D$4, " 1")</f>
        <v>0 1</v>
      </c>
      <c r="AI6" s="682" t="str">
        <f>CONCATENATE($D$4, " 2")</f>
        <v>0 2</v>
      </c>
      <c r="AJ6" s="682" t="str">
        <f>CONCATENATE($G$4, " 1")</f>
        <v>0 1</v>
      </c>
      <c r="AK6" s="1060" t="str">
        <f>CONCATENATE($G$4, " 2")</f>
        <v>0 2</v>
      </c>
      <c r="AL6" s="1067" t="str">
        <f>$F$4</f>
        <v>Centerline</v>
      </c>
      <c r="AM6" s="1054" t="str">
        <f>CONCATENATE($D$4, " 1")</f>
        <v>0 1</v>
      </c>
      <c r="AN6" s="682" t="str">
        <f>CONCATENATE($D$4, " 2")</f>
        <v>0 2</v>
      </c>
      <c r="AO6" s="682" t="str">
        <f>CONCATENATE($D$4, " 3")</f>
        <v>0 3</v>
      </c>
      <c r="AP6" s="1060" t="str">
        <f>CONCATENATE($G$4, " 1")</f>
        <v>0 1</v>
      </c>
      <c r="AQ6" s="682" t="str">
        <f>CONCATENATE($G$4, " 2")</f>
        <v>0 2</v>
      </c>
      <c r="AR6" s="683" t="str">
        <f>CONCATENATE($G$4, " 3")</f>
        <v>0 3</v>
      </c>
      <c r="AS6" s="1562"/>
      <c r="AT6" s="616"/>
      <c r="AU6" s="820">
        <f>IF(AD3="NB, SB","Southbound",IF(AD3="EB, WB","Westbound",0))</f>
        <v>0</v>
      </c>
      <c r="AV6" s="821">
        <f>IF(D4="SB","Northbound",IF(D4="WB","Eastbound",0))</f>
        <v>0</v>
      </c>
      <c r="AX6" s="1118">
        <f>IF(AD3="NB, SB","Southbound",IF(AD3="EB, WB","Westbound",0))</f>
        <v>0</v>
      </c>
      <c r="AY6" s="1117">
        <f>IF(D4="SB","Northbound",IF(D4="WB","Eastbound",0))</f>
        <v>0</v>
      </c>
      <c r="BA6" s="407"/>
      <c r="BB6" s="407"/>
      <c r="BC6" s="407"/>
      <c r="BD6" s="407"/>
    </row>
    <row r="7" spans="1:56" ht="12.75" customHeight="1" thickBot="1" x14ac:dyDescent="0.25">
      <c r="A7" s="407"/>
      <c r="B7" s="1547"/>
      <c r="C7" s="1479"/>
      <c r="D7" s="1547"/>
      <c r="E7" s="1594"/>
      <c r="F7" s="1591"/>
      <c r="G7" s="1594"/>
      <c r="H7" s="1598"/>
      <c r="I7" s="657" t="s">
        <v>19</v>
      </c>
      <c r="J7" s="657" t="s">
        <v>19</v>
      </c>
      <c r="K7" s="658" t="s">
        <v>19</v>
      </c>
      <c r="L7" s="658" t="s">
        <v>19</v>
      </c>
      <c r="M7" s="658" t="s">
        <v>19</v>
      </c>
      <c r="N7" s="658" t="s">
        <v>19</v>
      </c>
      <c r="O7" s="658" t="s">
        <v>19</v>
      </c>
      <c r="P7" s="658" t="s">
        <v>19</v>
      </c>
      <c r="Q7" s="658" t="s">
        <v>19</v>
      </c>
      <c r="R7" s="678" t="s">
        <v>20</v>
      </c>
      <c r="S7" s="659" t="s">
        <v>20</v>
      </c>
      <c r="T7" s="616"/>
      <c r="U7" s="616"/>
      <c r="V7" s="671" t="s">
        <v>19</v>
      </c>
      <c r="W7" s="671" t="s">
        <v>19</v>
      </c>
      <c r="X7" s="672" t="s">
        <v>19</v>
      </c>
      <c r="Y7" s="673" t="s">
        <v>19</v>
      </c>
      <c r="Z7" s="674" t="s">
        <v>19</v>
      </c>
      <c r="AA7" s="673" t="s">
        <v>19</v>
      </c>
      <c r="AB7" s="674" t="s">
        <v>19</v>
      </c>
      <c r="AC7" s="673" t="s">
        <v>19</v>
      </c>
      <c r="AD7" s="675" t="s">
        <v>19</v>
      </c>
      <c r="AE7" s="674" t="s">
        <v>19</v>
      </c>
      <c r="AF7" s="676" t="s">
        <v>19</v>
      </c>
      <c r="AG7" s="674" t="s">
        <v>19</v>
      </c>
      <c r="AH7" s="672" t="s">
        <v>19</v>
      </c>
      <c r="AI7" s="675" t="s">
        <v>19</v>
      </c>
      <c r="AJ7" s="675" t="s">
        <v>19</v>
      </c>
      <c r="AK7" s="676" t="s">
        <v>19</v>
      </c>
      <c r="AL7" s="674" t="s">
        <v>20</v>
      </c>
      <c r="AM7" s="675" t="s">
        <v>20</v>
      </c>
      <c r="AN7" s="675" t="s">
        <v>20</v>
      </c>
      <c r="AO7" s="675" t="s">
        <v>20</v>
      </c>
      <c r="AP7" s="675" t="s">
        <v>20</v>
      </c>
      <c r="AQ7" s="675" t="s">
        <v>20</v>
      </c>
      <c r="AR7" s="673" t="s">
        <v>20</v>
      </c>
      <c r="AS7" s="677" t="s">
        <v>20</v>
      </c>
      <c r="AT7" s="616"/>
      <c r="AU7" s="827" t="s">
        <v>19</v>
      </c>
      <c r="AV7" s="824" t="s">
        <v>19</v>
      </c>
      <c r="AX7" s="1119" t="s">
        <v>19</v>
      </c>
      <c r="AY7" s="824" t="s">
        <v>19</v>
      </c>
      <c r="BA7" s="407"/>
      <c r="BB7" s="407"/>
      <c r="BC7" s="407"/>
      <c r="BD7" s="407"/>
    </row>
    <row r="8" spans="1:56" x14ac:dyDescent="0.2">
      <c r="A8" s="407"/>
      <c r="B8" s="624"/>
      <c r="C8" s="625"/>
      <c r="D8" s="626"/>
      <c r="E8" s="660"/>
      <c r="F8" s="627"/>
      <c r="G8" s="661"/>
      <c r="H8" s="628"/>
      <c r="I8" s="629">
        <f t="shared" ref="I8:I47" si="0">V8</f>
        <v>0</v>
      </c>
      <c r="J8" s="629">
        <f t="shared" ref="J8:J47" si="1">W8</f>
        <v>0</v>
      </c>
      <c r="K8" s="630">
        <f t="shared" ref="K8:K47" si="2">X8+Y8</f>
        <v>0</v>
      </c>
      <c r="L8" s="631">
        <f t="shared" ref="L8:L47" si="3">Z8+AA8</f>
        <v>0</v>
      </c>
      <c r="M8" s="631">
        <f t="shared" ref="M8:M47" si="4">AB8+AC8</f>
        <v>0</v>
      </c>
      <c r="N8" s="631">
        <f t="shared" ref="N8:N47" si="5">AD8</f>
        <v>0</v>
      </c>
      <c r="O8" s="632">
        <f t="shared" ref="O8:O47" si="6">AE8+AF8</f>
        <v>0</v>
      </c>
      <c r="P8" s="632">
        <f>IF(OR($AD$4=$AW$54,$AD$4=$AW$55),SUM(I8:O8),0)</f>
        <v>0</v>
      </c>
      <c r="Q8" s="632">
        <f t="shared" ref="Q8:Q47" si="7">SUM(AG8:AK8)</f>
        <v>0</v>
      </c>
      <c r="R8" s="632">
        <f t="shared" ref="R8:R47" si="8">IF($AF$3="Yes",SUM(AL8:AS8),0)</f>
        <v>0</v>
      </c>
      <c r="S8" s="633">
        <f t="shared" ref="S8:S47" si="9">IF($AF$4="Yes",SUM(AL8:AS8),0)</f>
        <v>0</v>
      </c>
      <c r="T8" s="411"/>
      <c r="U8" s="411"/>
      <c r="V8" s="665">
        <f>IF(F8=$AV$60,(C8-B8)*4,IF(OR(F8=$AV$53,F8=$AV$59),(C8-B8)*2,IF(OR(F8=$AV$55,F8=$AV$56,F8=$AV$57,F8=$AV$58,F8=$AV$62),C8-B8,0)))</f>
        <v>0</v>
      </c>
      <c r="W8" s="665">
        <f>IF(OR(F8=$AV$54,F8=$AV$55,F8=$AV$56,F8=$AV$57,F8=$AV$58),ROUNDUP((C8-B8)/4,-1),IF(F8=$AV$59,2*ROUNDUP((C8-B8)/4,-1),0))</f>
        <v>0</v>
      </c>
      <c r="X8" s="621">
        <f>IF($D8=$AX$53,$C8-$B8,0)+
IF(OR($E8=$AU$53,$E8=$AU$55,$E8=$AU$56,$E8=$AU$59,$E8=$AU$60,$E8=$AU$61,$E8=$AU$69,$E8=$AU$74,$E8=$AU$75,$E8=$AU$79),$C8-$B8,
IF(OR($E8=$AU$54,$E8=$AU$63,$E8=$AU$64,$E8=$AU$65,$E8=$AU$70,$E8=$AU$72,$E8=$AU$73),2*($C8-$B8),
IF($E8=$AU$71,3*($C8-$B8),0)))</f>
        <v>0</v>
      </c>
      <c r="Y8" s="620">
        <f>IF($H8=$AX$53,$C8-$B8,0)+
IF(OR($G8=$AU$53,$G8=$AU$55,$G8=$AU$56,$G8=$AU$59,$G8=$AU$60,$G8=$AU$61,$G8=$AU$69,$G8=$AU$74,$G8=$AU$75,$G8=$AU$79),$C8-$B8,
IF(OR($G8=$AU$54,$G8=$AU$63,$G8=$AU$64,$G8=$AU$65,$G8=$AU$70,$G8=$AU$72,$G8=$AU$73),2*($C8-$B8),
IF($G8=$AU$71,3*($C8-$B8),0)))</f>
        <v>0</v>
      </c>
      <c r="Z8" s="618">
        <f>IF(OR($E8=$AU$57,$E8=$AU$59,$E8=$AU$61,$E8=$AU$64,$E8=$AU$67,$E8=$AU$71,$E8=$AU$72,$E8=$AU$74,$E8=$AU$77),ROUNDUP(($C8-$B8)/4,-1),
IF(OR($E8=$AU$58,$E8=$AU$60,$E8=$AU$62,$E8=$AU$65,$E8=$AU$68,$E8=$AU$73,$E8=$AU$75,$E8=$AU$78,$E8=$AU$79),2*ROUNDUP(($C8-$B8)/4,-1),0))</f>
        <v>0</v>
      </c>
      <c r="AA8" s="620">
        <f>IF(OR($G8=$AU$57,$G8=$AU$59,$G8=$AU$61,$G8=$AU$64,$G8=$AU$67,$G8=$AU$71,$G8=$AU$72,$G8=$AU$74,$G8=$AU$77),ROUNDUP(($C8-$B8)/4,-1),
IF(OR($G8=$AU$58,$G8=$AU$60,$G8=$AU$62,$G8=$AU$65,$G8=$AU$68,$G8=$AU$73,$G8=$AU$75,$G8=$AU$78,$G8=$AU$79),2*ROUNDUP(($C8-$B8)/4,-1),0))</f>
        <v>0</v>
      </c>
      <c r="AB8" s="618">
        <f>IF(OR($E8=$AU$76,$E8=$AU$77,$E8=$AU$78),ROUNDUP(($C8-$B8)/4,-1),0)</f>
        <v>0</v>
      </c>
      <c r="AC8" s="620">
        <f>IF(OR($G8=$AU$76,$G8=$AU$77,$G8=$AU$78),ROUNDUP(($C8-$B8)/4,-1),0)</f>
        <v>0</v>
      </c>
      <c r="AD8" s="634">
        <f>IF($F8=AV$61,2*(C8-B8),IF($F8=AV$62,C8-B8,0))</f>
        <v>0</v>
      </c>
      <c r="AE8" s="618">
        <f>IF(OR($E8=AU$66,$E8=$AU$67,$E8=$AU$68,$E8=$AU$69,$E8=$AU$70,$E8=$AU$72,$E8=$AU$73,$E8=$AU$74,$E8=$AU$75,$E8=$AU$79),2*($C8-$B8),0)</f>
        <v>0</v>
      </c>
      <c r="AF8" s="619">
        <f>IF(OR($G8=AU$66,$G8=$AU$67,$G8=$AU$68,$G8=$AU$69,$G8=$AU$70,$G8=$AU$72,$G8=$AU$73,$G8=$AU$74,$G8=$AU$75,$G8=$AU$79),2*($C8-$B8),0)</f>
        <v>0</v>
      </c>
      <c r="AG8" s="1058">
        <f>IF(OR(AND(F8=$AV$53,OR('Resurface, Milling, Agg.'!$F$65='Resurface, Milling, Agg.'!$AA$62,'Resurface, Milling, Agg.'!$F$65='Resurface, Milling, Agg.'!$AA$64)),F8=$AV$54,F8=$AV$55,F8=$AV$56,F8=$AV$57,F8=$AV$58,F8=$AV$59),(($C8-$B8)*4/40),IF(F8=$AV$62,$C8-$B8,IF(OR(F8=$AV$60,F8=$AV$61),2*($C8-$B8),0)))</f>
        <v>0</v>
      </c>
      <c r="AH8" s="1055">
        <f>IF(OR($E8=$AU$53,$E8=$AU$55,$E8=$AU$56),$C8-$B8,
IF(OR($E8=$AU$54,$E8=$AU$63,$E8=$AU$66),2*($C8-$B8),
IF($E8=$AU$69,3*($C8-$B8),
IF($E8=$AU$70,4*($C8-$B8),
IF(OR($E8=$AU$57,$E8=$AU$76),($C8-$B8)*4/40,
IF(OR($E8=$AU$58,$E8=$AU$77),2*($C8-$B8)*4/40,
IF($E8=$AU$58,3*($C8-$B8)*4/40,0)))))))</f>
        <v>0</v>
      </c>
      <c r="AI8" s="635">
        <f>IF(OR($E8=$AU$59,$E8=$AU$61),($C8-$B8)+($C8-$B8)*4/40,
IF(OR($E8=$AU$64,$E8=$AU$67),2*($C8-$B8)+($C8-$B8)*4/40,
IF(OR($E8=$AU$71,$E8=$AU$74),3*($C8-$B8)+($C8-$B8)*4/40,
IF($E8=$AU$72,4*($C8-$B8)+($C8-$B8)*4/40,
IF(OR($E8=$AU$60,$E8=$AU$62),($C8-$B8)+2*($C8-$B8)*4/40,
IF(OR($E8=$AU$65,$E8=$AU$68),2*($C8-$B8)+2*($C8-$B8)*4/40,
IF(OR($E8=$AU$75,$E8=$AU$79),3*($C8-$B8)+2*($C8-$B8)*4/40,
IF($E8=$AU$73,4*($C8-$B8)+2*($C8-$B8)*4/40,0))))))))</f>
        <v>0</v>
      </c>
      <c r="AJ8" s="635">
        <f>IF(OR($G8=$AU$53,$G8=$AU$55,$G8=$AU$56),$C8-$B8,
IF(OR($G8=$AU$54,$G8=$AU$63,$G8=$AU$66),2*($C8-$B8),
IF($G8=$AU$69,3*($C8-$B8),
IF($G8=$AU$70,4*($C8-$B8),
IF(OR($G8=$AU$57,$G8=$AU$76),($C8-$B8)*4/40,
IF(OR($G8=$AU$58,$G8=$AU$77),2*($C8-$B8)*4/40,
IF($G8=$AU$58,3*($C8-$B8)*4/40,0)))))))</f>
        <v>0</v>
      </c>
      <c r="AK8" s="1061">
        <f>IF(OR($G8=$AU$59,$G8=$AU$61),($C8-$B8)+($C8-$B8)*4/40,
IF(OR($G8=$AU$64,$G8=$AU$67),2*($C8-$B8)+($C8-$B8)*4/40,
IF(OR($G8=$AU$71,$G8=$AU$74),3*($C8-$B8)+($C8-$B8)*4/40,
IF($G8=$AU$72,4*($C8-$B8)+($C8-$B8)*4/40,
IF(OR($G8=$AU$60,$G8=$AU$62),($C8-$B8)+2*($C8-$B8)*4/40,
IF(OR($G8=$AU$65,$G8=$AU$68),2*($C8-$B8)+2*($C8-$B8)*4/40,
IF(OR($G8=$AU$75,$G8=$AU$79),3*($C8-$B8)+2*($C8-$B8)*4/40,
IF($G8=$AU$73,4*($C8-$B8)+2*($C8-$B8)*4/40,0))))))))</f>
        <v>0</v>
      </c>
      <c r="AL8" s="1063">
        <f>IF(AND(F8=$AV$53,OR('Resurface, Milling, Agg.'!$F$65='Resurface, Milling, Agg.'!$AA$62,'Resurface, Milling, Agg.'!$F$65='Resurface, Milling, Agg.'!$AA$64)),ROUNDUP(($C8-$B8)/40,0),
IF(OR(F8=$AV$55,F8=$AV$56,F8=$AV$57,F8=$AV$58,F8=$AV$62),ROUNDUP(($C8-$B8)/40,0),
IF(OR(F8=$AV$59,F8=$AV$60,F8=$AV$61),2*ROUNDUP(($C8-$B8)/40,0),
IF(F8=$AV$54,ROUNDUP(($C8-$B8)/80,0),0))))</f>
        <v>0</v>
      </c>
      <c r="AM8" s="635">
        <f>IF(OR(E8=$AU$53,E8=$AU$55,E8=$AU$56),ROUNDUP(($C8-$B8)/40,0),
IF(OR(E8=$AU$54,E8=$AU$63,E8=$AU$66),ROUNDUP(2*($C8-$B8)/40,0),
IF(E8=$AU$69,ROUNDUP(3*($C8-$B8)/40,0),
IF(E8=$AU$70,ROUNDUP(4*($C8-$B8)/40,0),
IF(E8=$AU$76,ROUNDUP(($C8-$B8)/48,0),
IF(E8=$AU$57,ROUNDUP(($C8-$B8)/80,0),
IF(E8=$AU$58,ROUNDUP(2*($C8-$B8)/80,0),0)))))))</f>
        <v>0</v>
      </c>
      <c r="AN8" s="635">
        <f>IF(OR(E8=$AU$59,E8=$AU$61),ROUNDUP(($C8-$B8)/40+($C8-$B8)/80,0),
IF(OR(E8=$AU$60,E8=$AU$62),ROUNDUP(($C8-$B8)/40+2*($C8-$B8)/80,0),
IF(OR(E8=$AU$64,E8=$AU$67),ROUNDUP(2*($C8-$B8)/40+($C8-$B8)/80,0),
IF(OR(E8=$AU$65,E8=$AU$68),ROUNDUP(2*($C8-$B8)/40+2*($C8-$B8)/80,0),
IF(OR(E8=$AU$71,E8=$AU$74),ROUNDUP(3*($C8-$B8)/40+($C8-$B8)/80,0),
IF(E8=$AU$79,ROUNDUP(3*($C8-$B8)/40+2*($C8-$B8)/80,0),
IF(E8=$AU$72,ROUNDUP(4*($C8-$B8)/40+($C8-$B8)/80,0),0)))))))</f>
        <v>0</v>
      </c>
      <c r="AO8" s="635">
        <f>IF(E8=$AU$73,ROUNDUP(4*($C8-$B8)/40+2*($C8-$B8)/80,0),
IF(E8=$AU$75,ROUNDUP(3*($C8-$B8)/40+($C8-$B8)/48+2*($C8-$B8)/80,0),
IF(E8=$AU$77,ROUNDUP(($C8-$B8)/48+($C8-$B8)/80,0),
IF(E8=$AU$78,ROUNDUP(($C8-$B8)/48+2*($C8-$B8)/80,0),0))))</f>
        <v>0</v>
      </c>
      <c r="AP8" s="635">
        <f>IF(OR(G8=$AU$53,G8=$AU$55,G8=$AU$56),ROUNDUP(($C8-$B8)/40,0),
IF(OR(G8=$AU$54,G8=$AU$63,G8=$AU$66),ROUNDUP(2*($C8-$B8)/40,0),
IF(G8=$AU$69,ROUNDUP(3*($C8-$B8)/40,0),
IF(G8=$AU$70,ROUNDUP(4*($C8-$B8)/40,0),
IF(G8=$AU$76,ROUNDUP(($C8-$B8)/48,0),
IF(G8=$AU$57,ROUNDUP(($C8-$B8)/80,0),
IF(G8=$AU$58,ROUNDUP(2*($C8-$B8)/80,0),0)))))))</f>
        <v>0</v>
      </c>
      <c r="AQ8" s="635">
        <f>IF(OR(G8=$AU$59,G8=$AU$61),ROUNDUP(($C8-$B8)/40+($C8-$B8)/80,0),
IF(OR(G8=$AU$60,G8=$AU$62),ROUNDUP(($C8-$B8)/40+2*($C8-$B8)/80,0),
IF(OR(G8=$AU$64,G8=$AU$67),ROUNDUP(2*($C8-$B8)/40+($C8-$B8)/80,0),
IF(OR(G8=$AU$65,G8=$AU$68),ROUNDUP(2*($C8-$B8)/40+2*($C8-$B8)/80,0),
IF(OR(G8=$AU$71,G8=$AU$74),ROUNDUP(3*($C8-$B8)/40+($C8-$B8)/80,0),
IF(G8=$AU$79,ROUNDUP(3*($C8-$B8)/40+2*($C8-$B8)/80,0),
IF(G8=$AU$72,ROUNDUP(4*($C8-$B8)/40+($C8-$B8)/80,0),0)))))))</f>
        <v>0</v>
      </c>
      <c r="AR8" s="1064">
        <f>IF(G8=$AU$73,ROUNDUP(4*($C8-$B8)/40+2*($C8-$B8)/80,0),
IF(G8=$AU$75,ROUNDUP(3*($C8-$B8)/40+($C8-$B8)/48+2*($C8-$B8)/80,0),
IF(G8=$AU$77,ROUNDUP(($C8-$B8)/48+($C8-$B8)/80,0),
IF(G8=$AU$78,ROUNDUP(($C8-$B8)/48+2*($C8-$B8)/80,0),0))))</f>
        <v>0</v>
      </c>
      <c r="AS8" s="1008"/>
      <c r="AU8" s="825">
        <f>IF(ISTEXT(B8),0,IF(OR($F8=0,$E8=$AU$53,$E8=$AU$54,$E8=$AU$59,$E8=$AU$60,$E8=$AU$63,$E8=$AU$64,$E8=$AU$65,$E8=$AU$69,$E8=$AU$70,$E8=$AU$71,$E8=$AU$72,$E8=$AU$73,$E8=$AU$74,$E8=$AU$75),$C8-$B8,0))</f>
        <v>0</v>
      </c>
      <c r="AV8" s="826">
        <f>IF(ISTEXT(B8),0,IF(OR($F8=0,$G8=$AU$53,$G8=$AU$54,$G8=$AU$59,$G8=$AU$60,$G8=$AU$63,$G8=$AU$64,$G8=$AU$65,$G8=$AU$69,$G8=$AU$70,$G8=$AU$71,$G8=$AU$72,$G8=$AU$73,$G8=$AU$74,$G8=$AU$75),$C8-$B8,0))</f>
        <v>0</v>
      </c>
      <c r="AX8" s="825">
        <f>IF(ISTEXT(B8),0,IF(OR($D8="No",$D8=0,$E8=$AU$55,$E8=$AU$61,$E8=$AU$62,$E8=$AU$63,$E8=$AU$64,$E8=$AU$65,$E8=$AU$71,$E8=$AU$79),$C8-$B8,0))</f>
        <v>0</v>
      </c>
      <c r="AY8" s="826">
        <f>IF(ISTEXT(B8),0,IF(OR($H8="No",$H8=0,$G8=$AU$55,$G8=$AU$61,$G8=$AU$62,$G8=$AU$63,$G8=$AU$64,$G8=$AU$65,$G8=$AU$71,$G8=$AU$79),$C8-$B8,0)+IF(OR($F8=0,$G8=$AU$53,$G8=$AU$54,$G8=$AU$59,$G8=$AU$60,$G8=$AU$63,$G8=$AU$64,$G8=$AU$65,$G8=$AU$69,$G8=$AU$70,$G8=$AU$71,$G8=$AU$72,$G8=$AU$73,$G8=$AU$74,$G8=$AU$75),$C8-$B8,0))</f>
        <v>0</v>
      </c>
      <c r="BA8" s="407"/>
      <c r="BB8" s="407"/>
      <c r="BC8" s="407"/>
      <c r="BD8" s="407"/>
    </row>
    <row r="9" spans="1:56" x14ac:dyDescent="0.2">
      <c r="A9" s="407"/>
      <c r="B9" s="638">
        <f>C8</f>
        <v>0</v>
      </c>
      <c r="C9" s="639"/>
      <c r="D9" s="626"/>
      <c r="E9" s="660"/>
      <c r="F9" s="627"/>
      <c r="G9" s="661"/>
      <c r="H9" s="628"/>
      <c r="I9" s="629">
        <f t="shared" si="0"/>
        <v>0</v>
      </c>
      <c r="J9" s="629">
        <f t="shared" si="1"/>
        <v>0</v>
      </c>
      <c r="K9" s="630">
        <f t="shared" si="2"/>
        <v>0</v>
      </c>
      <c r="L9" s="631">
        <f t="shared" si="3"/>
        <v>0</v>
      </c>
      <c r="M9" s="631">
        <f t="shared" si="4"/>
        <v>0</v>
      </c>
      <c r="N9" s="640">
        <f t="shared" si="5"/>
        <v>0</v>
      </c>
      <c r="O9" s="632">
        <f t="shared" si="6"/>
        <v>0</v>
      </c>
      <c r="P9" s="632">
        <f t="shared" ref="P9:P47" si="10">IF(OR($AD$4=$AW$54,$AD$4=$AW$55),SUM(I9:O9),0)</f>
        <v>0</v>
      </c>
      <c r="Q9" s="632">
        <f t="shared" si="7"/>
        <v>0</v>
      </c>
      <c r="R9" s="632">
        <f t="shared" si="8"/>
        <v>0</v>
      </c>
      <c r="S9" s="641">
        <f t="shared" si="9"/>
        <v>0</v>
      </c>
      <c r="T9" s="411"/>
      <c r="U9" s="411"/>
      <c r="V9" s="666">
        <f t="shared" ref="V9:V47" si="11">IF(F9=$AV$60,(C9-B9)*4,IF(OR(F9=$AV$53,F9=$AV$59),(C9-B9)*2,IF(OR(F9=$AV$55,F9=$AV$56,F9=$AV$57,F9=$AV$58,F9=$AV$62),C9-B9,0)))</f>
        <v>0</v>
      </c>
      <c r="W9" s="666">
        <f t="shared" ref="W9:W47" si="12">IF(OR(F9=$AV$54,F9=$AV$55,F9=$AV$56,F9=$AV$57,F9=$AV$58),ROUNDUP((C9-B9)/4,-1),IF(F9=$AV$59,2*ROUNDUP((C9-B9)/4,-1),0))</f>
        <v>0</v>
      </c>
      <c r="X9" s="664">
        <f t="shared" ref="X9:X47" si="13">IF($D9=$AX$53,$C9-$B9,0)+
IF(OR($E9=$AU$53,$E9=$AU$55,$E9=$AU$56,$E9=$AU$59,$E9=$AU$60,$E9=$AU$61,$E9=$AU$69,$E9=$AU$74,$E9=$AU$75,$E9=$AU$79),$C9-$B9,
IF(OR($E9=$AU$54,$E9=$AU$63,$E9=$AU$64,$E9=$AU$65,$E9=$AU$70,$E9=$AU$72,$E9=$AU$73),2*($C9-$B9),
IF($E9=$AU$71,3*($C9-$B9),0)))</f>
        <v>0</v>
      </c>
      <c r="Y9" s="1052">
        <f t="shared" ref="Y9:Y47" si="14">IF($H9=$AX$53,$C9-$B9,0)+
IF(OR($G9=$AU$53,$G9=$AU$55,$G9=$AU$56,$G9=$AU$59,$G9=$AU$60,$G9=$AU$61,$G9=$AU$69,$G9=$AU$74,$G9=$AU$75,$G9=$AU$79),$C9-$B9,
IF(OR($G9=$AU$54,$G9=$AU$63,$G9=$AU$64,$G9=$AU$65,$G9=$AU$70,$G9=$AU$72,$G9=$AU$73),2*($C9-$B9),
IF($G9=$AU$71,3*($C9-$B9),0)))</f>
        <v>0</v>
      </c>
      <c r="Z9" s="431">
        <f t="shared" ref="Z9:Z47" si="15">IF(OR($E9=$AU$57,$E9=$AU$59,$E9=$AU$61,$E9=$AU$64,$E9=$AU$67,$E9=$AU$71,$E9=$AU$72,$E9=$AU$74,$E9=$AU$77),ROUNDUP(($C9-$B9)/4,-1),
IF(OR($E9=$AU$58,$E9=$AU$60,$E9=$AU$62,$E9=$AU$65,$E9=$AU$68,$E9=$AU$73,$E9=$AU$75,$E9=$AU$78,$E9=$AU$79),2*ROUNDUP(($C9-$B9)/4,-1),0))</f>
        <v>0</v>
      </c>
      <c r="AA9" s="1052">
        <f t="shared" ref="AA9:AA47" si="16">IF(OR($G9=$AU$57,$G9=$AU$59,$G9=$AU$61,$G9=$AU$64,$G9=$AU$67,$G9=$AU$71,$G9=$AU$72,$G9=$AU$74,$G9=$AU$77),ROUNDUP(($C9-$B9)/4,-1),
IF(OR($G9=$AU$58,$G9=$AU$60,$G9=$AU$62,$G9=$AU$65,$G9=$AU$68,$G9=$AU$73,$G9=$AU$75,$G9=$AU$78,$G9=$AU$79),2*ROUNDUP(($C9-$B9)/4,-1),0))</f>
        <v>0</v>
      </c>
      <c r="AB9" s="431">
        <f t="shared" ref="AB9:AB47" si="17">IF(OR($E9=$AU$76,$E9=$AU$77,$E9=$AU$78),ROUNDUP(($C9-$B9)/4,-1),0)</f>
        <v>0</v>
      </c>
      <c r="AC9" s="1121">
        <f t="shared" ref="AC9:AC47" si="18">IF(OR($G9=$AU$76,$G9=$AU$77,$G9=$AU$78),ROUNDUP(($C9-$B9)/4,-1),0)</f>
        <v>0</v>
      </c>
      <c r="AD9" s="642">
        <f t="shared" ref="AD9:AD47" si="19">IF($F9=AV$61,2*(C9-B9),IF($F9=AV$62,C9-B9,0))</f>
        <v>0</v>
      </c>
      <c r="AE9" s="431">
        <f t="shared" ref="AE9:AE47" si="20">IF(OR($E9=AU$66,$E9=$AU$67,$E9=$AU$68,$E9=$AU$69,$E9=$AU$70,$E9=$AU$72,$E9=$AU$73,$E9=$AU$74,$E9=$AU$75,$E9=$AU$79),2*($C9-$B9),0)</f>
        <v>0</v>
      </c>
      <c r="AF9" s="518">
        <f t="shared" ref="AF9:AF47" si="21">IF(OR($G9=AU$66,$G9=$AU$67,$G9=$AU$68,$G9=$AU$69,$G9=$AU$70,$G9=$AU$72,$G9=$AU$73,$G9=$AU$74,$G9=$AU$75,$G9=$AU$79),2*($C9-$B9),0)</f>
        <v>0</v>
      </c>
      <c r="AG9" s="1057">
        <f>IF(OR(AND(F9=$AV$53,OR('Resurface, Milling, Agg.'!$F$65='Resurface, Milling, Agg.'!$AA$62,'Resurface, Milling, Agg.'!$F$65='Resurface, Milling, Agg.'!$AA$64)),F9=$AV$54,F9=$AV$55,F9=$AV$56,F9=$AV$57,F9=$AV$58,F9=$AV$59),(($C9-$B9)*4/40),IF(F9=$AV$62,$C9-$B9,IF(OR(F9=$AV$60,F9=$AV$61),2*($C9-$B9),0)))</f>
        <v>0</v>
      </c>
      <c r="AH9" s="1055">
        <f t="shared" ref="AH9:AH47" si="22">IF(OR($E9=$AU$53,$E9=$AU$55,$E9=$AU$56),$C9-$B9,
IF(OR($E9=$AU$54,$E9=$AU$63,$E9=$AU$66),2*($C9-$B9),
IF($E9=$AU$69,3*($C9-$B9),
IF($E9=$AU$70,4*($C9-$B9),
IF(OR($E9=$AU$57,$E9=$AU$76),($C9-$B9)*4/40,
IF(OR($E9=$AU$58,$E9=$AU$77),2*($C9-$B9)*4/40,
IF($E9=$AU$58,3*($C9-$B9)*4/40,0)))))))</f>
        <v>0</v>
      </c>
      <c r="AI9" s="643">
        <f t="shared" ref="AI9:AI47" si="23">IF(OR($E9=$AU$59,$E9=$AU$61),($C9-$B9)+($C9-$B9)*4/40,
IF(OR($E9=$AU$64,$E9=$AU$67),2*($C9-$B9)+($C9-$B9)*4/40,
IF(OR($E9=$AU$71,$E9=$AU$74),3*($C9-$B9)+($C9-$B9)*4/40,
IF($E9=$AU$72,4*($C9-$B9)+($C9-$B9)*4/40,
IF(OR($E9=$AU$60,$E9=$AU$62),($C9-$B9)+2*($C9-$B9)*4/40,
IF(OR($E9=$AU$65,$E9=$AU$68),2*($C9-$B9)+2*($C9-$B9)*4/40,
IF(OR($E9=$AU$75,$E9=$AU$79),3*($C9-$B9)+2*($C9-$B9)*4/40,
IF($E9=$AU$73,4*($C9-$B9)+2*($C9-$B9)*4/40,0))))))))</f>
        <v>0</v>
      </c>
      <c r="AJ9" s="635">
        <f t="shared" ref="AJ9:AJ47" si="24">IF(OR($G9=$AU$53,$G9=$AU$55,$G9=$AU$56),$C9-$B9,
IF(OR($G9=$AU$54,$G9=$AU$63,$G9=$AU$66),2*($C9-$B9),
IF($G9=$AU$69,3*($C9-$B9),
IF($G9=$AU$70,4*($C9-$B9),
IF(OR($G9=$AU$57,$G9=$AU$76),($C9-$B9)*4/40,
IF(OR($G9=$AU$58,$G9=$AU$77),2*($C9-$B9)*4/40,
IF($G9=$AU$58,3*($C9-$B9)*4/40,0)))))))</f>
        <v>0</v>
      </c>
      <c r="AK9" s="1061">
        <f t="shared" ref="AK9:AK47" si="25">IF(OR($G9=$AU$59,$G9=$AU$61),($C9-$B9)+($C9-$B9)*4/40,
IF(OR($G9=$AU$64,$G9=$AU$67),2*($C9-$B9)+($C9-$B9)*4/40,
IF(OR($G9=$AU$71,$G9=$AU$74),3*($C9-$B9)+($C9-$B9)*4/40,
IF($G9=$AU$72,4*($C9-$B9)+($C9-$B9)*4/40,
IF(OR($G9=$AU$60,$G9=$AU$62),($C9-$B9)+2*($C9-$B9)*4/40,
IF(OR($G9=$AU$65,$G9=$AU$68),2*($C9-$B9)+2*($C9-$B9)*4/40,
IF(OR($G9=$AU$75,$G9=$AU$79),3*($C9-$B9)+2*($C9-$B9)*4/40,
IF($G9=$AU$73,4*($C9-$B9)+2*($C9-$B9)*4/40,0))))))))</f>
        <v>0</v>
      </c>
      <c r="AL9" s="1063">
        <f>IF(AND(F9=$AV$53,OR('Resurface, Milling, Agg.'!$F$65='Resurface, Milling, Agg.'!$AA$62,'Resurface, Milling, Agg.'!$F$65='Resurface, Milling, Agg.'!$AA$64)),ROUNDUP(($C9-$B9)/40,0),
IF(OR(F9=$AV$55,F9=$AV$56,F9=$AV$57,F9=$AV$58,F9=$AV$62),ROUNDUP(($C9-$B9)/40,0),
IF(OR(F9=$AV$59,F9=$AV$60,F9=$AV$61),2*ROUNDUP(($C9-$B9)/40,0),
IF(F9=$AV$54,ROUNDUP(($C9-$B9)/80,0),0))))</f>
        <v>0</v>
      </c>
      <c r="AM9" s="635">
        <f t="shared" ref="AM9:AM47" si="26">IF(OR(E9=$AU$53,E9=$AU$55,E9=$AU$56),ROUNDUP(($C9-$B9)/40,0),
IF(OR(E9=$AU$54,E9=$AU$63,E9=$AU$66),ROUNDUP(2*($C9-$B9)/40,0),
IF(E9=$AU$69,ROUNDUP(3*($C9-$B9)/40,0),
IF(E9=$AU$70,ROUNDUP(4*($C9-$B9)/40,0),
IF(E9=$AU$76,ROUNDUP(($C9-$B9)/48,0),
IF(E9=$AU$57,ROUNDUP(($C9-$B9)/80,0),
IF(E9=$AU$58,ROUNDUP(2*($C9-$B9)/80,0),0)))))))</f>
        <v>0</v>
      </c>
      <c r="AN9" s="635">
        <f t="shared" ref="AN9:AN47" si="27">IF(OR(E9=$AU$59,E9=$AU$61),ROUNDUP(($C9-$B9)/40+($C9-$B9)/80,0),
IF(OR(E9=$AU$60,E9=$AU$62),ROUNDUP(($C9-$B9)/40+2*($C9-$B9)/80,0),
IF(OR(E9=$AU$64,E9=$AU$67),ROUNDUP(2*($C9-$B9)/40+($C9-$B9)/80,0),
IF(OR(E9=$AU$65,E9=$AU$68),ROUNDUP(2*($C9-$B9)/40+2*($C9-$B9)/80,0),
IF(OR(E9=$AU$71,E9=$AU$74),ROUNDUP(3*($C9-$B9)/40+($C9-$B9)/80,0),
IF(E9=$AU$79,ROUNDUP(3*($C9-$B9)/40+2*($C9-$B9)/80,0),
IF(E9=$AU$72,ROUNDUP(4*($C9-$B9)/40+($C9-$B9)/80,0),0)))))))</f>
        <v>0</v>
      </c>
      <c r="AO9" s="635">
        <f t="shared" ref="AO9:AO47" si="28">IF(E9=$AU$73,ROUNDUP(4*($C9-$B9)/40+2*($C9-$B9)/80,0),
IF(E9=$AU$75,ROUNDUP(3*($C9-$B9)/40+($C9-$B9)/48+2*($C9-$B9)/80,0),
IF(E9=$AU$77,ROUNDUP(($C9-$B9)/48+($C9-$B9)/80,0),
IF(E9=$AU$78,ROUNDUP(($C9-$B9)/48+2*($C9-$B9)/80,0),0))))</f>
        <v>0</v>
      </c>
      <c r="AP9" s="635">
        <f t="shared" ref="AP9:AP47" si="29">IF(OR(G9=$AU$53,G9=$AU$55,G9=$AU$56),ROUNDUP(($C9-$B9)/40,0),
IF(OR(G9=$AU$54,G9=$AU$63,G9=$AU$66),ROUNDUP(2*($C9-$B9)/40,0),
IF(G9=$AU$69,ROUNDUP(3*($C9-$B9)/40,0),
IF(G9=$AU$70,ROUNDUP(4*($C9-$B9)/40,0),
IF(G9=$AU$76,ROUNDUP(($C9-$B9)/48,0),
IF(G9=$AU$57,ROUNDUP(($C9-$B9)/80,0),
IF(G9=$AU$58,ROUNDUP(2*($C9-$B9)/80,0),0)))))))</f>
        <v>0</v>
      </c>
      <c r="AQ9" s="635">
        <f t="shared" ref="AQ9:AQ47" si="30">IF(OR(G9=$AU$59,G9=$AU$61),ROUNDUP(($C9-$B9)/40+($C9-$B9)/80,0),
IF(OR(G9=$AU$60,G9=$AU$62),ROUNDUP(($C9-$B9)/40+2*($C9-$B9)/80,0),
IF(OR(G9=$AU$64,G9=$AU$67),ROUNDUP(2*($C9-$B9)/40+($C9-$B9)/80,0),
IF(OR(G9=$AU$65,G9=$AU$68),ROUNDUP(2*($C9-$B9)/40+2*($C9-$B9)/80,0),
IF(OR(G9=$AU$71,G9=$AU$74),ROUNDUP(3*($C9-$B9)/40+($C9-$B9)/80,0),
IF(G9=$AU$79,ROUNDUP(3*($C9-$B9)/40+2*($C9-$B9)/80,0),
IF(G9=$AU$72,ROUNDUP(4*($C9-$B9)/40+($C9-$B9)/80,0),0)))))))</f>
        <v>0</v>
      </c>
      <c r="AR9" s="1064">
        <f t="shared" ref="AR9:AR47" si="31">IF(G9=$AU$73,ROUNDUP(4*($C9-$B9)/40+2*($C9-$B9)/80,0),
IF(G9=$AU$75,ROUNDUP(3*($C9-$B9)/40+($C9-$B9)/48+2*($C9-$B9)/80,0),
IF(G9=$AU$77,ROUNDUP(($C9-$B9)/48+($C9-$B9)/80,0),
IF(G9=$AU$78,ROUNDUP(($C9-$B9)/48+2*($C9-$B9)/80,0),0))))</f>
        <v>0</v>
      </c>
      <c r="AS9" s="1009"/>
      <c r="AT9" s="636"/>
      <c r="AU9" s="822">
        <f t="shared" ref="AU9:AU47" si="32">IF(ISTEXT(B9),0,IF(OR($F9=0,$E9=$AU$53,$E9=$AU$54,$E9=$AU$59,$E9=$AU$60,$E9=$AU$63,$E9=$AU$64,$E9=$AU$65,$E9=$AU$69,$E9=$AU$70,$E9=$AU$71,$E9=$AU$72,$E9=$AU$73,$E9=$AU$74,$E9=$AU$75),$C9-$B9,0))</f>
        <v>0</v>
      </c>
      <c r="AV9" s="1117">
        <f t="shared" ref="AV9:AV47" si="33">IF(ISTEXT(B9),0,IF(OR($F9=0,$G9=$AU$53,$G9=$AU$54,$G9=$AU$59,$G9=$AU$60,$G9=$AU$63,$G9=$AU$64,$G9=$AU$65,$G9=$AU$69,$G9=$AU$70,$G9=$AU$71,$G9=$AU$72,$G9=$AU$73,$G9=$AU$74,$G9=$AU$75),$C9-$B9,0))</f>
        <v>0</v>
      </c>
      <c r="AX9" s="822">
        <f t="shared" ref="AX9:AX47" si="34">IF(ISTEXT(B9),0,IF(OR($D9="No",$D9=0,$E9=$AU$55,$E9=$AU$61,$E9=$AU$62,$E9=$AU$63,$E9=$AU$64,$E9=$AU$65,$E9=$AU$71,$E9=$AU$79),$C9-$B9,0))</f>
        <v>0</v>
      </c>
      <c r="AY9" s="1117">
        <f t="shared" ref="AY9:AY47" si="35">IF(ISTEXT(B9),0,IF(OR($H9="No",$H9=0,$G9=$AU$55,$G9=$AU$61,$G9=$AU$62,$G9=$AU$63,$G9=$AU$64,$G9=$AU$65,$G9=$AU$71,$G9=$AU$79),$C9-$B9,0)+IF(OR($F9=0,$G9=$AU$53,$G9=$AU$54,$G9=$AU$59,$G9=$AU$60,$G9=$AU$63,$G9=$AU$64,$G9=$AU$65,$G9=$AU$69,$G9=$AU$70,$G9=$AU$71,$G9=$AU$72,$G9=$AU$73,$G9=$AU$74,$G9=$AU$75),$C9-$B9,0))</f>
        <v>0</v>
      </c>
      <c r="BA9" s="407"/>
      <c r="BB9" s="407"/>
      <c r="BC9" s="407"/>
      <c r="BD9" s="407"/>
    </row>
    <row r="10" spans="1:56" x14ac:dyDescent="0.2">
      <c r="A10" s="407"/>
      <c r="B10" s="638">
        <f t="shared" ref="B10:B47" si="36">C9</f>
        <v>0</v>
      </c>
      <c r="C10" s="639"/>
      <c r="D10" s="626"/>
      <c r="E10" s="660"/>
      <c r="F10" s="627"/>
      <c r="G10" s="661"/>
      <c r="H10" s="628"/>
      <c r="I10" s="629">
        <f t="shared" si="0"/>
        <v>0</v>
      </c>
      <c r="J10" s="629">
        <f t="shared" si="1"/>
        <v>0</v>
      </c>
      <c r="K10" s="630">
        <f t="shared" si="2"/>
        <v>0</v>
      </c>
      <c r="L10" s="631">
        <f t="shared" si="3"/>
        <v>0</v>
      </c>
      <c r="M10" s="631">
        <f t="shared" si="4"/>
        <v>0</v>
      </c>
      <c r="N10" s="640">
        <f t="shared" si="5"/>
        <v>0</v>
      </c>
      <c r="O10" s="632">
        <f t="shared" si="6"/>
        <v>0</v>
      </c>
      <c r="P10" s="632">
        <f t="shared" si="10"/>
        <v>0</v>
      </c>
      <c r="Q10" s="632">
        <f t="shared" si="7"/>
        <v>0</v>
      </c>
      <c r="R10" s="632">
        <f t="shared" si="8"/>
        <v>0</v>
      </c>
      <c r="S10" s="641">
        <f t="shared" si="9"/>
        <v>0</v>
      </c>
      <c r="T10" s="411"/>
      <c r="U10" s="411"/>
      <c r="V10" s="666">
        <f t="shared" si="11"/>
        <v>0</v>
      </c>
      <c r="W10" s="666">
        <f t="shared" si="12"/>
        <v>0</v>
      </c>
      <c r="X10" s="664">
        <f t="shared" si="13"/>
        <v>0</v>
      </c>
      <c r="Y10" s="1052">
        <f t="shared" si="14"/>
        <v>0</v>
      </c>
      <c r="Z10" s="431">
        <f t="shared" si="15"/>
        <v>0</v>
      </c>
      <c r="AA10" s="1052">
        <f t="shared" si="16"/>
        <v>0</v>
      </c>
      <c r="AB10" s="431">
        <f t="shared" si="17"/>
        <v>0</v>
      </c>
      <c r="AC10" s="1121">
        <f t="shared" si="18"/>
        <v>0</v>
      </c>
      <c r="AD10" s="642">
        <f t="shared" si="19"/>
        <v>0</v>
      </c>
      <c r="AE10" s="431">
        <f t="shared" si="20"/>
        <v>0</v>
      </c>
      <c r="AF10" s="518">
        <f t="shared" si="21"/>
        <v>0</v>
      </c>
      <c r="AG10" s="1057">
        <f>IF(OR(AND(F10=$AV$53,OR('Resurface, Milling, Agg.'!$F$65='Resurface, Milling, Agg.'!$AA$62,'Resurface, Milling, Agg.'!$F$65='Resurface, Milling, Agg.'!$AA$64)),F10=$AV$54,F10=$AV$55,F10=$AV$56,F10=$AV$57,F10=$AV$58,F10=$AV$59),(($C10-$B10)*4/40),IF(F10=$AV$62,$C10-$B10,IF(OR(F10=$AV$60,F10=$AV$61),2*($C10-$B10),0)))</f>
        <v>0</v>
      </c>
      <c r="AH10" s="1055">
        <f t="shared" si="22"/>
        <v>0</v>
      </c>
      <c r="AI10" s="643">
        <f t="shared" si="23"/>
        <v>0</v>
      </c>
      <c r="AJ10" s="635">
        <f t="shared" si="24"/>
        <v>0</v>
      </c>
      <c r="AK10" s="1061">
        <f t="shared" si="25"/>
        <v>0</v>
      </c>
      <c r="AL10" s="1063">
        <f>IF(AND(F10=$AV$53,OR('Resurface, Milling, Agg.'!$F$65='Resurface, Milling, Agg.'!$AA$62,'Resurface, Milling, Agg.'!$F$65='Resurface, Milling, Agg.'!$AA$64)),ROUNDUP(($C10-$B10)/40,0),
IF(OR(F10=$AV$55,F10=$AV$56,F10=$AV$57,F10=$AV$58,F10=$AV$62),ROUNDUP(($C10-$B10)/40,0),
IF(OR(F10=$AV$59,F10=$AV$60,F10=$AV$61),2*ROUNDUP(($C10-$B10)/40,0),
IF(F10=$AV$54,ROUNDUP(($C10-$B10)/80,0),0))))</f>
        <v>0</v>
      </c>
      <c r="AM10" s="635">
        <f t="shared" si="26"/>
        <v>0</v>
      </c>
      <c r="AN10" s="635">
        <f t="shared" si="27"/>
        <v>0</v>
      </c>
      <c r="AO10" s="635">
        <f t="shared" si="28"/>
        <v>0</v>
      </c>
      <c r="AP10" s="635">
        <f t="shared" si="29"/>
        <v>0</v>
      </c>
      <c r="AQ10" s="635">
        <f t="shared" si="30"/>
        <v>0</v>
      </c>
      <c r="AR10" s="1064">
        <f t="shared" si="31"/>
        <v>0</v>
      </c>
      <c r="AS10" s="1009"/>
      <c r="AT10" s="636"/>
      <c r="AU10" s="822">
        <f t="shared" si="32"/>
        <v>0</v>
      </c>
      <c r="AV10" s="1117">
        <f t="shared" si="33"/>
        <v>0</v>
      </c>
      <c r="AX10" s="822">
        <f t="shared" si="34"/>
        <v>0</v>
      </c>
      <c r="AY10" s="1117">
        <f t="shared" si="35"/>
        <v>0</v>
      </c>
      <c r="BA10" s="407"/>
      <c r="BB10" s="407"/>
      <c r="BC10" s="407"/>
      <c r="BD10" s="407"/>
    </row>
    <row r="11" spans="1:56" x14ac:dyDescent="0.2">
      <c r="A11" s="407"/>
      <c r="B11" s="638">
        <f t="shared" si="36"/>
        <v>0</v>
      </c>
      <c r="C11" s="639"/>
      <c r="D11" s="626"/>
      <c r="E11" s="660"/>
      <c r="F11" s="627"/>
      <c r="G11" s="661"/>
      <c r="H11" s="628"/>
      <c r="I11" s="629">
        <f t="shared" si="0"/>
        <v>0</v>
      </c>
      <c r="J11" s="629">
        <f t="shared" si="1"/>
        <v>0</v>
      </c>
      <c r="K11" s="630">
        <f t="shared" si="2"/>
        <v>0</v>
      </c>
      <c r="L11" s="631">
        <f t="shared" si="3"/>
        <v>0</v>
      </c>
      <c r="M11" s="631">
        <f t="shared" si="4"/>
        <v>0</v>
      </c>
      <c r="N11" s="640">
        <f t="shared" si="5"/>
        <v>0</v>
      </c>
      <c r="O11" s="632">
        <f t="shared" si="6"/>
        <v>0</v>
      </c>
      <c r="P11" s="632">
        <f t="shared" si="10"/>
        <v>0</v>
      </c>
      <c r="Q11" s="632">
        <f t="shared" si="7"/>
        <v>0</v>
      </c>
      <c r="R11" s="632">
        <f t="shared" si="8"/>
        <v>0</v>
      </c>
      <c r="S11" s="641">
        <f t="shared" si="9"/>
        <v>0</v>
      </c>
      <c r="T11" s="411"/>
      <c r="U11" s="411"/>
      <c r="V11" s="666">
        <f t="shared" si="11"/>
        <v>0</v>
      </c>
      <c r="W11" s="666">
        <f t="shared" si="12"/>
        <v>0</v>
      </c>
      <c r="X11" s="664">
        <f t="shared" si="13"/>
        <v>0</v>
      </c>
      <c r="Y11" s="1052">
        <f t="shared" si="14"/>
        <v>0</v>
      </c>
      <c r="Z11" s="431">
        <f t="shared" si="15"/>
        <v>0</v>
      </c>
      <c r="AA11" s="1052">
        <f t="shared" si="16"/>
        <v>0</v>
      </c>
      <c r="AB11" s="431">
        <f t="shared" si="17"/>
        <v>0</v>
      </c>
      <c r="AC11" s="1121">
        <f t="shared" si="18"/>
        <v>0</v>
      </c>
      <c r="AD11" s="642">
        <f t="shared" si="19"/>
        <v>0</v>
      </c>
      <c r="AE11" s="431">
        <f t="shared" si="20"/>
        <v>0</v>
      </c>
      <c r="AF11" s="518">
        <f t="shared" si="21"/>
        <v>0</v>
      </c>
      <c r="AG11" s="1057">
        <f>IF(OR(AND(F11=$AV$53,OR('Resurface, Milling, Agg.'!$F$65='Resurface, Milling, Agg.'!$AA$62,'Resurface, Milling, Agg.'!$F$65='Resurface, Milling, Agg.'!$AA$64)),F11=$AV$54,F11=$AV$55,F11=$AV$56,F11=$AV$57,F11=$AV$58,F11=$AV$59),(($C11-$B11)*4/40),IF(F11=$AV$62,$C11-$B11,IF(OR(F11=$AV$60,F11=$AV$61),2*($C11-$B11),0)))</f>
        <v>0</v>
      </c>
      <c r="AH11" s="1055">
        <f t="shared" si="22"/>
        <v>0</v>
      </c>
      <c r="AI11" s="643">
        <f t="shared" si="23"/>
        <v>0</v>
      </c>
      <c r="AJ11" s="635">
        <f t="shared" si="24"/>
        <v>0</v>
      </c>
      <c r="AK11" s="1061">
        <f t="shared" si="25"/>
        <v>0</v>
      </c>
      <c r="AL11" s="1063">
        <f>IF(AND(F11=$AV$53,OR('Resurface, Milling, Agg.'!$F$65='Resurface, Milling, Agg.'!$AA$62,'Resurface, Milling, Agg.'!$F$65='Resurface, Milling, Agg.'!$AA$64)),ROUNDUP(($C11-$B11)/40,0),
IF(OR(F11=$AV$55,F11=$AV$56,F11=$AV$57,F11=$AV$58,F11=$AV$62),ROUNDUP(($C11-$B11)/40,0),
IF(OR(F11=$AV$59,F11=$AV$60,F11=$AV$61),2*ROUNDUP(($C11-$B11)/40,0),
IF(F11=$AV$54,ROUNDUP(($C11-$B11)/80,0),0))))</f>
        <v>0</v>
      </c>
      <c r="AM11" s="635">
        <f t="shared" si="26"/>
        <v>0</v>
      </c>
      <c r="AN11" s="635">
        <f t="shared" si="27"/>
        <v>0</v>
      </c>
      <c r="AO11" s="635">
        <f t="shared" si="28"/>
        <v>0</v>
      </c>
      <c r="AP11" s="635">
        <f t="shared" si="29"/>
        <v>0</v>
      </c>
      <c r="AQ11" s="635">
        <f t="shared" si="30"/>
        <v>0</v>
      </c>
      <c r="AR11" s="1064">
        <f t="shared" si="31"/>
        <v>0</v>
      </c>
      <c r="AS11" s="1009"/>
      <c r="AT11" s="636"/>
      <c r="AU11" s="822">
        <f t="shared" si="32"/>
        <v>0</v>
      </c>
      <c r="AV11" s="1117">
        <f t="shared" si="33"/>
        <v>0</v>
      </c>
      <c r="AX11" s="822">
        <f t="shared" si="34"/>
        <v>0</v>
      </c>
      <c r="AY11" s="1117">
        <f t="shared" si="35"/>
        <v>0</v>
      </c>
      <c r="BA11" s="407"/>
      <c r="BB11" s="407"/>
      <c r="BC11" s="407"/>
      <c r="BD11" s="407"/>
    </row>
    <row r="12" spans="1:56" x14ac:dyDescent="0.2">
      <c r="A12" s="407"/>
      <c r="B12" s="638">
        <f t="shared" si="36"/>
        <v>0</v>
      </c>
      <c r="C12" s="639"/>
      <c r="D12" s="626"/>
      <c r="E12" s="660"/>
      <c r="F12" s="627"/>
      <c r="G12" s="661"/>
      <c r="H12" s="628"/>
      <c r="I12" s="629">
        <f t="shared" si="0"/>
        <v>0</v>
      </c>
      <c r="J12" s="629">
        <f t="shared" si="1"/>
        <v>0</v>
      </c>
      <c r="K12" s="630">
        <f t="shared" si="2"/>
        <v>0</v>
      </c>
      <c r="L12" s="631">
        <f t="shared" si="3"/>
        <v>0</v>
      </c>
      <c r="M12" s="631">
        <f t="shared" si="4"/>
        <v>0</v>
      </c>
      <c r="N12" s="640">
        <f t="shared" si="5"/>
        <v>0</v>
      </c>
      <c r="O12" s="632">
        <f t="shared" si="6"/>
        <v>0</v>
      </c>
      <c r="P12" s="632">
        <f t="shared" si="10"/>
        <v>0</v>
      </c>
      <c r="Q12" s="632">
        <f t="shared" si="7"/>
        <v>0</v>
      </c>
      <c r="R12" s="632">
        <f t="shared" si="8"/>
        <v>0</v>
      </c>
      <c r="S12" s="641">
        <f t="shared" si="9"/>
        <v>0</v>
      </c>
      <c r="T12" s="411"/>
      <c r="U12" s="411"/>
      <c r="V12" s="666">
        <f t="shared" si="11"/>
        <v>0</v>
      </c>
      <c r="W12" s="666">
        <f t="shared" si="12"/>
        <v>0</v>
      </c>
      <c r="X12" s="664">
        <f t="shared" si="13"/>
        <v>0</v>
      </c>
      <c r="Y12" s="1052">
        <f t="shared" si="14"/>
        <v>0</v>
      </c>
      <c r="Z12" s="431">
        <f t="shared" si="15"/>
        <v>0</v>
      </c>
      <c r="AA12" s="1052">
        <f t="shared" si="16"/>
        <v>0</v>
      </c>
      <c r="AB12" s="431">
        <f t="shared" si="17"/>
        <v>0</v>
      </c>
      <c r="AC12" s="1121">
        <f t="shared" si="18"/>
        <v>0</v>
      </c>
      <c r="AD12" s="642">
        <f t="shared" si="19"/>
        <v>0</v>
      </c>
      <c r="AE12" s="431">
        <f t="shared" si="20"/>
        <v>0</v>
      </c>
      <c r="AF12" s="518">
        <f t="shared" si="21"/>
        <v>0</v>
      </c>
      <c r="AG12" s="1057">
        <f>IF(OR(AND(F12=$AV$53,OR('Resurface, Milling, Agg.'!$F$65='Resurface, Milling, Agg.'!$AA$62,'Resurface, Milling, Agg.'!$F$65='Resurface, Milling, Agg.'!$AA$64)),F12=$AV$54,F12=$AV$55,F12=$AV$56,F12=$AV$57,F12=$AV$58,F12=$AV$59),(($C12-$B12)*4/40),IF(F12=$AV$62,$C12-$B12,IF(OR(F12=$AV$60,F12=$AV$61),2*($C12-$B12),0)))</f>
        <v>0</v>
      </c>
      <c r="AH12" s="1055">
        <f t="shared" si="22"/>
        <v>0</v>
      </c>
      <c r="AI12" s="643">
        <f t="shared" si="23"/>
        <v>0</v>
      </c>
      <c r="AJ12" s="635">
        <f t="shared" si="24"/>
        <v>0</v>
      </c>
      <c r="AK12" s="1061">
        <f t="shared" si="25"/>
        <v>0</v>
      </c>
      <c r="AL12" s="1063">
        <f>IF(AND(F12=$AV$53,OR('Resurface, Milling, Agg.'!$F$65='Resurface, Milling, Agg.'!$AA$62,'Resurface, Milling, Agg.'!$F$65='Resurface, Milling, Agg.'!$AA$64)),ROUNDUP(($C12-$B12)/40,0),
IF(OR(F12=$AV$55,F12=$AV$56,F12=$AV$57,F12=$AV$58,F12=$AV$62),ROUNDUP(($C12-$B12)/40,0),
IF(OR(F12=$AV$59,F12=$AV$60,F12=$AV$61),2*ROUNDUP(($C12-$B12)/40,0),
IF(F12=$AV$54,ROUNDUP(($C12-$B12)/80,0),0))))</f>
        <v>0</v>
      </c>
      <c r="AM12" s="635">
        <f t="shared" si="26"/>
        <v>0</v>
      </c>
      <c r="AN12" s="635">
        <f t="shared" si="27"/>
        <v>0</v>
      </c>
      <c r="AO12" s="635">
        <f t="shared" si="28"/>
        <v>0</v>
      </c>
      <c r="AP12" s="635">
        <f t="shared" si="29"/>
        <v>0</v>
      </c>
      <c r="AQ12" s="635">
        <f t="shared" si="30"/>
        <v>0</v>
      </c>
      <c r="AR12" s="1064">
        <f t="shared" si="31"/>
        <v>0</v>
      </c>
      <c r="AS12" s="1009"/>
      <c r="AT12" s="636"/>
      <c r="AU12" s="822">
        <f t="shared" si="32"/>
        <v>0</v>
      </c>
      <c r="AV12" s="1117">
        <f t="shared" si="33"/>
        <v>0</v>
      </c>
      <c r="AX12" s="822">
        <f t="shared" si="34"/>
        <v>0</v>
      </c>
      <c r="AY12" s="1117">
        <f t="shared" si="35"/>
        <v>0</v>
      </c>
      <c r="BA12" s="407"/>
      <c r="BB12" s="407"/>
      <c r="BC12" s="407"/>
      <c r="BD12" s="407"/>
    </row>
    <row r="13" spans="1:56" x14ac:dyDescent="0.2">
      <c r="A13" s="407"/>
      <c r="B13" s="638">
        <f t="shared" si="36"/>
        <v>0</v>
      </c>
      <c r="C13" s="639"/>
      <c r="D13" s="626"/>
      <c r="E13" s="660"/>
      <c r="F13" s="627"/>
      <c r="G13" s="661"/>
      <c r="H13" s="628"/>
      <c r="I13" s="629">
        <f t="shared" si="0"/>
        <v>0</v>
      </c>
      <c r="J13" s="629">
        <f t="shared" si="1"/>
        <v>0</v>
      </c>
      <c r="K13" s="630">
        <f t="shared" si="2"/>
        <v>0</v>
      </c>
      <c r="L13" s="631">
        <f t="shared" si="3"/>
        <v>0</v>
      </c>
      <c r="M13" s="631">
        <f t="shared" si="4"/>
        <v>0</v>
      </c>
      <c r="N13" s="640">
        <f t="shared" si="5"/>
        <v>0</v>
      </c>
      <c r="O13" s="632">
        <f t="shared" si="6"/>
        <v>0</v>
      </c>
      <c r="P13" s="632">
        <f t="shared" si="10"/>
        <v>0</v>
      </c>
      <c r="Q13" s="632">
        <f t="shared" si="7"/>
        <v>0</v>
      </c>
      <c r="R13" s="632">
        <f t="shared" si="8"/>
        <v>0</v>
      </c>
      <c r="S13" s="641">
        <f t="shared" si="9"/>
        <v>0</v>
      </c>
      <c r="T13" s="411"/>
      <c r="U13" s="411"/>
      <c r="V13" s="666">
        <f t="shared" si="11"/>
        <v>0</v>
      </c>
      <c r="W13" s="666">
        <f t="shared" si="12"/>
        <v>0</v>
      </c>
      <c r="X13" s="664">
        <f t="shared" si="13"/>
        <v>0</v>
      </c>
      <c r="Y13" s="1052">
        <f t="shared" si="14"/>
        <v>0</v>
      </c>
      <c r="Z13" s="431">
        <f t="shared" si="15"/>
        <v>0</v>
      </c>
      <c r="AA13" s="1052">
        <f t="shared" si="16"/>
        <v>0</v>
      </c>
      <c r="AB13" s="431">
        <f t="shared" si="17"/>
        <v>0</v>
      </c>
      <c r="AC13" s="1121">
        <f t="shared" si="18"/>
        <v>0</v>
      </c>
      <c r="AD13" s="642">
        <f t="shared" si="19"/>
        <v>0</v>
      </c>
      <c r="AE13" s="431">
        <f t="shared" si="20"/>
        <v>0</v>
      </c>
      <c r="AF13" s="518">
        <f t="shared" si="21"/>
        <v>0</v>
      </c>
      <c r="AG13" s="1057">
        <f>IF(OR(AND(F13=$AV$53,OR('Resurface, Milling, Agg.'!$F$65='Resurface, Milling, Agg.'!$AA$62,'Resurface, Milling, Agg.'!$F$65='Resurface, Milling, Agg.'!$AA$64)),F13=$AV$54,F13=$AV$55,F13=$AV$56,F13=$AV$57,F13=$AV$58,F13=$AV$59),(($C13-$B13)*4/40),IF(F13=$AV$62,$C13-$B13,IF(OR(F13=$AV$60,F13=$AV$61),2*($C13-$B13),0)))</f>
        <v>0</v>
      </c>
      <c r="AH13" s="1055">
        <f t="shared" si="22"/>
        <v>0</v>
      </c>
      <c r="AI13" s="643">
        <f t="shared" si="23"/>
        <v>0</v>
      </c>
      <c r="AJ13" s="635">
        <f t="shared" si="24"/>
        <v>0</v>
      </c>
      <c r="AK13" s="1061">
        <f t="shared" si="25"/>
        <v>0</v>
      </c>
      <c r="AL13" s="1063">
        <f>IF(AND(F13=$AV$53,OR('Resurface, Milling, Agg.'!$F$65='Resurface, Milling, Agg.'!$AA$62,'Resurface, Milling, Agg.'!$F$65='Resurface, Milling, Agg.'!$AA$64)),ROUNDUP(($C13-$B13)/40,0),
IF(OR(F13=$AV$55,F13=$AV$56,F13=$AV$57,F13=$AV$58,F13=$AV$62),ROUNDUP(($C13-$B13)/40,0),
IF(OR(F13=$AV$59,F13=$AV$60,F13=$AV$61),2*ROUNDUP(($C13-$B13)/40,0),
IF(F13=$AV$54,ROUNDUP(($C13-$B13)/80,0),0))))</f>
        <v>0</v>
      </c>
      <c r="AM13" s="635">
        <f t="shared" si="26"/>
        <v>0</v>
      </c>
      <c r="AN13" s="635">
        <f t="shared" si="27"/>
        <v>0</v>
      </c>
      <c r="AO13" s="635">
        <f t="shared" si="28"/>
        <v>0</v>
      </c>
      <c r="AP13" s="635">
        <f t="shared" si="29"/>
        <v>0</v>
      </c>
      <c r="AQ13" s="635">
        <f t="shared" si="30"/>
        <v>0</v>
      </c>
      <c r="AR13" s="1064">
        <f t="shared" si="31"/>
        <v>0</v>
      </c>
      <c r="AS13" s="1009"/>
      <c r="AT13" s="636"/>
      <c r="AU13" s="822">
        <f t="shared" si="32"/>
        <v>0</v>
      </c>
      <c r="AV13" s="1117">
        <f t="shared" si="33"/>
        <v>0</v>
      </c>
      <c r="AX13" s="822">
        <f t="shared" si="34"/>
        <v>0</v>
      </c>
      <c r="AY13" s="1117">
        <f t="shared" si="35"/>
        <v>0</v>
      </c>
      <c r="BA13" s="407"/>
      <c r="BB13" s="407"/>
      <c r="BC13" s="407"/>
      <c r="BD13" s="407"/>
    </row>
    <row r="14" spans="1:56" x14ac:dyDescent="0.2">
      <c r="A14" s="407"/>
      <c r="B14" s="638">
        <f t="shared" si="36"/>
        <v>0</v>
      </c>
      <c r="C14" s="639"/>
      <c r="D14" s="626"/>
      <c r="E14" s="660"/>
      <c r="F14" s="627"/>
      <c r="G14" s="661"/>
      <c r="H14" s="628"/>
      <c r="I14" s="629">
        <f t="shared" si="0"/>
        <v>0</v>
      </c>
      <c r="J14" s="629">
        <f t="shared" si="1"/>
        <v>0</v>
      </c>
      <c r="K14" s="630">
        <f t="shared" si="2"/>
        <v>0</v>
      </c>
      <c r="L14" s="631">
        <f t="shared" si="3"/>
        <v>0</v>
      </c>
      <c r="M14" s="631">
        <f t="shared" si="4"/>
        <v>0</v>
      </c>
      <c r="N14" s="640">
        <f t="shared" si="5"/>
        <v>0</v>
      </c>
      <c r="O14" s="632">
        <f t="shared" si="6"/>
        <v>0</v>
      </c>
      <c r="P14" s="632">
        <f t="shared" si="10"/>
        <v>0</v>
      </c>
      <c r="Q14" s="632">
        <f t="shared" si="7"/>
        <v>0</v>
      </c>
      <c r="R14" s="632">
        <f t="shared" si="8"/>
        <v>0</v>
      </c>
      <c r="S14" s="641">
        <f t="shared" si="9"/>
        <v>0</v>
      </c>
      <c r="T14" s="411"/>
      <c r="U14" s="411"/>
      <c r="V14" s="666">
        <f t="shared" si="11"/>
        <v>0</v>
      </c>
      <c r="W14" s="666">
        <f t="shared" si="12"/>
        <v>0</v>
      </c>
      <c r="X14" s="664">
        <f t="shared" si="13"/>
        <v>0</v>
      </c>
      <c r="Y14" s="1052">
        <f t="shared" si="14"/>
        <v>0</v>
      </c>
      <c r="Z14" s="431">
        <f t="shared" si="15"/>
        <v>0</v>
      </c>
      <c r="AA14" s="1052">
        <f t="shared" si="16"/>
        <v>0</v>
      </c>
      <c r="AB14" s="431">
        <f t="shared" si="17"/>
        <v>0</v>
      </c>
      <c r="AC14" s="1121">
        <f t="shared" si="18"/>
        <v>0</v>
      </c>
      <c r="AD14" s="642">
        <f t="shared" si="19"/>
        <v>0</v>
      </c>
      <c r="AE14" s="431">
        <f t="shared" si="20"/>
        <v>0</v>
      </c>
      <c r="AF14" s="518">
        <f t="shared" si="21"/>
        <v>0</v>
      </c>
      <c r="AG14" s="1057">
        <f>IF(OR(AND(F14=$AV$53,OR('Resurface, Milling, Agg.'!$F$65='Resurface, Milling, Agg.'!$AA$62,'Resurface, Milling, Agg.'!$F$65='Resurface, Milling, Agg.'!$AA$64)),F14=$AV$54,F14=$AV$55,F14=$AV$56,F14=$AV$57,F14=$AV$58,F14=$AV$59),(($C14-$B14)*4/40),IF(F14=$AV$62,$C14-$B14,IF(OR(F14=$AV$60,F14=$AV$61),2*($C14-$B14),0)))</f>
        <v>0</v>
      </c>
      <c r="AH14" s="1055">
        <f t="shared" si="22"/>
        <v>0</v>
      </c>
      <c r="AI14" s="643">
        <f t="shared" si="23"/>
        <v>0</v>
      </c>
      <c r="AJ14" s="635">
        <f t="shared" si="24"/>
        <v>0</v>
      </c>
      <c r="AK14" s="1061">
        <f t="shared" si="25"/>
        <v>0</v>
      </c>
      <c r="AL14" s="1063">
        <f>IF(AND(F14=$AV$53,OR('Resurface, Milling, Agg.'!$F$65='Resurface, Milling, Agg.'!$AA$62,'Resurface, Milling, Agg.'!$F$65='Resurface, Milling, Agg.'!$AA$64)),ROUNDUP(($C14-$B14)/40,0),
IF(OR(F14=$AV$55,F14=$AV$56,F14=$AV$57,F14=$AV$58,F14=$AV$62),ROUNDUP(($C14-$B14)/40,0),
IF(OR(F14=$AV$59,F14=$AV$60,F14=$AV$61),2*ROUNDUP(($C14-$B14)/40,0),
IF(F14=$AV$54,ROUNDUP(($C14-$B14)/80,0),0))))</f>
        <v>0</v>
      </c>
      <c r="AM14" s="635">
        <f t="shared" si="26"/>
        <v>0</v>
      </c>
      <c r="AN14" s="635">
        <f t="shared" si="27"/>
        <v>0</v>
      </c>
      <c r="AO14" s="635">
        <f t="shared" si="28"/>
        <v>0</v>
      </c>
      <c r="AP14" s="635">
        <f t="shared" si="29"/>
        <v>0</v>
      </c>
      <c r="AQ14" s="635">
        <f t="shared" si="30"/>
        <v>0</v>
      </c>
      <c r="AR14" s="1064">
        <f t="shared" si="31"/>
        <v>0</v>
      </c>
      <c r="AS14" s="1009"/>
      <c r="AT14" s="636"/>
      <c r="AU14" s="822">
        <f t="shared" si="32"/>
        <v>0</v>
      </c>
      <c r="AV14" s="1117">
        <f t="shared" si="33"/>
        <v>0</v>
      </c>
      <c r="AX14" s="822">
        <f t="shared" si="34"/>
        <v>0</v>
      </c>
      <c r="AY14" s="1117">
        <f t="shared" si="35"/>
        <v>0</v>
      </c>
      <c r="BA14" s="407"/>
      <c r="BB14" s="407"/>
      <c r="BC14" s="407"/>
      <c r="BD14" s="407"/>
    </row>
    <row r="15" spans="1:56" x14ac:dyDescent="0.2">
      <c r="A15" s="407"/>
      <c r="B15" s="638">
        <f t="shared" si="36"/>
        <v>0</v>
      </c>
      <c r="C15" s="639"/>
      <c r="D15" s="626"/>
      <c r="E15" s="660"/>
      <c r="F15" s="627"/>
      <c r="G15" s="661"/>
      <c r="H15" s="628"/>
      <c r="I15" s="629">
        <f t="shared" si="0"/>
        <v>0</v>
      </c>
      <c r="J15" s="629">
        <f t="shared" si="1"/>
        <v>0</v>
      </c>
      <c r="K15" s="630">
        <f t="shared" si="2"/>
        <v>0</v>
      </c>
      <c r="L15" s="631">
        <f t="shared" si="3"/>
        <v>0</v>
      </c>
      <c r="M15" s="631">
        <f t="shared" si="4"/>
        <v>0</v>
      </c>
      <c r="N15" s="640">
        <f t="shared" si="5"/>
        <v>0</v>
      </c>
      <c r="O15" s="632">
        <f t="shared" si="6"/>
        <v>0</v>
      </c>
      <c r="P15" s="632">
        <f t="shared" si="10"/>
        <v>0</v>
      </c>
      <c r="Q15" s="632">
        <f t="shared" si="7"/>
        <v>0</v>
      </c>
      <c r="R15" s="632">
        <f t="shared" si="8"/>
        <v>0</v>
      </c>
      <c r="S15" s="641">
        <f t="shared" si="9"/>
        <v>0</v>
      </c>
      <c r="T15" s="411"/>
      <c r="U15" s="411"/>
      <c r="V15" s="666">
        <f t="shared" si="11"/>
        <v>0</v>
      </c>
      <c r="W15" s="666">
        <f t="shared" si="12"/>
        <v>0</v>
      </c>
      <c r="X15" s="664">
        <f t="shared" si="13"/>
        <v>0</v>
      </c>
      <c r="Y15" s="1052">
        <f t="shared" si="14"/>
        <v>0</v>
      </c>
      <c r="Z15" s="431">
        <f t="shared" si="15"/>
        <v>0</v>
      </c>
      <c r="AA15" s="1052">
        <f t="shared" si="16"/>
        <v>0</v>
      </c>
      <c r="AB15" s="431">
        <f t="shared" si="17"/>
        <v>0</v>
      </c>
      <c r="AC15" s="1121">
        <f t="shared" si="18"/>
        <v>0</v>
      </c>
      <c r="AD15" s="642">
        <f t="shared" si="19"/>
        <v>0</v>
      </c>
      <c r="AE15" s="431">
        <f t="shared" si="20"/>
        <v>0</v>
      </c>
      <c r="AF15" s="518">
        <f t="shared" si="21"/>
        <v>0</v>
      </c>
      <c r="AG15" s="1057">
        <f>IF(OR(AND(F15=$AV$53,OR('Resurface, Milling, Agg.'!$F$65='Resurface, Milling, Agg.'!$AA$62,'Resurface, Milling, Agg.'!$F$65='Resurface, Milling, Agg.'!$AA$64)),F15=$AV$54,F15=$AV$55,F15=$AV$56,F15=$AV$57,F15=$AV$58,F15=$AV$59),(($C15-$B15)*4/40),IF(F15=$AV$62,$C15-$B15,IF(OR(F15=$AV$60,F15=$AV$61),2*($C15-$B15),0)))</f>
        <v>0</v>
      </c>
      <c r="AH15" s="1055">
        <f t="shared" si="22"/>
        <v>0</v>
      </c>
      <c r="AI15" s="643">
        <f t="shared" si="23"/>
        <v>0</v>
      </c>
      <c r="AJ15" s="635">
        <f t="shared" si="24"/>
        <v>0</v>
      </c>
      <c r="AK15" s="1061">
        <f t="shared" si="25"/>
        <v>0</v>
      </c>
      <c r="AL15" s="1063">
        <f>IF(AND(F15=$AV$53,OR('Resurface, Milling, Agg.'!$F$65='Resurface, Milling, Agg.'!$AA$62,'Resurface, Milling, Agg.'!$F$65='Resurface, Milling, Agg.'!$AA$64)),ROUNDUP(($C15-$B15)/40,0),
IF(OR(F15=$AV$55,F15=$AV$56,F15=$AV$57,F15=$AV$58,F15=$AV$62),ROUNDUP(($C15-$B15)/40,0),
IF(OR(F15=$AV$59,F15=$AV$60,F15=$AV$61),2*ROUNDUP(($C15-$B15)/40,0),
IF(F15=$AV$54,ROUNDUP(($C15-$B15)/80,0),0))))</f>
        <v>0</v>
      </c>
      <c r="AM15" s="635">
        <f t="shared" si="26"/>
        <v>0</v>
      </c>
      <c r="AN15" s="635">
        <f t="shared" si="27"/>
        <v>0</v>
      </c>
      <c r="AO15" s="635">
        <f t="shared" si="28"/>
        <v>0</v>
      </c>
      <c r="AP15" s="635">
        <f t="shared" si="29"/>
        <v>0</v>
      </c>
      <c r="AQ15" s="635">
        <f t="shared" si="30"/>
        <v>0</v>
      </c>
      <c r="AR15" s="1064">
        <f t="shared" si="31"/>
        <v>0</v>
      </c>
      <c r="AS15" s="1009"/>
      <c r="AT15" s="636"/>
      <c r="AU15" s="822">
        <f t="shared" si="32"/>
        <v>0</v>
      </c>
      <c r="AV15" s="1117">
        <f t="shared" si="33"/>
        <v>0</v>
      </c>
      <c r="AX15" s="822">
        <f t="shared" si="34"/>
        <v>0</v>
      </c>
      <c r="AY15" s="1117">
        <f t="shared" si="35"/>
        <v>0</v>
      </c>
      <c r="BA15" s="407"/>
      <c r="BB15" s="407"/>
      <c r="BC15" s="407"/>
      <c r="BD15" s="407"/>
    </row>
    <row r="16" spans="1:56" x14ac:dyDescent="0.2">
      <c r="A16" s="407"/>
      <c r="B16" s="638">
        <f t="shared" si="36"/>
        <v>0</v>
      </c>
      <c r="C16" s="639"/>
      <c r="D16" s="626"/>
      <c r="E16" s="660"/>
      <c r="F16" s="627"/>
      <c r="G16" s="661"/>
      <c r="H16" s="628"/>
      <c r="I16" s="629">
        <f t="shared" si="0"/>
        <v>0</v>
      </c>
      <c r="J16" s="629">
        <f t="shared" si="1"/>
        <v>0</v>
      </c>
      <c r="K16" s="630">
        <f t="shared" si="2"/>
        <v>0</v>
      </c>
      <c r="L16" s="631">
        <f t="shared" si="3"/>
        <v>0</v>
      </c>
      <c r="M16" s="631">
        <f t="shared" si="4"/>
        <v>0</v>
      </c>
      <c r="N16" s="640">
        <f t="shared" si="5"/>
        <v>0</v>
      </c>
      <c r="O16" s="632">
        <f t="shared" si="6"/>
        <v>0</v>
      </c>
      <c r="P16" s="632">
        <f t="shared" si="10"/>
        <v>0</v>
      </c>
      <c r="Q16" s="632">
        <f t="shared" si="7"/>
        <v>0</v>
      </c>
      <c r="R16" s="632">
        <f t="shared" si="8"/>
        <v>0</v>
      </c>
      <c r="S16" s="641">
        <f t="shared" si="9"/>
        <v>0</v>
      </c>
      <c r="T16" s="411"/>
      <c r="U16" s="411"/>
      <c r="V16" s="666">
        <f t="shared" si="11"/>
        <v>0</v>
      </c>
      <c r="W16" s="666">
        <f t="shared" si="12"/>
        <v>0</v>
      </c>
      <c r="X16" s="664">
        <f t="shared" si="13"/>
        <v>0</v>
      </c>
      <c r="Y16" s="1052">
        <f t="shared" si="14"/>
        <v>0</v>
      </c>
      <c r="Z16" s="431">
        <f t="shared" si="15"/>
        <v>0</v>
      </c>
      <c r="AA16" s="1052">
        <f t="shared" si="16"/>
        <v>0</v>
      </c>
      <c r="AB16" s="431">
        <f t="shared" si="17"/>
        <v>0</v>
      </c>
      <c r="AC16" s="1121">
        <f t="shared" si="18"/>
        <v>0</v>
      </c>
      <c r="AD16" s="642">
        <f t="shared" si="19"/>
        <v>0</v>
      </c>
      <c r="AE16" s="431">
        <f t="shared" si="20"/>
        <v>0</v>
      </c>
      <c r="AF16" s="518">
        <f t="shared" si="21"/>
        <v>0</v>
      </c>
      <c r="AG16" s="1057">
        <f>IF(OR(AND(F16=$AV$53,OR('Resurface, Milling, Agg.'!$F$65='Resurface, Milling, Agg.'!$AA$62,'Resurface, Milling, Agg.'!$F$65='Resurface, Milling, Agg.'!$AA$64)),F16=$AV$54,F16=$AV$55,F16=$AV$56,F16=$AV$57,F16=$AV$58,F16=$AV$59),(($C16-$B16)*4/40),IF(F16=$AV$62,$C16-$B16,IF(OR(F16=$AV$60,F16=$AV$61),2*($C16-$B16),0)))</f>
        <v>0</v>
      </c>
      <c r="AH16" s="1055">
        <f t="shared" si="22"/>
        <v>0</v>
      </c>
      <c r="AI16" s="643">
        <f t="shared" si="23"/>
        <v>0</v>
      </c>
      <c r="AJ16" s="635">
        <f t="shared" si="24"/>
        <v>0</v>
      </c>
      <c r="AK16" s="1061">
        <f t="shared" si="25"/>
        <v>0</v>
      </c>
      <c r="AL16" s="1063">
        <f>IF(AND(F16=$AV$53,OR('Resurface, Milling, Agg.'!$F$65='Resurface, Milling, Agg.'!$AA$62,'Resurface, Milling, Agg.'!$F$65='Resurface, Milling, Agg.'!$AA$64)),ROUNDUP(($C16-$B16)/40,0),
IF(OR(F16=$AV$55,F16=$AV$56,F16=$AV$57,F16=$AV$58,F16=$AV$62),ROUNDUP(($C16-$B16)/40,0),
IF(OR(F16=$AV$59,F16=$AV$60,F16=$AV$61),2*ROUNDUP(($C16-$B16)/40,0),
IF(F16=$AV$54,ROUNDUP(($C16-$B16)/80,0),0))))</f>
        <v>0</v>
      </c>
      <c r="AM16" s="635">
        <f t="shared" si="26"/>
        <v>0</v>
      </c>
      <c r="AN16" s="635">
        <f t="shared" si="27"/>
        <v>0</v>
      </c>
      <c r="AO16" s="635">
        <f t="shared" si="28"/>
        <v>0</v>
      </c>
      <c r="AP16" s="635">
        <f t="shared" si="29"/>
        <v>0</v>
      </c>
      <c r="AQ16" s="635">
        <f t="shared" si="30"/>
        <v>0</v>
      </c>
      <c r="AR16" s="1064">
        <f t="shared" si="31"/>
        <v>0</v>
      </c>
      <c r="AS16" s="1009"/>
      <c r="AT16" s="636"/>
      <c r="AU16" s="822">
        <f t="shared" si="32"/>
        <v>0</v>
      </c>
      <c r="AV16" s="1117">
        <f t="shared" si="33"/>
        <v>0</v>
      </c>
      <c r="AX16" s="822">
        <f t="shared" si="34"/>
        <v>0</v>
      </c>
      <c r="AY16" s="1117">
        <f t="shared" si="35"/>
        <v>0</v>
      </c>
      <c r="BA16" s="407"/>
      <c r="BB16" s="407"/>
      <c r="BC16" s="407"/>
      <c r="BD16" s="407"/>
    </row>
    <row r="17" spans="1:56" x14ac:dyDescent="0.2">
      <c r="A17" s="407"/>
      <c r="B17" s="638">
        <f t="shared" si="36"/>
        <v>0</v>
      </c>
      <c r="C17" s="639"/>
      <c r="D17" s="626"/>
      <c r="E17" s="660"/>
      <c r="F17" s="627"/>
      <c r="G17" s="661"/>
      <c r="H17" s="628"/>
      <c r="I17" s="629">
        <f t="shared" si="0"/>
        <v>0</v>
      </c>
      <c r="J17" s="629">
        <f t="shared" si="1"/>
        <v>0</v>
      </c>
      <c r="K17" s="630">
        <f t="shared" si="2"/>
        <v>0</v>
      </c>
      <c r="L17" s="631">
        <f t="shared" si="3"/>
        <v>0</v>
      </c>
      <c r="M17" s="631">
        <f t="shared" si="4"/>
        <v>0</v>
      </c>
      <c r="N17" s="640">
        <f t="shared" si="5"/>
        <v>0</v>
      </c>
      <c r="O17" s="632">
        <f t="shared" si="6"/>
        <v>0</v>
      </c>
      <c r="P17" s="632">
        <f t="shared" si="10"/>
        <v>0</v>
      </c>
      <c r="Q17" s="632">
        <f t="shared" si="7"/>
        <v>0</v>
      </c>
      <c r="R17" s="632">
        <f t="shared" si="8"/>
        <v>0</v>
      </c>
      <c r="S17" s="641">
        <f t="shared" si="9"/>
        <v>0</v>
      </c>
      <c r="T17" s="411"/>
      <c r="U17" s="411"/>
      <c r="V17" s="666">
        <f t="shared" si="11"/>
        <v>0</v>
      </c>
      <c r="W17" s="666">
        <f t="shared" si="12"/>
        <v>0</v>
      </c>
      <c r="X17" s="664">
        <f t="shared" si="13"/>
        <v>0</v>
      </c>
      <c r="Y17" s="1052">
        <f t="shared" si="14"/>
        <v>0</v>
      </c>
      <c r="Z17" s="431">
        <f t="shared" si="15"/>
        <v>0</v>
      </c>
      <c r="AA17" s="1052">
        <f t="shared" si="16"/>
        <v>0</v>
      </c>
      <c r="AB17" s="431">
        <f t="shared" si="17"/>
        <v>0</v>
      </c>
      <c r="AC17" s="1121">
        <f t="shared" si="18"/>
        <v>0</v>
      </c>
      <c r="AD17" s="642">
        <f t="shared" si="19"/>
        <v>0</v>
      </c>
      <c r="AE17" s="431">
        <f t="shared" si="20"/>
        <v>0</v>
      </c>
      <c r="AF17" s="518">
        <f t="shared" si="21"/>
        <v>0</v>
      </c>
      <c r="AG17" s="1057">
        <f>IF(OR(AND(F17=$AV$53,OR('Resurface, Milling, Agg.'!$F$65='Resurface, Milling, Agg.'!$AA$62,'Resurface, Milling, Agg.'!$F$65='Resurface, Milling, Agg.'!$AA$64)),F17=$AV$54,F17=$AV$55,F17=$AV$56,F17=$AV$57,F17=$AV$58,F17=$AV$59),(($C17-$B17)*4/40),IF(F17=$AV$62,$C17-$B17,IF(OR(F17=$AV$60,F17=$AV$61),2*($C17-$B17),0)))</f>
        <v>0</v>
      </c>
      <c r="AH17" s="1055">
        <f t="shared" si="22"/>
        <v>0</v>
      </c>
      <c r="AI17" s="643">
        <f t="shared" si="23"/>
        <v>0</v>
      </c>
      <c r="AJ17" s="635">
        <f t="shared" si="24"/>
        <v>0</v>
      </c>
      <c r="AK17" s="1061">
        <f t="shared" si="25"/>
        <v>0</v>
      </c>
      <c r="AL17" s="1063">
        <f>IF(AND(F17=$AV$53,OR('Resurface, Milling, Agg.'!$F$65='Resurface, Milling, Agg.'!$AA$62,'Resurface, Milling, Agg.'!$F$65='Resurface, Milling, Agg.'!$AA$64)),ROUNDUP(($C17-$B17)/40,0),
IF(OR(F17=$AV$55,F17=$AV$56,F17=$AV$57,F17=$AV$58,F17=$AV$62),ROUNDUP(($C17-$B17)/40,0),
IF(OR(F17=$AV$59,F17=$AV$60,F17=$AV$61),2*ROUNDUP(($C17-$B17)/40,0),
IF(F17=$AV$54,ROUNDUP(($C17-$B17)/80,0),0))))</f>
        <v>0</v>
      </c>
      <c r="AM17" s="635">
        <f t="shared" si="26"/>
        <v>0</v>
      </c>
      <c r="AN17" s="635">
        <f t="shared" si="27"/>
        <v>0</v>
      </c>
      <c r="AO17" s="635">
        <f t="shared" si="28"/>
        <v>0</v>
      </c>
      <c r="AP17" s="635">
        <f t="shared" si="29"/>
        <v>0</v>
      </c>
      <c r="AQ17" s="635">
        <f t="shared" si="30"/>
        <v>0</v>
      </c>
      <c r="AR17" s="1064">
        <f t="shared" si="31"/>
        <v>0</v>
      </c>
      <c r="AS17" s="1009"/>
      <c r="AT17" s="636"/>
      <c r="AU17" s="822">
        <f t="shared" si="32"/>
        <v>0</v>
      </c>
      <c r="AV17" s="1117">
        <f t="shared" si="33"/>
        <v>0</v>
      </c>
      <c r="AX17" s="822">
        <f t="shared" si="34"/>
        <v>0</v>
      </c>
      <c r="AY17" s="1117">
        <f t="shared" si="35"/>
        <v>0</v>
      </c>
      <c r="BA17" s="407"/>
      <c r="BB17" s="407"/>
      <c r="BC17" s="407"/>
      <c r="BD17" s="407"/>
    </row>
    <row r="18" spans="1:56" x14ac:dyDescent="0.2">
      <c r="A18" s="407"/>
      <c r="B18" s="638">
        <f t="shared" si="36"/>
        <v>0</v>
      </c>
      <c r="C18" s="639"/>
      <c r="D18" s="626"/>
      <c r="E18" s="660"/>
      <c r="F18" s="627"/>
      <c r="G18" s="661"/>
      <c r="H18" s="628"/>
      <c r="I18" s="629">
        <f t="shared" si="0"/>
        <v>0</v>
      </c>
      <c r="J18" s="629">
        <f t="shared" si="1"/>
        <v>0</v>
      </c>
      <c r="K18" s="630">
        <f t="shared" si="2"/>
        <v>0</v>
      </c>
      <c r="L18" s="631">
        <f t="shared" si="3"/>
        <v>0</v>
      </c>
      <c r="M18" s="631">
        <f t="shared" si="4"/>
        <v>0</v>
      </c>
      <c r="N18" s="640">
        <f t="shared" si="5"/>
        <v>0</v>
      </c>
      <c r="O18" s="632">
        <f t="shared" si="6"/>
        <v>0</v>
      </c>
      <c r="P18" s="632">
        <f t="shared" si="10"/>
        <v>0</v>
      </c>
      <c r="Q18" s="632">
        <f t="shared" si="7"/>
        <v>0</v>
      </c>
      <c r="R18" s="632">
        <f t="shared" si="8"/>
        <v>0</v>
      </c>
      <c r="S18" s="641">
        <f t="shared" si="9"/>
        <v>0</v>
      </c>
      <c r="T18" s="411"/>
      <c r="U18" s="411"/>
      <c r="V18" s="666">
        <f t="shared" si="11"/>
        <v>0</v>
      </c>
      <c r="W18" s="666">
        <f t="shared" si="12"/>
        <v>0</v>
      </c>
      <c r="X18" s="664">
        <f t="shared" si="13"/>
        <v>0</v>
      </c>
      <c r="Y18" s="1052">
        <f t="shared" si="14"/>
        <v>0</v>
      </c>
      <c r="Z18" s="431">
        <f t="shared" si="15"/>
        <v>0</v>
      </c>
      <c r="AA18" s="1052">
        <f t="shared" si="16"/>
        <v>0</v>
      </c>
      <c r="AB18" s="431">
        <f t="shared" si="17"/>
        <v>0</v>
      </c>
      <c r="AC18" s="1121">
        <f t="shared" si="18"/>
        <v>0</v>
      </c>
      <c r="AD18" s="642">
        <f t="shared" si="19"/>
        <v>0</v>
      </c>
      <c r="AE18" s="431">
        <f t="shared" si="20"/>
        <v>0</v>
      </c>
      <c r="AF18" s="518">
        <f t="shared" si="21"/>
        <v>0</v>
      </c>
      <c r="AG18" s="1057">
        <f>IF(OR(AND(F18=$AV$53,OR('Resurface, Milling, Agg.'!$F$65='Resurface, Milling, Agg.'!$AA$62,'Resurface, Milling, Agg.'!$F$65='Resurface, Milling, Agg.'!$AA$64)),F18=$AV$54,F18=$AV$55,F18=$AV$56,F18=$AV$57,F18=$AV$58,F18=$AV$59),(($C18-$B18)*4/40),IF(F18=$AV$62,$C18-$B18,IF(OR(F18=$AV$60,F18=$AV$61),2*($C18-$B18),0)))</f>
        <v>0</v>
      </c>
      <c r="AH18" s="1055">
        <f t="shared" si="22"/>
        <v>0</v>
      </c>
      <c r="AI18" s="643">
        <f t="shared" si="23"/>
        <v>0</v>
      </c>
      <c r="AJ18" s="635">
        <f t="shared" si="24"/>
        <v>0</v>
      </c>
      <c r="AK18" s="1061">
        <f t="shared" si="25"/>
        <v>0</v>
      </c>
      <c r="AL18" s="1063">
        <f>IF(AND(F18=$AV$53,OR('Resurface, Milling, Agg.'!$F$65='Resurface, Milling, Agg.'!$AA$62,'Resurface, Milling, Agg.'!$F$65='Resurface, Milling, Agg.'!$AA$64)),ROUNDUP(($C18-$B18)/40,0),
IF(OR(F18=$AV$55,F18=$AV$56,F18=$AV$57,F18=$AV$58,F18=$AV$62),ROUNDUP(($C18-$B18)/40,0),
IF(OR(F18=$AV$59,F18=$AV$60,F18=$AV$61),2*ROUNDUP(($C18-$B18)/40,0),
IF(F18=$AV$54,ROUNDUP(($C18-$B18)/80,0),0))))</f>
        <v>0</v>
      </c>
      <c r="AM18" s="635">
        <f t="shared" si="26"/>
        <v>0</v>
      </c>
      <c r="AN18" s="635">
        <f t="shared" si="27"/>
        <v>0</v>
      </c>
      <c r="AO18" s="635">
        <f t="shared" si="28"/>
        <v>0</v>
      </c>
      <c r="AP18" s="635">
        <f t="shared" si="29"/>
        <v>0</v>
      </c>
      <c r="AQ18" s="635">
        <f t="shared" si="30"/>
        <v>0</v>
      </c>
      <c r="AR18" s="1064">
        <f t="shared" si="31"/>
        <v>0</v>
      </c>
      <c r="AS18" s="1009"/>
      <c r="AT18" s="636"/>
      <c r="AU18" s="822">
        <f t="shared" si="32"/>
        <v>0</v>
      </c>
      <c r="AV18" s="1117">
        <f t="shared" si="33"/>
        <v>0</v>
      </c>
      <c r="AX18" s="822">
        <f t="shared" si="34"/>
        <v>0</v>
      </c>
      <c r="AY18" s="1117">
        <f t="shared" si="35"/>
        <v>0</v>
      </c>
      <c r="BA18" s="407"/>
      <c r="BB18" s="407"/>
      <c r="BC18" s="407"/>
      <c r="BD18" s="407"/>
    </row>
    <row r="19" spans="1:56" x14ac:dyDescent="0.2">
      <c r="A19" s="407"/>
      <c r="B19" s="638">
        <f t="shared" si="36"/>
        <v>0</v>
      </c>
      <c r="C19" s="639"/>
      <c r="D19" s="626"/>
      <c r="E19" s="660"/>
      <c r="F19" s="627"/>
      <c r="G19" s="661"/>
      <c r="H19" s="628"/>
      <c r="I19" s="629">
        <f t="shared" si="0"/>
        <v>0</v>
      </c>
      <c r="J19" s="629">
        <f t="shared" si="1"/>
        <v>0</v>
      </c>
      <c r="K19" s="630">
        <f t="shared" si="2"/>
        <v>0</v>
      </c>
      <c r="L19" s="631">
        <f t="shared" si="3"/>
        <v>0</v>
      </c>
      <c r="M19" s="631">
        <f t="shared" si="4"/>
        <v>0</v>
      </c>
      <c r="N19" s="640">
        <f t="shared" si="5"/>
        <v>0</v>
      </c>
      <c r="O19" s="632">
        <f t="shared" si="6"/>
        <v>0</v>
      </c>
      <c r="P19" s="632">
        <f t="shared" si="10"/>
        <v>0</v>
      </c>
      <c r="Q19" s="632">
        <f t="shared" si="7"/>
        <v>0</v>
      </c>
      <c r="R19" s="632">
        <f t="shared" si="8"/>
        <v>0</v>
      </c>
      <c r="S19" s="641">
        <f t="shared" si="9"/>
        <v>0</v>
      </c>
      <c r="T19" s="411"/>
      <c r="U19" s="411"/>
      <c r="V19" s="666">
        <f t="shared" si="11"/>
        <v>0</v>
      </c>
      <c r="W19" s="666">
        <f t="shared" si="12"/>
        <v>0</v>
      </c>
      <c r="X19" s="664">
        <f t="shared" si="13"/>
        <v>0</v>
      </c>
      <c r="Y19" s="1052">
        <f t="shared" si="14"/>
        <v>0</v>
      </c>
      <c r="Z19" s="431">
        <f t="shared" si="15"/>
        <v>0</v>
      </c>
      <c r="AA19" s="1052">
        <f t="shared" si="16"/>
        <v>0</v>
      </c>
      <c r="AB19" s="431">
        <f t="shared" si="17"/>
        <v>0</v>
      </c>
      <c r="AC19" s="1121">
        <f t="shared" si="18"/>
        <v>0</v>
      </c>
      <c r="AD19" s="642">
        <f t="shared" si="19"/>
        <v>0</v>
      </c>
      <c r="AE19" s="431">
        <f t="shared" si="20"/>
        <v>0</v>
      </c>
      <c r="AF19" s="518">
        <f t="shared" si="21"/>
        <v>0</v>
      </c>
      <c r="AG19" s="1057">
        <f>IF(OR(AND(F19=$AV$53,OR('Resurface, Milling, Agg.'!$F$65='Resurface, Milling, Agg.'!$AA$62,'Resurface, Milling, Agg.'!$F$65='Resurface, Milling, Agg.'!$AA$64)),F19=$AV$54,F19=$AV$55,F19=$AV$56,F19=$AV$57,F19=$AV$58,F19=$AV$59),(($C19-$B19)*4/40),IF(F19=$AV$62,$C19-$B19,IF(OR(F19=$AV$60,F19=$AV$61),2*($C19-$B19),0)))</f>
        <v>0</v>
      </c>
      <c r="AH19" s="1055">
        <f t="shared" si="22"/>
        <v>0</v>
      </c>
      <c r="AI19" s="643">
        <f t="shared" si="23"/>
        <v>0</v>
      </c>
      <c r="AJ19" s="635">
        <f t="shared" si="24"/>
        <v>0</v>
      </c>
      <c r="AK19" s="1061">
        <f t="shared" si="25"/>
        <v>0</v>
      </c>
      <c r="AL19" s="1063">
        <f>IF(AND(F19=$AV$53,OR('Resurface, Milling, Agg.'!$F$65='Resurface, Milling, Agg.'!$AA$62,'Resurface, Milling, Agg.'!$F$65='Resurface, Milling, Agg.'!$AA$64)),ROUNDUP(($C19-$B19)/40,0),
IF(OR(F19=$AV$55,F19=$AV$56,F19=$AV$57,F19=$AV$58,F19=$AV$62),ROUNDUP(($C19-$B19)/40,0),
IF(OR(F19=$AV$59,F19=$AV$60,F19=$AV$61),2*ROUNDUP(($C19-$B19)/40,0),
IF(F19=$AV$54,ROUNDUP(($C19-$B19)/80,0),0))))</f>
        <v>0</v>
      </c>
      <c r="AM19" s="635">
        <f t="shared" si="26"/>
        <v>0</v>
      </c>
      <c r="AN19" s="635">
        <f t="shared" si="27"/>
        <v>0</v>
      </c>
      <c r="AO19" s="635">
        <f t="shared" si="28"/>
        <v>0</v>
      </c>
      <c r="AP19" s="635">
        <f t="shared" si="29"/>
        <v>0</v>
      </c>
      <c r="AQ19" s="635">
        <f t="shared" si="30"/>
        <v>0</v>
      </c>
      <c r="AR19" s="1064">
        <f t="shared" si="31"/>
        <v>0</v>
      </c>
      <c r="AS19" s="1009"/>
      <c r="AT19" s="636"/>
      <c r="AU19" s="822">
        <f t="shared" si="32"/>
        <v>0</v>
      </c>
      <c r="AV19" s="1117">
        <f t="shared" si="33"/>
        <v>0</v>
      </c>
      <c r="AX19" s="822">
        <f t="shared" si="34"/>
        <v>0</v>
      </c>
      <c r="AY19" s="1117">
        <f t="shared" si="35"/>
        <v>0</v>
      </c>
      <c r="BA19" s="407"/>
      <c r="BB19" s="407"/>
      <c r="BC19" s="407"/>
      <c r="BD19" s="407"/>
    </row>
    <row r="20" spans="1:56" x14ac:dyDescent="0.2">
      <c r="A20" s="407"/>
      <c r="B20" s="638">
        <f t="shared" si="36"/>
        <v>0</v>
      </c>
      <c r="C20" s="639"/>
      <c r="D20" s="626"/>
      <c r="E20" s="660"/>
      <c r="F20" s="627"/>
      <c r="G20" s="661"/>
      <c r="H20" s="628"/>
      <c r="I20" s="629">
        <f t="shared" si="0"/>
        <v>0</v>
      </c>
      <c r="J20" s="629">
        <f t="shared" si="1"/>
        <v>0</v>
      </c>
      <c r="K20" s="630">
        <f t="shared" si="2"/>
        <v>0</v>
      </c>
      <c r="L20" s="631">
        <f t="shared" si="3"/>
        <v>0</v>
      </c>
      <c r="M20" s="631">
        <f t="shared" si="4"/>
        <v>0</v>
      </c>
      <c r="N20" s="640">
        <f t="shared" si="5"/>
        <v>0</v>
      </c>
      <c r="O20" s="632">
        <f t="shared" si="6"/>
        <v>0</v>
      </c>
      <c r="P20" s="632">
        <f t="shared" si="10"/>
        <v>0</v>
      </c>
      <c r="Q20" s="632">
        <f t="shared" si="7"/>
        <v>0</v>
      </c>
      <c r="R20" s="632">
        <f t="shared" si="8"/>
        <v>0</v>
      </c>
      <c r="S20" s="641">
        <f t="shared" si="9"/>
        <v>0</v>
      </c>
      <c r="T20" s="411"/>
      <c r="U20" s="411"/>
      <c r="V20" s="666">
        <f t="shared" si="11"/>
        <v>0</v>
      </c>
      <c r="W20" s="666">
        <f t="shared" si="12"/>
        <v>0</v>
      </c>
      <c r="X20" s="664">
        <f t="shared" si="13"/>
        <v>0</v>
      </c>
      <c r="Y20" s="1052">
        <f t="shared" si="14"/>
        <v>0</v>
      </c>
      <c r="Z20" s="431">
        <f t="shared" si="15"/>
        <v>0</v>
      </c>
      <c r="AA20" s="1052">
        <f t="shared" si="16"/>
        <v>0</v>
      </c>
      <c r="AB20" s="431">
        <f t="shared" si="17"/>
        <v>0</v>
      </c>
      <c r="AC20" s="1121">
        <f t="shared" si="18"/>
        <v>0</v>
      </c>
      <c r="AD20" s="642">
        <f t="shared" si="19"/>
        <v>0</v>
      </c>
      <c r="AE20" s="431">
        <f t="shared" si="20"/>
        <v>0</v>
      </c>
      <c r="AF20" s="518">
        <f t="shared" si="21"/>
        <v>0</v>
      </c>
      <c r="AG20" s="1057">
        <f>IF(OR(AND(F20=$AV$53,OR('Resurface, Milling, Agg.'!$F$65='Resurface, Milling, Agg.'!$AA$62,'Resurface, Milling, Agg.'!$F$65='Resurface, Milling, Agg.'!$AA$64)),F20=$AV$54,F20=$AV$55,F20=$AV$56,F20=$AV$57,F20=$AV$58,F20=$AV$59),(($C20-$B20)*4/40),IF(F20=$AV$62,$C20-$B20,IF(OR(F20=$AV$60,F20=$AV$61),2*($C20-$B20),0)))</f>
        <v>0</v>
      </c>
      <c r="AH20" s="1055">
        <f t="shared" si="22"/>
        <v>0</v>
      </c>
      <c r="AI20" s="643">
        <f t="shared" si="23"/>
        <v>0</v>
      </c>
      <c r="AJ20" s="635">
        <f t="shared" si="24"/>
        <v>0</v>
      </c>
      <c r="AK20" s="1061">
        <f t="shared" si="25"/>
        <v>0</v>
      </c>
      <c r="AL20" s="1063">
        <f>IF(AND(F20=$AV$53,OR('Resurface, Milling, Agg.'!$F$65='Resurface, Milling, Agg.'!$AA$62,'Resurface, Milling, Agg.'!$F$65='Resurface, Milling, Agg.'!$AA$64)),ROUNDUP(($C20-$B20)/40,0),
IF(OR(F20=$AV$55,F20=$AV$56,F20=$AV$57,F20=$AV$58,F20=$AV$62),ROUNDUP(($C20-$B20)/40,0),
IF(OR(F20=$AV$59,F20=$AV$60,F20=$AV$61),2*ROUNDUP(($C20-$B20)/40,0),
IF(F20=$AV$54,ROUNDUP(($C20-$B20)/80,0),0))))</f>
        <v>0</v>
      </c>
      <c r="AM20" s="635">
        <f t="shared" si="26"/>
        <v>0</v>
      </c>
      <c r="AN20" s="635">
        <f t="shared" si="27"/>
        <v>0</v>
      </c>
      <c r="AO20" s="635">
        <f t="shared" si="28"/>
        <v>0</v>
      </c>
      <c r="AP20" s="635">
        <f t="shared" si="29"/>
        <v>0</v>
      </c>
      <c r="AQ20" s="635">
        <f t="shared" si="30"/>
        <v>0</v>
      </c>
      <c r="AR20" s="1064">
        <f t="shared" si="31"/>
        <v>0</v>
      </c>
      <c r="AS20" s="1009"/>
      <c r="AT20" s="636"/>
      <c r="AU20" s="822">
        <f t="shared" si="32"/>
        <v>0</v>
      </c>
      <c r="AV20" s="1117">
        <f t="shared" si="33"/>
        <v>0</v>
      </c>
      <c r="AX20" s="822">
        <f t="shared" si="34"/>
        <v>0</v>
      </c>
      <c r="AY20" s="1117">
        <f t="shared" si="35"/>
        <v>0</v>
      </c>
      <c r="BA20" s="407"/>
      <c r="BB20" s="407"/>
      <c r="BC20" s="407"/>
      <c r="BD20" s="407"/>
    </row>
    <row r="21" spans="1:56" x14ac:dyDescent="0.2">
      <c r="A21" s="407"/>
      <c r="B21" s="638">
        <f t="shared" si="36"/>
        <v>0</v>
      </c>
      <c r="C21" s="639"/>
      <c r="D21" s="626"/>
      <c r="E21" s="660"/>
      <c r="F21" s="627"/>
      <c r="G21" s="661"/>
      <c r="H21" s="628"/>
      <c r="I21" s="629">
        <f t="shared" si="0"/>
        <v>0</v>
      </c>
      <c r="J21" s="629">
        <f t="shared" si="1"/>
        <v>0</v>
      </c>
      <c r="K21" s="630">
        <f t="shared" si="2"/>
        <v>0</v>
      </c>
      <c r="L21" s="631">
        <f t="shared" si="3"/>
        <v>0</v>
      </c>
      <c r="M21" s="631">
        <f t="shared" si="4"/>
        <v>0</v>
      </c>
      <c r="N21" s="640">
        <f t="shared" si="5"/>
        <v>0</v>
      </c>
      <c r="O21" s="632">
        <f t="shared" si="6"/>
        <v>0</v>
      </c>
      <c r="P21" s="632">
        <f t="shared" si="10"/>
        <v>0</v>
      </c>
      <c r="Q21" s="632">
        <f t="shared" si="7"/>
        <v>0</v>
      </c>
      <c r="R21" s="632">
        <f t="shared" si="8"/>
        <v>0</v>
      </c>
      <c r="S21" s="641">
        <f t="shared" si="9"/>
        <v>0</v>
      </c>
      <c r="T21" s="411"/>
      <c r="U21" s="411"/>
      <c r="V21" s="666">
        <f t="shared" si="11"/>
        <v>0</v>
      </c>
      <c r="W21" s="666">
        <f t="shared" si="12"/>
        <v>0</v>
      </c>
      <c r="X21" s="664">
        <f t="shared" si="13"/>
        <v>0</v>
      </c>
      <c r="Y21" s="1052">
        <f t="shared" si="14"/>
        <v>0</v>
      </c>
      <c r="Z21" s="431">
        <f t="shared" si="15"/>
        <v>0</v>
      </c>
      <c r="AA21" s="1052">
        <f t="shared" si="16"/>
        <v>0</v>
      </c>
      <c r="AB21" s="431">
        <f t="shared" si="17"/>
        <v>0</v>
      </c>
      <c r="AC21" s="1121">
        <f t="shared" si="18"/>
        <v>0</v>
      </c>
      <c r="AD21" s="642">
        <f t="shared" si="19"/>
        <v>0</v>
      </c>
      <c r="AE21" s="431">
        <f t="shared" si="20"/>
        <v>0</v>
      </c>
      <c r="AF21" s="518">
        <f t="shared" si="21"/>
        <v>0</v>
      </c>
      <c r="AG21" s="1057">
        <f>IF(OR(AND(F21=$AV$53,OR('Resurface, Milling, Agg.'!$F$65='Resurface, Milling, Agg.'!$AA$62,'Resurface, Milling, Agg.'!$F$65='Resurface, Milling, Agg.'!$AA$64)),F21=$AV$54,F21=$AV$55,F21=$AV$56,F21=$AV$57,F21=$AV$58,F21=$AV$59),(($C21-$B21)*4/40),IF(F21=$AV$62,$C21-$B21,IF(OR(F21=$AV$60,F21=$AV$61),2*($C21-$B21),0)))</f>
        <v>0</v>
      </c>
      <c r="AH21" s="1055">
        <f t="shared" si="22"/>
        <v>0</v>
      </c>
      <c r="AI21" s="643">
        <f t="shared" si="23"/>
        <v>0</v>
      </c>
      <c r="AJ21" s="635">
        <f t="shared" si="24"/>
        <v>0</v>
      </c>
      <c r="AK21" s="1061">
        <f t="shared" si="25"/>
        <v>0</v>
      </c>
      <c r="AL21" s="1063">
        <f>IF(AND(F21=$AV$53,OR('Resurface, Milling, Agg.'!$F$65='Resurface, Milling, Agg.'!$AA$62,'Resurface, Milling, Agg.'!$F$65='Resurface, Milling, Agg.'!$AA$64)),ROUNDUP(($C21-$B21)/40,0),
IF(OR(F21=$AV$55,F21=$AV$56,F21=$AV$57,F21=$AV$58,F21=$AV$62),ROUNDUP(($C21-$B21)/40,0),
IF(OR(F21=$AV$59,F21=$AV$60,F21=$AV$61),2*ROUNDUP(($C21-$B21)/40,0),
IF(F21=$AV$54,ROUNDUP(($C21-$B21)/80,0),0))))</f>
        <v>0</v>
      </c>
      <c r="AM21" s="635">
        <f t="shared" si="26"/>
        <v>0</v>
      </c>
      <c r="AN21" s="635">
        <f t="shared" si="27"/>
        <v>0</v>
      </c>
      <c r="AO21" s="635">
        <f t="shared" si="28"/>
        <v>0</v>
      </c>
      <c r="AP21" s="635">
        <f t="shared" si="29"/>
        <v>0</v>
      </c>
      <c r="AQ21" s="635">
        <f t="shared" si="30"/>
        <v>0</v>
      </c>
      <c r="AR21" s="1064">
        <f t="shared" si="31"/>
        <v>0</v>
      </c>
      <c r="AS21" s="1009"/>
      <c r="AT21" s="636"/>
      <c r="AU21" s="822">
        <f t="shared" si="32"/>
        <v>0</v>
      </c>
      <c r="AV21" s="1117">
        <f t="shared" si="33"/>
        <v>0</v>
      </c>
      <c r="AX21" s="822">
        <f t="shared" si="34"/>
        <v>0</v>
      </c>
      <c r="AY21" s="1117">
        <f t="shared" si="35"/>
        <v>0</v>
      </c>
      <c r="BA21" s="407"/>
      <c r="BB21" s="407"/>
      <c r="BC21" s="407"/>
      <c r="BD21" s="407"/>
    </row>
    <row r="22" spans="1:56" x14ac:dyDescent="0.2">
      <c r="A22" s="407"/>
      <c r="B22" s="638">
        <f t="shared" si="36"/>
        <v>0</v>
      </c>
      <c r="C22" s="639"/>
      <c r="D22" s="626"/>
      <c r="E22" s="660"/>
      <c r="F22" s="645"/>
      <c r="G22" s="661"/>
      <c r="H22" s="628"/>
      <c r="I22" s="629">
        <f t="shared" si="0"/>
        <v>0</v>
      </c>
      <c r="J22" s="629">
        <f t="shared" si="1"/>
        <v>0</v>
      </c>
      <c r="K22" s="630">
        <f t="shared" si="2"/>
        <v>0</v>
      </c>
      <c r="L22" s="631">
        <f t="shared" si="3"/>
        <v>0</v>
      </c>
      <c r="M22" s="631">
        <f t="shared" si="4"/>
        <v>0</v>
      </c>
      <c r="N22" s="640">
        <f t="shared" si="5"/>
        <v>0</v>
      </c>
      <c r="O22" s="632">
        <f t="shared" si="6"/>
        <v>0</v>
      </c>
      <c r="P22" s="632">
        <f t="shared" si="10"/>
        <v>0</v>
      </c>
      <c r="Q22" s="632">
        <f t="shared" si="7"/>
        <v>0</v>
      </c>
      <c r="R22" s="632">
        <f t="shared" si="8"/>
        <v>0</v>
      </c>
      <c r="S22" s="641">
        <f t="shared" si="9"/>
        <v>0</v>
      </c>
      <c r="T22" s="411"/>
      <c r="U22" s="411"/>
      <c r="V22" s="666">
        <f t="shared" si="11"/>
        <v>0</v>
      </c>
      <c r="W22" s="666">
        <f t="shared" si="12"/>
        <v>0</v>
      </c>
      <c r="X22" s="664">
        <f t="shared" si="13"/>
        <v>0</v>
      </c>
      <c r="Y22" s="1052">
        <f t="shared" si="14"/>
        <v>0</v>
      </c>
      <c r="Z22" s="431">
        <f t="shared" si="15"/>
        <v>0</v>
      </c>
      <c r="AA22" s="1052">
        <f t="shared" si="16"/>
        <v>0</v>
      </c>
      <c r="AB22" s="431">
        <f t="shared" si="17"/>
        <v>0</v>
      </c>
      <c r="AC22" s="1121">
        <f t="shared" si="18"/>
        <v>0</v>
      </c>
      <c r="AD22" s="642">
        <f t="shared" si="19"/>
        <v>0</v>
      </c>
      <c r="AE22" s="431">
        <f t="shared" si="20"/>
        <v>0</v>
      </c>
      <c r="AF22" s="518">
        <f t="shared" si="21"/>
        <v>0</v>
      </c>
      <c r="AG22" s="1057">
        <f>IF(OR(AND(F22=$AV$53,OR('Resurface, Milling, Agg.'!$F$65='Resurface, Milling, Agg.'!$AA$62,'Resurface, Milling, Agg.'!$F$65='Resurface, Milling, Agg.'!$AA$64)),F22=$AV$54,F22=$AV$55,F22=$AV$56,F22=$AV$57,F22=$AV$58,F22=$AV$59),(($C22-$B22)*4/40),IF(F22=$AV$62,$C22-$B22,IF(OR(F22=$AV$60,F22=$AV$61),2*($C22-$B22),0)))</f>
        <v>0</v>
      </c>
      <c r="AH22" s="1055">
        <f t="shared" si="22"/>
        <v>0</v>
      </c>
      <c r="AI22" s="643">
        <f t="shared" si="23"/>
        <v>0</v>
      </c>
      <c r="AJ22" s="635">
        <f t="shared" si="24"/>
        <v>0</v>
      </c>
      <c r="AK22" s="1061">
        <f t="shared" si="25"/>
        <v>0</v>
      </c>
      <c r="AL22" s="1063">
        <f>IF(AND(F22=$AV$53,OR('Resurface, Milling, Agg.'!$F$65='Resurface, Milling, Agg.'!$AA$62,'Resurface, Milling, Agg.'!$F$65='Resurface, Milling, Agg.'!$AA$64)),ROUNDUP(($C22-$B22)/40,0),
IF(OR(F22=$AV$55,F22=$AV$56,F22=$AV$57,F22=$AV$58,F22=$AV$62),ROUNDUP(($C22-$B22)/40,0),
IF(OR(F22=$AV$59,F22=$AV$60,F22=$AV$61),2*ROUNDUP(($C22-$B22)/40,0),
IF(F22=$AV$54,ROUNDUP(($C22-$B22)/80,0),0))))</f>
        <v>0</v>
      </c>
      <c r="AM22" s="635">
        <f t="shared" si="26"/>
        <v>0</v>
      </c>
      <c r="AN22" s="635">
        <f t="shared" si="27"/>
        <v>0</v>
      </c>
      <c r="AO22" s="635">
        <f t="shared" si="28"/>
        <v>0</v>
      </c>
      <c r="AP22" s="635">
        <f t="shared" si="29"/>
        <v>0</v>
      </c>
      <c r="AQ22" s="635">
        <f t="shared" si="30"/>
        <v>0</v>
      </c>
      <c r="AR22" s="1064">
        <f t="shared" si="31"/>
        <v>0</v>
      </c>
      <c r="AS22" s="1009"/>
      <c r="AT22" s="636"/>
      <c r="AU22" s="822">
        <f t="shared" si="32"/>
        <v>0</v>
      </c>
      <c r="AV22" s="1117">
        <f t="shared" si="33"/>
        <v>0</v>
      </c>
      <c r="AX22" s="822">
        <f t="shared" si="34"/>
        <v>0</v>
      </c>
      <c r="AY22" s="1117">
        <f t="shared" si="35"/>
        <v>0</v>
      </c>
      <c r="BA22" s="407"/>
      <c r="BB22" s="407"/>
      <c r="BC22" s="407"/>
      <c r="BD22" s="407"/>
    </row>
    <row r="23" spans="1:56" x14ac:dyDescent="0.2">
      <c r="A23" s="407"/>
      <c r="B23" s="638">
        <f t="shared" si="36"/>
        <v>0</v>
      </c>
      <c r="C23" s="639"/>
      <c r="D23" s="626"/>
      <c r="E23" s="660"/>
      <c r="F23" s="627"/>
      <c r="G23" s="661"/>
      <c r="H23" s="628"/>
      <c r="I23" s="629">
        <f t="shared" si="0"/>
        <v>0</v>
      </c>
      <c r="J23" s="629">
        <f t="shared" si="1"/>
        <v>0</v>
      </c>
      <c r="K23" s="630">
        <f t="shared" si="2"/>
        <v>0</v>
      </c>
      <c r="L23" s="631">
        <f t="shared" si="3"/>
        <v>0</v>
      </c>
      <c r="M23" s="631">
        <f t="shared" si="4"/>
        <v>0</v>
      </c>
      <c r="N23" s="640">
        <f t="shared" si="5"/>
        <v>0</v>
      </c>
      <c r="O23" s="632">
        <f t="shared" si="6"/>
        <v>0</v>
      </c>
      <c r="P23" s="632">
        <f t="shared" si="10"/>
        <v>0</v>
      </c>
      <c r="Q23" s="632">
        <f t="shared" si="7"/>
        <v>0</v>
      </c>
      <c r="R23" s="632">
        <f t="shared" si="8"/>
        <v>0</v>
      </c>
      <c r="S23" s="641">
        <f t="shared" si="9"/>
        <v>0</v>
      </c>
      <c r="T23" s="411"/>
      <c r="U23" s="411"/>
      <c r="V23" s="666">
        <f t="shared" si="11"/>
        <v>0</v>
      </c>
      <c r="W23" s="666">
        <f t="shared" si="12"/>
        <v>0</v>
      </c>
      <c r="X23" s="664">
        <f t="shared" si="13"/>
        <v>0</v>
      </c>
      <c r="Y23" s="1052">
        <f t="shared" si="14"/>
        <v>0</v>
      </c>
      <c r="Z23" s="431">
        <f t="shared" si="15"/>
        <v>0</v>
      </c>
      <c r="AA23" s="1052">
        <f t="shared" si="16"/>
        <v>0</v>
      </c>
      <c r="AB23" s="431">
        <f t="shared" si="17"/>
        <v>0</v>
      </c>
      <c r="AC23" s="1121">
        <f t="shared" si="18"/>
        <v>0</v>
      </c>
      <c r="AD23" s="642">
        <f t="shared" si="19"/>
        <v>0</v>
      </c>
      <c r="AE23" s="431">
        <f t="shared" si="20"/>
        <v>0</v>
      </c>
      <c r="AF23" s="518">
        <f t="shared" si="21"/>
        <v>0</v>
      </c>
      <c r="AG23" s="1057">
        <f>IF(OR(AND(F23=$AV$53,OR('Resurface, Milling, Agg.'!$F$65='Resurface, Milling, Agg.'!$AA$62,'Resurface, Milling, Agg.'!$F$65='Resurface, Milling, Agg.'!$AA$64)),F23=$AV$54,F23=$AV$55,F23=$AV$56,F23=$AV$57,F23=$AV$58,F23=$AV$59),(($C23-$B23)*4/40),IF(F23=$AV$62,$C23-$B23,IF(OR(F23=$AV$60,F23=$AV$61),2*($C23-$B23),0)))</f>
        <v>0</v>
      </c>
      <c r="AH23" s="1055">
        <f t="shared" si="22"/>
        <v>0</v>
      </c>
      <c r="AI23" s="643">
        <f t="shared" si="23"/>
        <v>0</v>
      </c>
      <c r="AJ23" s="635">
        <f t="shared" si="24"/>
        <v>0</v>
      </c>
      <c r="AK23" s="1061">
        <f t="shared" si="25"/>
        <v>0</v>
      </c>
      <c r="AL23" s="1063">
        <f>IF(AND(F23=$AV$53,OR('Resurface, Milling, Agg.'!$F$65='Resurface, Milling, Agg.'!$AA$62,'Resurface, Milling, Agg.'!$F$65='Resurface, Milling, Agg.'!$AA$64)),ROUNDUP(($C23-$B23)/40,0),
IF(OR(F23=$AV$55,F23=$AV$56,F23=$AV$57,F23=$AV$58,F23=$AV$62),ROUNDUP(($C23-$B23)/40,0),
IF(OR(F23=$AV$59,F23=$AV$60,F23=$AV$61),2*ROUNDUP(($C23-$B23)/40,0),
IF(F23=$AV$54,ROUNDUP(($C23-$B23)/80,0),0))))</f>
        <v>0</v>
      </c>
      <c r="AM23" s="635">
        <f t="shared" si="26"/>
        <v>0</v>
      </c>
      <c r="AN23" s="635">
        <f t="shared" si="27"/>
        <v>0</v>
      </c>
      <c r="AO23" s="635">
        <f t="shared" si="28"/>
        <v>0</v>
      </c>
      <c r="AP23" s="635">
        <f t="shared" si="29"/>
        <v>0</v>
      </c>
      <c r="AQ23" s="635">
        <f t="shared" si="30"/>
        <v>0</v>
      </c>
      <c r="AR23" s="1064">
        <f t="shared" si="31"/>
        <v>0</v>
      </c>
      <c r="AS23" s="1009"/>
      <c r="AT23" s="636"/>
      <c r="AU23" s="822">
        <f t="shared" si="32"/>
        <v>0</v>
      </c>
      <c r="AV23" s="1117">
        <f t="shared" si="33"/>
        <v>0</v>
      </c>
      <c r="AX23" s="822">
        <f t="shared" si="34"/>
        <v>0</v>
      </c>
      <c r="AY23" s="1117">
        <f t="shared" si="35"/>
        <v>0</v>
      </c>
      <c r="BA23" s="407"/>
      <c r="BB23" s="407"/>
      <c r="BC23" s="407"/>
      <c r="BD23" s="407"/>
    </row>
    <row r="24" spans="1:56" x14ac:dyDescent="0.2">
      <c r="A24" s="407"/>
      <c r="B24" s="638">
        <f t="shared" si="36"/>
        <v>0</v>
      </c>
      <c r="C24" s="639"/>
      <c r="D24" s="626"/>
      <c r="E24" s="660"/>
      <c r="F24" s="627"/>
      <c r="G24" s="661"/>
      <c r="H24" s="628"/>
      <c r="I24" s="629">
        <f t="shared" si="0"/>
        <v>0</v>
      </c>
      <c r="J24" s="629">
        <f t="shared" si="1"/>
        <v>0</v>
      </c>
      <c r="K24" s="630">
        <f t="shared" si="2"/>
        <v>0</v>
      </c>
      <c r="L24" s="631">
        <f t="shared" si="3"/>
        <v>0</v>
      </c>
      <c r="M24" s="631">
        <f t="shared" si="4"/>
        <v>0</v>
      </c>
      <c r="N24" s="640">
        <f t="shared" si="5"/>
        <v>0</v>
      </c>
      <c r="O24" s="632">
        <f t="shared" si="6"/>
        <v>0</v>
      </c>
      <c r="P24" s="632">
        <f t="shared" si="10"/>
        <v>0</v>
      </c>
      <c r="Q24" s="632">
        <f t="shared" si="7"/>
        <v>0</v>
      </c>
      <c r="R24" s="632">
        <f t="shared" si="8"/>
        <v>0</v>
      </c>
      <c r="S24" s="641">
        <f t="shared" si="9"/>
        <v>0</v>
      </c>
      <c r="T24" s="411"/>
      <c r="U24" s="411"/>
      <c r="V24" s="666">
        <f t="shared" si="11"/>
        <v>0</v>
      </c>
      <c r="W24" s="666">
        <f t="shared" si="12"/>
        <v>0</v>
      </c>
      <c r="X24" s="664">
        <f t="shared" si="13"/>
        <v>0</v>
      </c>
      <c r="Y24" s="1052">
        <f t="shared" si="14"/>
        <v>0</v>
      </c>
      <c r="Z24" s="431">
        <f t="shared" si="15"/>
        <v>0</v>
      </c>
      <c r="AA24" s="1052">
        <f t="shared" si="16"/>
        <v>0</v>
      </c>
      <c r="AB24" s="431">
        <f t="shared" si="17"/>
        <v>0</v>
      </c>
      <c r="AC24" s="1121">
        <f t="shared" si="18"/>
        <v>0</v>
      </c>
      <c r="AD24" s="642">
        <f t="shared" si="19"/>
        <v>0</v>
      </c>
      <c r="AE24" s="431">
        <f t="shared" si="20"/>
        <v>0</v>
      </c>
      <c r="AF24" s="518">
        <f t="shared" si="21"/>
        <v>0</v>
      </c>
      <c r="AG24" s="1057">
        <f>IF(OR(AND(F24=$AV$53,OR('Resurface, Milling, Agg.'!$F$65='Resurface, Milling, Agg.'!$AA$62,'Resurface, Milling, Agg.'!$F$65='Resurface, Milling, Agg.'!$AA$64)),F24=$AV$54,F24=$AV$55,F24=$AV$56,F24=$AV$57,F24=$AV$58,F24=$AV$59),(($C24-$B24)*4/40),IF(F24=$AV$62,$C24-$B24,IF(OR(F24=$AV$60,F24=$AV$61),2*($C24-$B24),0)))</f>
        <v>0</v>
      </c>
      <c r="AH24" s="1055">
        <f t="shared" si="22"/>
        <v>0</v>
      </c>
      <c r="AI24" s="643">
        <f t="shared" si="23"/>
        <v>0</v>
      </c>
      <c r="AJ24" s="635">
        <f t="shared" si="24"/>
        <v>0</v>
      </c>
      <c r="AK24" s="1061">
        <f t="shared" si="25"/>
        <v>0</v>
      </c>
      <c r="AL24" s="1063">
        <f>IF(AND(F24=$AV$53,OR('Resurface, Milling, Agg.'!$F$65='Resurface, Milling, Agg.'!$AA$62,'Resurface, Milling, Agg.'!$F$65='Resurface, Milling, Agg.'!$AA$64)),ROUNDUP(($C24-$B24)/40,0),
IF(OR(F24=$AV$55,F24=$AV$56,F24=$AV$57,F24=$AV$58,F24=$AV$62),ROUNDUP(($C24-$B24)/40,0),
IF(OR(F24=$AV$59,F24=$AV$60,F24=$AV$61),2*ROUNDUP(($C24-$B24)/40,0),
IF(F24=$AV$54,ROUNDUP(($C24-$B24)/80,0),0))))</f>
        <v>0</v>
      </c>
      <c r="AM24" s="635">
        <f t="shared" si="26"/>
        <v>0</v>
      </c>
      <c r="AN24" s="635">
        <f t="shared" si="27"/>
        <v>0</v>
      </c>
      <c r="AO24" s="635">
        <f t="shared" si="28"/>
        <v>0</v>
      </c>
      <c r="AP24" s="635">
        <f t="shared" si="29"/>
        <v>0</v>
      </c>
      <c r="AQ24" s="635">
        <f t="shared" si="30"/>
        <v>0</v>
      </c>
      <c r="AR24" s="1064">
        <f t="shared" si="31"/>
        <v>0</v>
      </c>
      <c r="AS24" s="1009"/>
      <c r="AT24" s="636"/>
      <c r="AU24" s="822">
        <f t="shared" si="32"/>
        <v>0</v>
      </c>
      <c r="AV24" s="1117">
        <f t="shared" si="33"/>
        <v>0</v>
      </c>
      <c r="AX24" s="822">
        <f t="shared" si="34"/>
        <v>0</v>
      </c>
      <c r="AY24" s="1117">
        <f t="shared" si="35"/>
        <v>0</v>
      </c>
      <c r="BA24" s="407"/>
      <c r="BB24" s="407"/>
      <c r="BC24" s="407"/>
      <c r="BD24" s="407"/>
    </row>
    <row r="25" spans="1:56" x14ac:dyDescent="0.2">
      <c r="A25" s="407"/>
      <c r="B25" s="638">
        <f t="shared" si="36"/>
        <v>0</v>
      </c>
      <c r="C25" s="639"/>
      <c r="D25" s="626"/>
      <c r="E25" s="660"/>
      <c r="F25" s="627"/>
      <c r="G25" s="661"/>
      <c r="H25" s="628"/>
      <c r="I25" s="629">
        <f t="shared" si="0"/>
        <v>0</v>
      </c>
      <c r="J25" s="629">
        <f t="shared" si="1"/>
        <v>0</v>
      </c>
      <c r="K25" s="630">
        <f t="shared" si="2"/>
        <v>0</v>
      </c>
      <c r="L25" s="631">
        <f t="shared" si="3"/>
        <v>0</v>
      </c>
      <c r="M25" s="631">
        <f t="shared" si="4"/>
        <v>0</v>
      </c>
      <c r="N25" s="640">
        <f t="shared" si="5"/>
        <v>0</v>
      </c>
      <c r="O25" s="632">
        <f t="shared" si="6"/>
        <v>0</v>
      </c>
      <c r="P25" s="632">
        <f t="shared" si="10"/>
        <v>0</v>
      </c>
      <c r="Q25" s="632">
        <f t="shared" si="7"/>
        <v>0</v>
      </c>
      <c r="R25" s="632">
        <f t="shared" si="8"/>
        <v>0</v>
      </c>
      <c r="S25" s="641">
        <f t="shared" si="9"/>
        <v>0</v>
      </c>
      <c r="T25" s="411"/>
      <c r="U25" s="411"/>
      <c r="V25" s="666">
        <f t="shared" si="11"/>
        <v>0</v>
      </c>
      <c r="W25" s="666">
        <f t="shared" si="12"/>
        <v>0</v>
      </c>
      <c r="X25" s="664">
        <f t="shared" si="13"/>
        <v>0</v>
      </c>
      <c r="Y25" s="1052">
        <f t="shared" si="14"/>
        <v>0</v>
      </c>
      <c r="Z25" s="431">
        <f t="shared" si="15"/>
        <v>0</v>
      </c>
      <c r="AA25" s="1052">
        <f t="shared" si="16"/>
        <v>0</v>
      </c>
      <c r="AB25" s="431">
        <f t="shared" si="17"/>
        <v>0</v>
      </c>
      <c r="AC25" s="1121">
        <f t="shared" si="18"/>
        <v>0</v>
      </c>
      <c r="AD25" s="642">
        <f t="shared" si="19"/>
        <v>0</v>
      </c>
      <c r="AE25" s="431">
        <f t="shared" si="20"/>
        <v>0</v>
      </c>
      <c r="AF25" s="518">
        <f t="shared" si="21"/>
        <v>0</v>
      </c>
      <c r="AG25" s="1057">
        <f>IF(OR(AND(F25=$AV$53,OR('Resurface, Milling, Agg.'!$F$65='Resurface, Milling, Agg.'!$AA$62,'Resurface, Milling, Agg.'!$F$65='Resurface, Milling, Agg.'!$AA$64)),F25=$AV$54,F25=$AV$55,F25=$AV$56,F25=$AV$57,F25=$AV$58,F25=$AV$59),(($C25-$B25)*4/40),IF(F25=$AV$62,$C25-$B25,IF(OR(F25=$AV$60,F25=$AV$61),2*($C25-$B25),0)))</f>
        <v>0</v>
      </c>
      <c r="AH25" s="1055">
        <f t="shared" si="22"/>
        <v>0</v>
      </c>
      <c r="AI25" s="643">
        <f t="shared" si="23"/>
        <v>0</v>
      </c>
      <c r="AJ25" s="635">
        <f t="shared" si="24"/>
        <v>0</v>
      </c>
      <c r="AK25" s="1061">
        <f t="shared" si="25"/>
        <v>0</v>
      </c>
      <c r="AL25" s="1063">
        <f>IF(AND(F25=$AV$53,OR('Resurface, Milling, Agg.'!$F$65='Resurface, Milling, Agg.'!$AA$62,'Resurface, Milling, Agg.'!$F$65='Resurface, Milling, Agg.'!$AA$64)),ROUNDUP(($C25-$B25)/40,0),
IF(OR(F25=$AV$55,F25=$AV$56,F25=$AV$57,F25=$AV$58,F25=$AV$62),ROUNDUP(($C25-$B25)/40,0),
IF(OR(F25=$AV$59,F25=$AV$60,F25=$AV$61),2*ROUNDUP(($C25-$B25)/40,0),
IF(F25=$AV$54,ROUNDUP(($C25-$B25)/80,0),0))))</f>
        <v>0</v>
      </c>
      <c r="AM25" s="635">
        <f t="shared" si="26"/>
        <v>0</v>
      </c>
      <c r="AN25" s="635">
        <f t="shared" si="27"/>
        <v>0</v>
      </c>
      <c r="AO25" s="635">
        <f t="shared" si="28"/>
        <v>0</v>
      </c>
      <c r="AP25" s="635">
        <f t="shared" si="29"/>
        <v>0</v>
      </c>
      <c r="AQ25" s="635">
        <f t="shared" si="30"/>
        <v>0</v>
      </c>
      <c r="AR25" s="1064">
        <f t="shared" si="31"/>
        <v>0</v>
      </c>
      <c r="AS25" s="1009"/>
      <c r="AT25" s="636"/>
      <c r="AU25" s="822">
        <f t="shared" si="32"/>
        <v>0</v>
      </c>
      <c r="AV25" s="1117">
        <f t="shared" si="33"/>
        <v>0</v>
      </c>
      <c r="AX25" s="822">
        <f t="shared" si="34"/>
        <v>0</v>
      </c>
      <c r="AY25" s="1117">
        <f t="shared" si="35"/>
        <v>0</v>
      </c>
      <c r="BA25" s="407"/>
      <c r="BB25" s="407"/>
      <c r="BC25" s="407"/>
      <c r="BD25" s="407"/>
    </row>
    <row r="26" spans="1:56" x14ac:dyDescent="0.2">
      <c r="A26" s="407"/>
      <c r="B26" s="638">
        <f t="shared" si="36"/>
        <v>0</v>
      </c>
      <c r="C26" s="639"/>
      <c r="D26" s="626"/>
      <c r="E26" s="660"/>
      <c r="F26" s="627"/>
      <c r="G26" s="661"/>
      <c r="H26" s="628"/>
      <c r="I26" s="629">
        <f t="shared" si="0"/>
        <v>0</v>
      </c>
      <c r="J26" s="629">
        <f t="shared" si="1"/>
        <v>0</v>
      </c>
      <c r="K26" s="630">
        <f t="shared" si="2"/>
        <v>0</v>
      </c>
      <c r="L26" s="631">
        <f t="shared" si="3"/>
        <v>0</v>
      </c>
      <c r="M26" s="631">
        <f t="shared" si="4"/>
        <v>0</v>
      </c>
      <c r="N26" s="640">
        <f t="shared" si="5"/>
        <v>0</v>
      </c>
      <c r="O26" s="632">
        <f t="shared" si="6"/>
        <v>0</v>
      </c>
      <c r="P26" s="632">
        <f t="shared" si="10"/>
        <v>0</v>
      </c>
      <c r="Q26" s="632">
        <f t="shared" si="7"/>
        <v>0</v>
      </c>
      <c r="R26" s="632">
        <f t="shared" si="8"/>
        <v>0</v>
      </c>
      <c r="S26" s="641">
        <f t="shared" si="9"/>
        <v>0</v>
      </c>
      <c r="T26" s="411"/>
      <c r="U26" s="411"/>
      <c r="V26" s="666">
        <f t="shared" si="11"/>
        <v>0</v>
      </c>
      <c r="W26" s="666">
        <f t="shared" si="12"/>
        <v>0</v>
      </c>
      <c r="X26" s="664">
        <f t="shared" si="13"/>
        <v>0</v>
      </c>
      <c r="Y26" s="1052">
        <f t="shared" si="14"/>
        <v>0</v>
      </c>
      <c r="Z26" s="431">
        <f t="shared" si="15"/>
        <v>0</v>
      </c>
      <c r="AA26" s="1052">
        <f t="shared" si="16"/>
        <v>0</v>
      </c>
      <c r="AB26" s="431">
        <f t="shared" si="17"/>
        <v>0</v>
      </c>
      <c r="AC26" s="1121">
        <f t="shared" si="18"/>
        <v>0</v>
      </c>
      <c r="AD26" s="642">
        <f t="shared" si="19"/>
        <v>0</v>
      </c>
      <c r="AE26" s="431">
        <f t="shared" si="20"/>
        <v>0</v>
      </c>
      <c r="AF26" s="518">
        <f t="shared" si="21"/>
        <v>0</v>
      </c>
      <c r="AG26" s="1057">
        <f>IF(OR(AND(F26=$AV$53,OR('Resurface, Milling, Agg.'!$F$65='Resurface, Milling, Agg.'!$AA$62,'Resurface, Milling, Agg.'!$F$65='Resurface, Milling, Agg.'!$AA$64)),F26=$AV$54,F26=$AV$55,F26=$AV$56,F26=$AV$57,F26=$AV$58,F26=$AV$59),(($C26-$B26)*4/40),IF(F26=$AV$62,$C26-$B26,IF(OR(F26=$AV$60,F26=$AV$61),2*($C26-$B26),0)))</f>
        <v>0</v>
      </c>
      <c r="AH26" s="1055">
        <f t="shared" si="22"/>
        <v>0</v>
      </c>
      <c r="AI26" s="643">
        <f t="shared" si="23"/>
        <v>0</v>
      </c>
      <c r="AJ26" s="635">
        <f t="shared" si="24"/>
        <v>0</v>
      </c>
      <c r="AK26" s="1061">
        <f t="shared" si="25"/>
        <v>0</v>
      </c>
      <c r="AL26" s="1063">
        <f>IF(AND(F26=$AV$53,OR('Resurface, Milling, Agg.'!$F$65='Resurface, Milling, Agg.'!$AA$62,'Resurface, Milling, Agg.'!$F$65='Resurface, Milling, Agg.'!$AA$64)),ROUNDUP(($C26-$B26)/40,0),
IF(OR(F26=$AV$55,F26=$AV$56,F26=$AV$57,F26=$AV$58,F26=$AV$62),ROUNDUP(($C26-$B26)/40,0),
IF(OR(F26=$AV$59,F26=$AV$60,F26=$AV$61),2*ROUNDUP(($C26-$B26)/40,0),
IF(F26=$AV$54,ROUNDUP(($C26-$B26)/80,0),0))))</f>
        <v>0</v>
      </c>
      <c r="AM26" s="635">
        <f t="shared" si="26"/>
        <v>0</v>
      </c>
      <c r="AN26" s="635">
        <f t="shared" si="27"/>
        <v>0</v>
      </c>
      <c r="AO26" s="635">
        <f t="shared" si="28"/>
        <v>0</v>
      </c>
      <c r="AP26" s="635">
        <f t="shared" si="29"/>
        <v>0</v>
      </c>
      <c r="AQ26" s="635">
        <f t="shared" si="30"/>
        <v>0</v>
      </c>
      <c r="AR26" s="1064">
        <f t="shared" si="31"/>
        <v>0</v>
      </c>
      <c r="AS26" s="1009"/>
      <c r="AT26" s="636"/>
      <c r="AU26" s="822">
        <f t="shared" si="32"/>
        <v>0</v>
      </c>
      <c r="AV26" s="1117">
        <f t="shared" si="33"/>
        <v>0</v>
      </c>
      <c r="AX26" s="822">
        <f t="shared" si="34"/>
        <v>0</v>
      </c>
      <c r="AY26" s="1117">
        <f t="shared" si="35"/>
        <v>0</v>
      </c>
      <c r="BA26" s="407"/>
      <c r="BB26" s="407"/>
      <c r="BC26" s="407"/>
      <c r="BD26" s="407"/>
    </row>
    <row r="27" spans="1:56" x14ac:dyDescent="0.2">
      <c r="A27" s="407"/>
      <c r="B27" s="638">
        <f t="shared" si="36"/>
        <v>0</v>
      </c>
      <c r="C27" s="639"/>
      <c r="D27" s="626"/>
      <c r="E27" s="660"/>
      <c r="F27" s="627"/>
      <c r="G27" s="661"/>
      <c r="H27" s="628"/>
      <c r="I27" s="629">
        <f t="shared" si="0"/>
        <v>0</v>
      </c>
      <c r="J27" s="629">
        <f t="shared" si="1"/>
        <v>0</v>
      </c>
      <c r="K27" s="630">
        <f t="shared" si="2"/>
        <v>0</v>
      </c>
      <c r="L27" s="631">
        <f t="shared" si="3"/>
        <v>0</v>
      </c>
      <c r="M27" s="631">
        <f t="shared" si="4"/>
        <v>0</v>
      </c>
      <c r="N27" s="640">
        <f t="shared" si="5"/>
        <v>0</v>
      </c>
      <c r="O27" s="632">
        <f t="shared" si="6"/>
        <v>0</v>
      </c>
      <c r="P27" s="632">
        <f t="shared" si="10"/>
        <v>0</v>
      </c>
      <c r="Q27" s="632">
        <f t="shared" si="7"/>
        <v>0</v>
      </c>
      <c r="R27" s="632">
        <f t="shared" si="8"/>
        <v>0</v>
      </c>
      <c r="S27" s="641">
        <f t="shared" si="9"/>
        <v>0</v>
      </c>
      <c r="T27" s="411"/>
      <c r="U27" s="411"/>
      <c r="V27" s="666">
        <f t="shared" si="11"/>
        <v>0</v>
      </c>
      <c r="W27" s="666">
        <f t="shared" si="12"/>
        <v>0</v>
      </c>
      <c r="X27" s="664">
        <f t="shared" si="13"/>
        <v>0</v>
      </c>
      <c r="Y27" s="1052">
        <f t="shared" si="14"/>
        <v>0</v>
      </c>
      <c r="Z27" s="431">
        <f t="shared" si="15"/>
        <v>0</v>
      </c>
      <c r="AA27" s="1052">
        <f t="shared" si="16"/>
        <v>0</v>
      </c>
      <c r="AB27" s="431">
        <f t="shared" si="17"/>
        <v>0</v>
      </c>
      <c r="AC27" s="1121">
        <f t="shared" si="18"/>
        <v>0</v>
      </c>
      <c r="AD27" s="642">
        <f t="shared" si="19"/>
        <v>0</v>
      </c>
      <c r="AE27" s="431">
        <f t="shared" si="20"/>
        <v>0</v>
      </c>
      <c r="AF27" s="518">
        <f t="shared" si="21"/>
        <v>0</v>
      </c>
      <c r="AG27" s="1057">
        <f>IF(OR(AND(F27=$AV$53,OR('Resurface, Milling, Agg.'!$F$65='Resurface, Milling, Agg.'!$AA$62,'Resurface, Milling, Agg.'!$F$65='Resurface, Milling, Agg.'!$AA$64)),F27=$AV$54,F27=$AV$55,F27=$AV$56,F27=$AV$57,F27=$AV$58,F27=$AV$59),(($C27-$B27)*4/40),IF(F27=$AV$62,$C27-$B27,IF(OR(F27=$AV$60,F27=$AV$61),2*($C27-$B27),0)))</f>
        <v>0</v>
      </c>
      <c r="AH27" s="1055">
        <f t="shared" si="22"/>
        <v>0</v>
      </c>
      <c r="AI27" s="643">
        <f t="shared" si="23"/>
        <v>0</v>
      </c>
      <c r="AJ27" s="635">
        <f t="shared" si="24"/>
        <v>0</v>
      </c>
      <c r="AK27" s="1061">
        <f t="shared" si="25"/>
        <v>0</v>
      </c>
      <c r="AL27" s="1063">
        <f>IF(AND(F27=$AV$53,OR('Resurface, Milling, Agg.'!$F$65='Resurface, Milling, Agg.'!$AA$62,'Resurface, Milling, Agg.'!$F$65='Resurface, Milling, Agg.'!$AA$64)),ROUNDUP(($C27-$B27)/40,0),
IF(OR(F27=$AV$55,F27=$AV$56,F27=$AV$57,F27=$AV$58,F27=$AV$62),ROUNDUP(($C27-$B27)/40,0),
IF(OR(F27=$AV$59,F27=$AV$60,F27=$AV$61),2*ROUNDUP(($C27-$B27)/40,0),
IF(F27=$AV$54,ROUNDUP(($C27-$B27)/80,0),0))))</f>
        <v>0</v>
      </c>
      <c r="AM27" s="635">
        <f t="shared" si="26"/>
        <v>0</v>
      </c>
      <c r="AN27" s="635">
        <f t="shared" si="27"/>
        <v>0</v>
      </c>
      <c r="AO27" s="635">
        <f t="shared" si="28"/>
        <v>0</v>
      </c>
      <c r="AP27" s="635">
        <f t="shared" si="29"/>
        <v>0</v>
      </c>
      <c r="AQ27" s="635">
        <f t="shared" si="30"/>
        <v>0</v>
      </c>
      <c r="AR27" s="1064">
        <f t="shared" si="31"/>
        <v>0</v>
      </c>
      <c r="AS27" s="1009"/>
      <c r="AT27" s="636"/>
      <c r="AU27" s="822">
        <f t="shared" si="32"/>
        <v>0</v>
      </c>
      <c r="AV27" s="1117">
        <f t="shared" si="33"/>
        <v>0</v>
      </c>
      <c r="AX27" s="822">
        <f t="shared" si="34"/>
        <v>0</v>
      </c>
      <c r="AY27" s="1117">
        <f t="shared" si="35"/>
        <v>0</v>
      </c>
      <c r="BA27" s="407"/>
      <c r="BB27" s="407"/>
      <c r="BC27" s="407"/>
      <c r="BD27" s="407"/>
    </row>
    <row r="28" spans="1:56" x14ac:dyDescent="0.2">
      <c r="A28" s="407"/>
      <c r="B28" s="638">
        <f t="shared" si="36"/>
        <v>0</v>
      </c>
      <c r="C28" s="639"/>
      <c r="D28" s="626"/>
      <c r="E28" s="660"/>
      <c r="F28" s="627"/>
      <c r="G28" s="661"/>
      <c r="H28" s="628"/>
      <c r="I28" s="629">
        <f t="shared" si="0"/>
        <v>0</v>
      </c>
      <c r="J28" s="629">
        <f t="shared" si="1"/>
        <v>0</v>
      </c>
      <c r="K28" s="630">
        <f t="shared" si="2"/>
        <v>0</v>
      </c>
      <c r="L28" s="631">
        <f t="shared" si="3"/>
        <v>0</v>
      </c>
      <c r="M28" s="631">
        <f t="shared" si="4"/>
        <v>0</v>
      </c>
      <c r="N28" s="640">
        <f t="shared" si="5"/>
        <v>0</v>
      </c>
      <c r="O28" s="632">
        <f t="shared" si="6"/>
        <v>0</v>
      </c>
      <c r="P28" s="632">
        <f t="shared" si="10"/>
        <v>0</v>
      </c>
      <c r="Q28" s="632">
        <f t="shared" si="7"/>
        <v>0</v>
      </c>
      <c r="R28" s="632">
        <f t="shared" si="8"/>
        <v>0</v>
      </c>
      <c r="S28" s="641">
        <f t="shared" si="9"/>
        <v>0</v>
      </c>
      <c r="T28" s="411"/>
      <c r="U28" s="411"/>
      <c r="V28" s="666">
        <f t="shared" si="11"/>
        <v>0</v>
      </c>
      <c r="W28" s="666">
        <f t="shared" si="12"/>
        <v>0</v>
      </c>
      <c r="X28" s="664">
        <f t="shared" si="13"/>
        <v>0</v>
      </c>
      <c r="Y28" s="1052">
        <f t="shared" si="14"/>
        <v>0</v>
      </c>
      <c r="Z28" s="431">
        <f t="shared" si="15"/>
        <v>0</v>
      </c>
      <c r="AA28" s="1052">
        <f t="shared" si="16"/>
        <v>0</v>
      </c>
      <c r="AB28" s="431">
        <f t="shared" si="17"/>
        <v>0</v>
      </c>
      <c r="AC28" s="1121">
        <f t="shared" si="18"/>
        <v>0</v>
      </c>
      <c r="AD28" s="642">
        <f t="shared" si="19"/>
        <v>0</v>
      </c>
      <c r="AE28" s="431">
        <f t="shared" si="20"/>
        <v>0</v>
      </c>
      <c r="AF28" s="518">
        <f t="shared" si="21"/>
        <v>0</v>
      </c>
      <c r="AG28" s="1057">
        <f>IF(OR(AND(F28=$AV$53,OR('Resurface, Milling, Agg.'!$F$65='Resurface, Milling, Agg.'!$AA$62,'Resurface, Milling, Agg.'!$F$65='Resurface, Milling, Agg.'!$AA$64)),F28=$AV$54,F28=$AV$55,F28=$AV$56,F28=$AV$57,F28=$AV$58,F28=$AV$59),(($C28-$B28)*4/40),IF(F28=$AV$62,$C28-$B28,IF(OR(F28=$AV$60,F28=$AV$61),2*($C28-$B28),0)))</f>
        <v>0</v>
      </c>
      <c r="AH28" s="1055">
        <f t="shared" si="22"/>
        <v>0</v>
      </c>
      <c r="AI28" s="643">
        <f t="shared" si="23"/>
        <v>0</v>
      </c>
      <c r="AJ28" s="635">
        <f t="shared" si="24"/>
        <v>0</v>
      </c>
      <c r="AK28" s="1061">
        <f t="shared" si="25"/>
        <v>0</v>
      </c>
      <c r="AL28" s="1063">
        <f>IF(AND(F28=$AV$53,OR('Resurface, Milling, Agg.'!$F$65='Resurface, Milling, Agg.'!$AA$62,'Resurface, Milling, Agg.'!$F$65='Resurface, Milling, Agg.'!$AA$64)),ROUNDUP(($C28-$B28)/40,0),
IF(OR(F28=$AV$55,F28=$AV$56,F28=$AV$57,F28=$AV$58,F28=$AV$62),ROUNDUP(($C28-$B28)/40,0),
IF(OR(F28=$AV$59,F28=$AV$60,F28=$AV$61),2*ROUNDUP(($C28-$B28)/40,0),
IF(F28=$AV$54,ROUNDUP(($C28-$B28)/80,0),0))))</f>
        <v>0</v>
      </c>
      <c r="AM28" s="635">
        <f t="shared" si="26"/>
        <v>0</v>
      </c>
      <c r="AN28" s="635">
        <f t="shared" si="27"/>
        <v>0</v>
      </c>
      <c r="AO28" s="635">
        <f t="shared" si="28"/>
        <v>0</v>
      </c>
      <c r="AP28" s="635">
        <f t="shared" si="29"/>
        <v>0</v>
      </c>
      <c r="AQ28" s="635">
        <f t="shared" si="30"/>
        <v>0</v>
      </c>
      <c r="AR28" s="1064">
        <f t="shared" si="31"/>
        <v>0</v>
      </c>
      <c r="AS28" s="1009"/>
      <c r="AT28" s="636"/>
      <c r="AU28" s="822">
        <f t="shared" si="32"/>
        <v>0</v>
      </c>
      <c r="AV28" s="1117">
        <f t="shared" si="33"/>
        <v>0</v>
      </c>
      <c r="AX28" s="822">
        <f t="shared" si="34"/>
        <v>0</v>
      </c>
      <c r="AY28" s="1117">
        <f t="shared" si="35"/>
        <v>0</v>
      </c>
      <c r="BA28" s="407"/>
      <c r="BB28" s="407"/>
      <c r="BC28" s="407"/>
      <c r="BD28" s="407"/>
    </row>
    <row r="29" spans="1:56" x14ac:dyDescent="0.2">
      <c r="A29" s="407"/>
      <c r="B29" s="638">
        <f t="shared" si="36"/>
        <v>0</v>
      </c>
      <c r="C29" s="639"/>
      <c r="D29" s="626"/>
      <c r="E29" s="660"/>
      <c r="F29" s="627"/>
      <c r="G29" s="661"/>
      <c r="H29" s="628"/>
      <c r="I29" s="629">
        <f t="shared" si="0"/>
        <v>0</v>
      </c>
      <c r="J29" s="629">
        <f t="shared" si="1"/>
        <v>0</v>
      </c>
      <c r="K29" s="630">
        <f t="shared" si="2"/>
        <v>0</v>
      </c>
      <c r="L29" s="631">
        <f t="shared" si="3"/>
        <v>0</v>
      </c>
      <c r="M29" s="631">
        <f t="shared" si="4"/>
        <v>0</v>
      </c>
      <c r="N29" s="640">
        <f t="shared" si="5"/>
        <v>0</v>
      </c>
      <c r="O29" s="632">
        <f t="shared" si="6"/>
        <v>0</v>
      </c>
      <c r="P29" s="632">
        <f t="shared" si="10"/>
        <v>0</v>
      </c>
      <c r="Q29" s="632">
        <f t="shared" si="7"/>
        <v>0</v>
      </c>
      <c r="R29" s="632">
        <f t="shared" si="8"/>
        <v>0</v>
      </c>
      <c r="S29" s="641">
        <f t="shared" si="9"/>
        <v>0</v>
      </c>
      <c r="T29" s="411"/>
      <c r="U29" s="411"/>
      <c r="V29" s="666">
        <f t="shared" si="11"/>
        <v>0</v>
      </c>
      <c r="W29" s="666">
        <f t="shared" si="12"/>
        <v>0</v>
      </c>
      <c r="X29" s="664">
        <f t="shared" si="13"/>
        <v>0</v>
      </c>
      <c r="Y29" s="1052">
        <f t="shared" si="14"/>
        <v>0</v>
      </c>
      <c r="Z29" s="431">
        <f t="shared" si="15"/>
        <v>0</v>
      </c>
      <c r="AA29" s="1052">
        <f t="shared" si="16"/>
        <v>0</v>
      </c>
      <c r="AB29" s="431">
        <f t="shared" si="17"/>
        <v>0</v>
      </c>
      <c r="AC29" s="1121">
        <f t="shared" si="18"/>
        <v>0</v>
      </c>
      <c r="AD29" s="642">
        <f t="shared" si="19"/>
        <v>0</v>
      </c>
      <c r="AE29" s="431">
        <f t="shared" si="20"/>
        <v>0</v>
      </c>
      <c r="AF29" s="518">
        <f t="shared" si="21"/>
        <v>0</v>
      </c>
      <c r="AG29" s="1057">
        <f>IF(OR(AND(F29=$AV$53,OR('Resurface, Milling, Agg.'!$F$65='Resurface, Milling, Agg.'!$AA$62,'Resurface, Milling, Agg.'!$F$65='Resurface, Milling, Agg.'!$AA$64)),F29=$AV$54,F29=$AV$55,F29=$AV$56,F29=$AV$57,F29=$AV$58,F29=$AV$59),(($C29-$B29)*4/40),IF(F29=$AV$62,$C29-$B29,IF(OR(F29=$AV$60,F29=$AV$61),2*($C29-$B29),0)))</f>
        <v>0</v>
      </c>
      <c r="AH29" s="1055">
        <f t="shared" si="22"/>
        <v>0</v>
      </c>
      <c r="AI29" s="643">
        <f t="shared" si="23"/>
        <v>0</v>
      </c>
      <c r="AJ29" s="635">
        <f t="shared" si="24"/>
        <v>0</v>
      </c>
      <c r="AK29" s="1061">
        <f t="shared" si="25"/>
        <v>0</v>
      </c>
      <c r="AL29" s="1063">
        <f>IF(AND(F29=$AV$53,OR('Resurface, Milling, Agg.'!$F$65='Resurface, Milling, Agg.'!$AA$62,'Resurface, Milling, Agg.'!$F$65='Resurface, Milling, Agg.'!$AA$64)),ROUNDUP(($C29-$B29)/40,0),
IF(OR(F29=$AV$55,F29=$AV$56,F29=$AV$57,F29=$AV$58,F29=$AV$62),ROUNDUP(($C29-$B29)/40,0),
IF(OR(F29=$AV$59,F29=$AV$60,F29=$AV$61),2*ROUNDUP(($C29-$B29)/40,0),
IF(F29=$AV$54,ROUNDUP(($C29-$B29)/80,0),0))))</f>
        <v>0</v>
      </c>
      <c r="AM29" s="635">
        <f t="shared" si="26"/>
        <v>0</v>
      </c>
      <c r="AN29" s="635">
        <f t="shared" si="27"/>
        <v>0</v>
      </c>
      <c r="AO29" s="635">
        <f t="shared" si="28"/>
        <v>0</v>
      </c>
      <c r="AP29" s="635">
        <f t="shared" si="29"/>
        <v>0</v>
      </c>
      <c r="AQ29" s="635">
        <f t="shared" si="30"/>
        <v>0</v>
      </c>
      <c r="AR29" s="1064">
        <f t="shared" si="31"/>
        <v>0</v>
      </c>
      <c r="AS29" s="1009"/>
      <c r="AT29" s="636"/>
      <c r="AU29" s="822">
        <f t="shared" si="32"/>
        <v>0</v>
      </c>
      <c r="AV29" s="1117">
        <f t="shared" si="33"/>
        <v>0</v>
      </c>
      <c r="AX29" s="822">
        <f t="shared" si="34"/>
        <v>0</v>
      </c>
      <c r="AY29" s="1117">
        <f t="shared" si="35"/>
        <v>0</v>
      </c>
      <c r="BA29" s="407"/>
      <c r="BB29" s="407"/>
      <c r="BC29" s="407"/>
      <c r="BD29" s="407"/>
    </row>
    <row r="30" spans="1:56" x14ac:dyDescent="0.2">
      <c r="A30" s="407"/>
      <c r="B30" s="638">
        <f t="shared" si="36"/>
        <v>0</v>
      </c>
      <c r="C30" s="639"/>
      <c r="D30" s="626"/>
      <c r="E30" s="660"/>
      <c r="F30" s="627"/>
      <c r="G30" s="661"/>
      <c r="H30" s="628"/>
      <c r="I30" s="629">
        <f t="shared" si="0"/>
        <v>0</v>
      </c>
      <c r="J30" s="629">
        <f t="shared" si="1"/>
        <v>0</v>
      </c>
      <c r="K30" s="630">
        <f t="shared" si="2"/>
        <v>0</v>
      </c>
      <c r="L30" s="631">
        <f t="shared" si="3"/>
        <v>0</v>
      </c>
      <c r="M30" s="631">
        <f t="shared" si="4"/>
        <v>0</v>
      </c>
      <c r="N30" s="640">
        <f t="shared" si="5"/>
        <v>0</v>
      </c>
      <c r="O30" s="632">
        <f t="shared" si="6"/>
        <v>0</v>
      </c>
      <c r="P30" s="632">
        <f t="shared" si="10"/>
        <v>0</v>
      </c>
      <c r="Q30" s="632">
        <f t="shared" si="7"/>
        <v>0</v>
      </c>
      <c r="R30" s="632">
        <f t="shared" si="8"/>
        <v>0</v>
      </c>
      <c r="S30" s="641">
        <f t="shared" si="9"/>
        <v>0</v>
      </c>
      <c r="T30" s="411"/>
      <c r="U30" s="411"/>
      <c r="V30" s="666">
        <f t="shared" si="11"/>
        <v>0</v>
      </c>
      <c r="W30" s="666">
        <f t="shared" si="12"/>
        <v>0</v>
      </c>
      <c r="X30" s="664">
        <f t="shared" si="13"/>
        <v>0</v>
      </c>
      <c r="Y30" s="1052">
        <f t="shared" si="14"/>
        <v>0</v>
      </c>
      <c r="Z30" s="431">
        <f t="shared" si="15"/>
        <v>0</v>
      </c>
      <c r="AA30" s="1052">
        <f t="shared" si="16"/>
        <v>0</v>
      </c>
      <c r="AB30" s="431">
        <f t="shared" si="17"/>
        <v>0</v>
      </c>
      <c r="AC30" s="1121">
        <f t="shared" si="18"/>
        <v>0</v>
      </c>
      <c r="AD30" s="642">
        <f t="shared" si="19"/>
        <v>0</v>
      </c>
      <c r="AE30" s="431">
        <f t="shared" si="20"/>
        <v>0</v>
      </c>
      <c r="AF30" s="518">
        <f t="shared" si="21"/>
        <v>0</v>
      </c>
      <c r="AG30" s="1057">
        <f>IF(OR(AND(F30=$AV$53,OR('Resurface, Milling, Agg.'!$F$65='Resurface, Milling, Agg.'!$AA$62,'Resurface, Milling, Agg.'!$F$65='Resurface, Milling, Agg.'!$AA$64)),F30=$AV$54,F30=$AV$55,F30=$AV$56,F30=$AV$57,F30=$AV$58,F30=$AV$59),(($C30-$B30)*4/40),IF(F30=$AV$62,$C30-$B30,IF(OR(F30=$AV$60,F30=$AV$61),2*($C30-$B30),0)))</f>
        <v>0</v>
      </c>
      <c r="AH30" s="1055">
        <f t="shared" si="22"/>
        <v>0</v>
      </c>
      <c r="AI30" s="643">
        <f t="shared" si="23"/>
        <v>0</v>
      </c>
      <c r="AJ30" s="635">
        <f t="shared" si="24"/>
        <v>0</v>
      </c>
      <c r="AK30" s="1061">
        <f t="shared" si="25"/>
        <v>0</v>
      </c>
      <c r="AL30" s="1063">
        <f>IF(AND(F30=$AV$53,OR('Resurface, Milling, Agg.'!$F$65='Resurface, Milling, Agg.'!$AA$62,'Resurface, Milling, Agg.'!$F$65='Resurface, Milling, Agg.'!$AA$64)),ROUNDUP(($C30-$B30)/40,0),
IF(OR(F30=$AV$55,F30=$AV$56,F30=$AV$57,F30=$AV$58,F30=$AV$62),ROUNDUP(($C30-$B30)/40,0),
IF(OR(F30=$AV$59,F30=$AV$60,F30=$AV$61),2*ROUNDUP(($C30-$B30)/40,0),
IF(F30=$AV$54,ROUNDUP(($C30-$B30)/80,0),0))))</f>
        <v>0</v>
      </c>
      <c r="AM30" s="635">
        <f t="shared" si="26"/>
        <v>0</v>
      </c>
      <c r="AN30" s="635">
        <f t="shared" si="27"/>
        <v>0</v>
      </c>
      <c r="AO30" s="635">
        <f t="shared" si="28"/>
        <v>0</v>
      </c>
      <c r="AP30" s="635">
        <f t="shared" si="29"/>
        <v>0</v>
      </c>
      <c r="AQ30" s="635">
        <f t="shared" si="30"/>
        <v>0</v>
      </c>
      <c r="AR30" s="1064">
        <f t="shared" si="31"/>
        <v>0</v>
      </c>
      <c r="AS30" s="1009"/>
      <c r="AT30" s="636"/>
      <c r="AU30" s="822">
        <f t="shared" si="32"/>
        <v>0</v>
      </c>
      <c r="AV30" s="1117">
        <f t="shared" si="33"/>
        <v>0</v>
      </c>
      <c r="AX30" s="822">
        <f t="shared" si="34"/>
        <v>0</v>
      </c>
      <c r="AY30" s="1117">
        <f t="shared" si="35"/>
        <v>0</v>
      </c>
      <c r="BA30" s="407"/>
      <c r="BB30" s="407"/>
      <c r="BC30" s="407"/>
      <c r="BD30" s="407"/>
    </row>
    <row r="31" spans="1:56" x14ac:dyDescent="0.2">
      <c r="A31" s="407"/>
      <c r="B31" s="638">
        <f t="shared" si="36"/>
        <v>0</v>
      </c>
      <c r="C31" s="639"/>
      <c r="D31" s="626"/>
      <c r="E31" s="660"/>
      <c r="F31" s="627"/>
      <c r="G31" s="661"/>
      <c r="H31" s="628"/>
      <c r="I31" s="629">
        <f t="shared" si="0"/>
        <v>0</v>
      </c>
      <c r="J31" s="629">
        <f t="shared" si="1"/>
        <v>0</v>
      </c>
      <c r="K31" s="630">
        <f t="shared" si="2"/>
        <v>0</v>
      </c>
      <c r="L31" s="631">
        <f t="shared" si="3"/>
        <v>0</v>
      </c>
      <c r="M31" s="631">
        <f t="shared" si="4"/>
        <v>0</v>
      </c>
      <c r="N31" s="640">
        <f t="shared" si="5"/>
        <v>0</v>
      </c>
      <c r="O31" s="632">
        <f t="shared" si="6"/>
        <v>0</v>
      </c>
      <c r="P31" s="632">
        <f t="shared" si="10"/>
        <v>0</v>
      </c>
      <c r="Q31" s="632">
        <f t="shared" si="7"/>
        <v>0</v>
      </c>
      <c r="R31" s="632">
        <f t="shared" si="8"/>
        <v>0</v>
      </c>
      <c r="S31" s="641">
        <f t="shared" si="9"/>
        <v>0</v>
      </c>
      <c r="T31" s="411"/>
      <c r="U31" s="411"/>
      <c r="V31" s="666">
        <f t="shared" si="11"/>
        <v>0</v>
      </c>
      <c r="W31" s="666">
        <f t="shared" si="12"/>
        <v>0</v>
      </c>
      <c r="X31" s="664">
        <f t="shared" si="13"/>
        <v>0</v>
      </c>
      <c r="Y31" s="1052">
        <f t="shared" si="14"/>
        <v>0</v>
      </c>
      <c r="Z31" s="431">
        <f t="shared" si="15"/>
        <v>0</v>
      </c>
      <c r="AA31" s="1052">
        <f t="shared" si="16"/>
        <v>0</v>
      </c>
      <c r="AB31" s="431">
        <f t="shared" si="17"/>
        <v>0</v>
      </c>
      <c r="AC31" s="1121">
        <f t="shared" si="18"/>
        <v>0</v>
      </c>
      <c r="AD31" s="642">
        <f t="shared" si="19"/>
        <v>0</v>
      </c>
      <c r="AE31" s="431">
        <f t="shared" si="20"/>
        <v>0</v>
      </c>
      <c r="AF31" s="518">
        <f t="shared" si="21"/>
        <v>0</v>
      </c>
      <c r="AG31" s="1057">
        <f>IF(OR(AND(F31=$AV$53,OR('Resurface, Milling, Agg.'!$F$65='Resurface, Milling, Agg.'!$AA$62,'Resurface, Milling, Agg.'!$F$65='Resurface, Milling, Agg.'!$AA$64)),F31=$AV$54,F31=$AV$55,F31=$AV$56,F31=$AV$57,F31=$AV$58,F31=$AV$59),(($C31-$B31)*4/40),IF(F31=$AV$62,$C31-$B31,IF(OR(F31=$AV$60,F31=$AV$61),2*($C31-$B31),0)))</f>
        <v>0</v>
      </c>
      <c r="AH31" s="1055">
        <f t="shared" si="22"/>
        <v>0</v>
      </c>
      <c r="AI31" s="643">
        <f t="shared" si="23"/>
        <v>0</v>
      </c>
      <c r="AJ31" s="635">
        <f t="shared" si="24"/>
        <v>0</v>
      </c>
      <c r="AK31" s="1061">
        <f t="shared" si="25"/>
        <v>0</v>
      </c>
      <c r="AL31" s="1063">
        <f>IF(AND(F31=$AV$53,OR('Resurface, Milling, Agg.'!$F$65='Resurface, Milling, Agg.'!$AA$62,'Resurface, Milling, Agg.'!$F$65='Resurface, Milling, Agg.'!$AA$64)),ROUNDUP(($C31-$B31)/40,0),
IF(OR(F31=$AV$55,F31=$AV$56,F31=$AV$57,F31=$AV$58,F31=$AV$62),ROUNDUP(($C31-$B31)/40,0),
IF(OR(F31=$AV$59,F31=$AV$60,F31=$AV$61),2*ROUNDUP(($C31-$B31)/40,0),
IF(F31=$AV$54,ROUNDUP(($C31-$B31)/80,0),0))))</f>
        <v>0</v>
      </c>
      <c r="AM31" s="635">
        <f t="shared" si="26"/>
        <v>0</v>
      </c>
      <c r="AN31" s="635">
        <f t="shared" si="27"/>
        <v>0</v>
      </c>
      <c r="AO31" s="635">
        <f t="shared" si="28"/>
        <v>0</v>
      </c>
      <c r="AP31" s="635">
        <f t="shared" si="29"/>
        <v>0</v>
      </c>
      <c r="AQ31" s="635">
        <f t="shared" si="30"/>
        <v>0</v>
      </c>
      <c r="AR31" s="1064">
        <f t="shared" si="31"/>
        <v>0</v>
      </c>
      <c r="AS31" s="1009"/>
      <c r="AT31" s="636"/>
      <c r="AU31" s="822">
        <f t="shared" si="32"/>
        <v>0</v>
      </c>
      <c r="AV31" s="1117">
        <f t="shared" si="33"/>
        <v>0</v>
      </c>
      <c r="AX31" s="822">
        <f t="shared" si="34"/>
        <v>0</v>
      </c>
      <c r="AY31" s="1117">
        <f t="shared" si="35"/>
        <v>0</v>
      </c>
      <c r="AZ31" s="407"/>
      <c r="BA31" s="407"/>
      <c r="BB31" s="407"/>
      <c r="BC31" s="407"/>
      <c r="BD31" s="407"/>
    </row>
    <row r="32" spans="1:56" x14ac:dyDescent="0.2">
      <c r="A32" s="407"/>
      <c r="B32" s="638">
        <f t="shared" si="36"/>
        <v>0</v>
      </c>
      <c r="C32" s="639"/>
      <c r="D32" s="626"/>
      <c r="E32" s="660"/>
      <c r="F32" s="627"/>
      <c r="G32" s="661"/>
      <c r="H32" s="628"/>
      <c r="I32" s="629">
        <f t="shared" si="0"/>
        <v>0</v>
      </c>
      <c r="J32" s="629">
        <f t="shared" si="1"/>
        <v>0</v>
      </c>
      <c r="K32" s="630">
        <f t="shared" si="2"/>
        <v>0</v>
      </c>
      <c r="L32" s="631">
        <f t="shared" si="3"/>
        <v>0</v>
      </c>
      <c r="M32" s="631">
        <f t="shared" si="4"/>
        <v>0</v>
      </c>
      <c r="N32" s="640">
        <f t="shared" si="5"/>
        <v>0</v>
      </c>
      <c r="O32" s="632">
        <f t="shared" si="6"/>
        <v>0</v>
      </c>
      <c r="P32" s="632">
        <f t="shared" si="10"/>
        <v>0</v>
      </c>
      <c r="Q32" s="632">
        <f t="shared" si="7"/>
        <v>0</v>
      </c>
      <c r="R32" s="632">
        <f t="shared" si="8"/>
        <v>0</v>
      </c>
      <c r="S32" s="641">
        <f t="shared" si="9"/>
        <v>0</v>
      </c>
      <c r="T32" s="411"/>
      <c r="U32" s="411"/>
      <c r="V32" s="666">
        <f t="shared" si="11"/>
        <v>0</v>
      </c>
      <c r="W32" s="666">
        <f t="shared" si="12"/>
        <v>0</v>
      </c>
      <c r="X32" s="664">
        <f t="shared" si="13"/>
        <v>0</v>
      </c>
      <c r="Y32" s="1052">
        <f t="shared" si="14"/>
        <v>0</v>
      </c>
      <c r="Z32" s="431">
        <f t="shared" si="15"/>
        <v>0</v>
      </c>
      <c r="AA32" s="1052">
        <f t="shared" si="16"/>
        <v>0</v>
      </c>
      <c r="AB32" s="431">
        <f t="shared" si="17"/>
        <v>0</v>
      </c>
      <c r="AC32" s="1121">
        <f t="shared" si="18"/>
        <v>0</v>
      </c>
      <c r="AD32" s="642">
        <f t="shared" si="19"/>
        <v>0</v>
      </c>
      <c r="AE32" s="431">
        <f t="shared" si="20"/>
        <v>0</v>
      </c>
      <c r="AF32" s="518">
        <f t="shared" si="21"/>
        <v>0</v>
      </c>
      <c r="AG32" s="1057">
        <f>IF(OR(AND(F32=$AV$53,OR('Resurface, Milling, Agg.'!$F$65='Resurface, Milling, Agg.'!$AA$62,'Resurface, Milling, Agg.'!$F$65='Resurface, Milling, Agg.'!$AA$64)),F32=$AV$54,F32=$AV$55,F32=$AV$56,F32=$AV$57,F32=$AV$58,F32=$AV$59),(($C32-$B32)*4/40),IF(F32=$AV$62,$C32-$B32,IF(OR(F32=$AV$60,F32=$AV$61),2*($C32-$B32),0)))</f>
        <v>0</v>
      </c>
      <c r="AH32" s="1055">
        <f t="shared" si="22"/>
        <v>0</v>
      </c>
      <c r="AI32" s="643">
        <f t="shared" si="23"/>
        <v>0</v>
      </c>
      <c r="AJ32" s="635">
        <f t="shared" si="24"/>
        <v>0</v>
      </c>
      <c r="AK32" s="1061">
        <f t="shared" si="25"/>
        <v>0</v>
      </c>
      <c r="AL32" s="1063">
        <f>IF(AND(F32=$AV$53,OR('Resurface, Milling, Agg.'!$F$65='Resurface, Milling, Agg.'!$AA$62,'Resurface, Milling, Agg.'!$F$65='Resurface, Milling, Agg.'!$AA$64)),ROUNDUP(($C32-$B32)/40,0),
IF(OR(F32=$AV$55,F32=$AV$56,F32=$AV$57,F32=$AV$58,F32=$AV$62),ROUNDUP(($C32-$B32)/40,0),
IF(OR(F32=$AV$59,F32=$AV$60,F32=$AV$61),2*ROUNDUP(($C32-$B32)/40,0),
IF(F32=$AV$54,ROUNDUP(($C32-$B32)/80,0),0))))</f>
        <v>0</v>
      </c>
      <c r="AM32" s="635">
        <f t="shared" si="26"/>
        <v>0</v>
      </c>
      <c r="AN32" s="635">
        <f t="shared" si="27"/>
        <v>0</v>
      </c>
      <c r="AO32" s="635">
        <f t="shared" si="28"/>
        <v>0</v>
      </c>
      <c r="AP32" s="635">
        <f t="shared" si="29"/>
        <v>0</v>
      </c>
      <c r="AQ32" s="635">
        <f t="shared" si="30"/>
        <v>0</v>
      </c>
      <c r="AR32" s="1064">
        <f t="shared" si="31"/>
        <v>0</v>
      </c>
      <c r="AS32" s="1009"/>
      <c r="AT32" s="636"/>
      <c r="AU32" s="822">
        <f t="shared" si="32"/>
        <v>0</v>
      </c>
      <c r="AV32" s="1117">
        <f t="shared" si="33"/>
        <v>0</v>
      </c>
      <c r="AX32" s="822">
        <f t="shared" si="34"/>
        <v>0</v>
      </c>
      <c r="AY32" s="1117">
        <f t="shared" si="35"/>
        <v>0</v>
      </c>
      <c r="AZ32" s="407"/>
      <c r="BA32" s="407"/>
      <c r="BB32" s="407"/>
      <c r="BC32" s="407"/>
      <c r="BD32" s="407"/>
    </row>
    <row r="33" spans="1:56" x14ac:dyDescent="0.2">
      <c r="A33" s="407"/>
      <c r="B33" s="638">
        <f t="shared" si="36"/>
        <v>0</v>
      </c>
      <c r="C33" s="639"/>
      <c r="D33" s="626"/>
      <c r="E33" s="660"/>
      <c r="F33" s="627"/>
      <c r="G33" s="661"/>
      <c r="H33" s="628"/>
      <c r="I33" s="629">
        <f t="shared" si="0"/>
        <v>0</v>
      </c>
      <c r="J33" s="629">
        <f t="shared" si="1"/>
        <v>0</v>
      </c>
      <c r="K33" s="630">
        <f t="shared" si="2"/>
        <v>0</v>
      </c>
      <c r="L33" s="631">
        <f t="shared" si="3"/>
        <v>0</v>
      </c>
      <c r="M33" s="631">
        <f t="shared" si="4"/>
        <v>0</v>
      </c>
      <c r="N33" s="640">
        <f t="shared" si="5"/>
        <v>0</v>
      </c>
      <c r="O33" s="632">
        <f t="shared" si="6"/>
        <v>0</v>
      </c>
      <c r="P33" s="632">
        <f t="shared" si="10"/>
        <v>0</v>
      </c>
      <c r="Q33" s="632">
        <f t="shared" si="7"/>
        <v>0</v>
      </c>
      <c r="R33" s="632">
        <f t="shared" si="8"/>
        <v>0</v>
      </c>
      <c r="S33" s="641">
        <f t="shared" si="9"/>
        <v>0</v>
      </c>
      <c r="T33" s="411"/>
      <c r="U33" s="411"/>
      <c r="V33" s="666">
        <f t="shared" si="11"/>
        <v>0</v>
      </c>
      <c r="W33" s="666">
        <f t="shared" si="12"/>
        <v>0</v>
      </c>
      <c r="X33" s="664">
        <f t="shared" si="13"/>
        <v>0</v>
      </c>
      <c r="Y33" s="1052">
        <f t="shared" si="14"/>
        <v>0</v>
      </c>
      <c r="Z33" s="431">
        <f t="shared" si="15"/>
        <v>0</v>
      </c>
      <c r="AA33" s="1052">
        <f t="shared" si="16"/>
        <v>0</v>
      </c>
      <c r="AB33" s="431">
        <f t="shared" si="17"/>
        <v>0</v>
      </c>
      <c r="AC33" s="1121">
        <f t="shared" si="18"/>
        <v>0</v>
      </c>
      <c r="AD33" s="642">
        <f t="shared" si="19"/>
        <v>0</v>
      </c>
      <c r="AE33" s="431">
        <f t="shared" si="20"/>
        <v>0</v>
      </c>
      <c r="AF33" s="518">
        <f t="shared" si="21"/>
        <v>0</v>
      </c>
      <c r="AG33" s="1057">
        <f>IF(OR(AND(F33=$AV$53,OR('Resurface, Milling, Agg.'!$F$65='Resurface, Milling, Agg.'!$AA$62,'Resurface, Milling, Agg.'!$F$65='Resurface, Milling, Agg.'!$AA$64)),F33=$AV$54,F33=$AV$55,F33=$AV$56,F33=$AV$57,F33=$AV$58,F33=$AV$59),(($C33-$B33)*4/40),IF(F33=$AV$62,$C33-$B33,IF(OR(F33=$AV$60,F33=$AV$61),2*($C33-$B33),0)))</f>
        <v>0</v>
      </c>
      <c r="AH33" s="1055">
        <f t="shared" si="22"/>
        <v>0</v>
      </c>
      <c r="AI33" s="643">
        <f t="shared" si="23"/>
        <v>0</v>
      </c>
      <c r="AJ33" s="635">
        <f t="shared" si="24"/>
        <v>0</v>
      </c>
      <c r="AK33" s="1061">
        <f t="shared" si="25"/>
        <v>0</v>
      </c>
      <c r="AL33" s="1063">
        <f>IF(AND(F33=$AV$53,OR('Resurface, Milling, Agg.'!$F$65='Resurface, Milling, Agg.'!$AA$62,'Resurface, Milling, Agg.'!$F$65='Resurface, Milling, Agg.'!$AA$64)),ROUNDUP(($C33-$B33)/40,0),
IF(OR(F33=$AV$55,F33=$AV$56,F33=$AV$57,F33=$AV$58,F33=$AV$62),ROUNDUP(($C33-$B33)/40,0),
IF(OR(F33=$AV$59,F33=$AV$60,F33=$AV$61),2*ROUNDUP(($C33-$B33)/40,0),
IF(F33=$AV$54,ROUNDUP(($C33-$B33)/80,0),0))))</f>
        <v>0</v>
      </c>
      <c r="AM33" s="635">
        <f t="shared" si="26"/>
        <v>0</v>
      </c>
      <c r="AN33" s="635">
        <f t="shared" si="27"/>
        <v>0</v>
      </c>
      <c r="AO33" s="635">
        <f t="shared" si="28"/>
        <v>0</v>
      </c>
      <c r="AP33" s="635">
        <f t="shared" si="29"/>
        <v>0</v>
      </c>
      <c r="AQ33" s="635">
        <f t="shared" si="30"/>
        <v>0</v>
      </c>
      <c r="AR33" s="1064">
        <f t="shared" si="31"/>
        <v>0</v>
      </c>
      <c r="AS33" s="1009"/>
      <c r="AT33" s="636"/>
      <c r="AU33" s="822">
        <f t="shared" si="32"/>
        <v>0</v>
      </c>
      <c r="AV33" s="1117">
        <f t="shared" si="33"/>
        <v>0</v>
      </c>
      <c r="AX33" s="822">
        <f t="shared" si="34"/>
        <v>0</v>
      </c>
      <c r="AY33" s="1117">
        <f t="shared" si="35"/>
        <v>0</v>
      </c>
      <c r="AZ33" s="407"/>
      <c r="BA33" s="407"/>
      <c r="BB33" s="407"/>
      <c r="BC33" s="407"/>
      <c r="BD33" s="407"/>
    </row>
    <row r="34" spans="1:56" x14ac:dyDescent="0.2">
      <c r="A34" s="407"/>
      <c r="B34" s="638">
        <f t="shared" si="36"/>
        <v>0</v>
      </c>
      <c r="C34" s="639"/>
      <c r="D34" s="626"/>
      <c r="E34" s="660"/>
      <c r="F34" s="627"/>
      <c r="G34" s="661"/>
      <c r="H34" s="628"/>
      <c r="I34" s="629">
        <f t="shared" si="0"/>
        <v>0</v>
      </c>
      <c r="J34" s="629">
        <f t="shared" si="1"/>
        <v>0</v>
      </c>
      <c r="K34" s="630">
        <f t="shared" si="2"/>
        <v>0</v>
      </c>
      <c r="L34" s="631">
        <f t="shared" si="3"/>
        <v>0</v>
      </c>
      <c r="M34" s="631">
        <f t="shared" si="4"/>
        <v>0</v>
      </c>
      <c r="N34" s="640">
        <f t="shared" si="5"/>
        <v>0</v>
      </c>
      <c r="O34" s="632">
        <f t="shared" si="6"/>
        <v>0</v>
      </c>
      <c r="P34" s="632">
        <f t="shared" si="10"/>
        <v>0</v>
      </c>
      <c r="Q34" s="632">
        <f t="shared" si="7"/>
        <v>0</v>
      </c>
      <c r="R34" s="632">
        <f t="shared" si="8"/>
        <v>0</v>
      </c>
      <c r="S34" s="641">
        <f t="shared" si="9"/>
        <v>0</v>
      </c>
      <c r="T34" s="411"/>
      <c r="U34" s="411"/>
      <c r="V34" s="666">
        <f t="shared" si="11"/>
        <v>0</v>
      </c>
      <c r="W34" s="666">
        <f t="shared" si="12"/>
        <v>0</v>
      </c>
      <c r="X34" s="664">
        <f t="shared" si="13"/>
        <v>0</v>
      </c>
      <c r="Y34" s="1052">
        <f t="shared" si="14"/>
        <v>0</v>
      </c>
      <c r="Z34" s="431">
        <f t="shared" si="15"/>
        <v>0</v>
      </c>
      <c r="AA34" s="1052">
        <f t="shared" si="16"/>
        <v>0</v>
      </c>
      <c r="AB34" s="431">
        <f t="shared" si="17"/>
        <v>0</v>
      </c>
      <c r="AC34" s="1121">
        <f t="shared" si="18"/>
        <v>0</v>
      </c>
      <c r="AD34" s="642">
        <f t="shared" si="19"/>
        <v>0</v>
      </c>
      <c r="AE34" s="431">
        <f t="shared" si="20"/>
        <v>0</v>
      </c>
      <c r="AF34" s="518">
        <f t="shared" si="21"/>
        <v>0</v>
      </c>
      <c r="AG34" s="1057">
        <f>IF(OR(AND(F34=$AV$53,OR('Resurface, Milling, Agg.'!$F$65='Resurface, Milling, Agg.'!$AA$62,'Resurface, Milling, Agg.'!$F$65='Resurface, Milling, Agg.'!$AA$64)),F34=$AV$54,F34=$AV$55,F34=$AV$56,F34=$AV$57,F34=$AV$58,F34=$AV$59),(($C34-$B34)*4/40),IF(F34=$AV$62,$C34-$B34,IF(OR(F34=$AV$60,F34=$AV$61),2*($C34-$B34),0)))</f>
        <v>0</v>
      </c>
      <c r="AH34" s="1055">
        <f t="shared" si="22"/>
        <v>0</v>
      </c>
      <c r="AI34" s="643">
        <f t="shared" si="23"/>
        <v>0</v>
      </c>
      <c r="AJ34" s="635">
        <f t="shared" si="24"/>
        <v>0</v>
      </c>
      <c r="AK34" s="1061">
        <f t="shared" si="25"/>
        <v>0</v>
      </c>
      <c r="AL34" s="1063">
        <f>IF(AND(F34=$AV$53,OR('Resurface, Milling, Agg.'!$F$65='Resurface, Milling, Agg.'!$AA$62,'Resurface, Milling, Agg.'!$F$65='Resurface, Milling, Agg.'!$AA$64)),ROUNDUP(($C34-$B34)/40,0),
IF(OR(F34=$AV$55,F34=$AV$56,F34=$AV$57,F34=$AV$58,F34=$AV$62),ROUNDUP(($C34-$B34)/40,0),
IF(OR(F34=$AV$59,F34=$AV$60,F34=$AV$61),2*ROUNDUP(($C34-$B34)/40,0),
IF(F34=$AV$54,ROUNDUP(($C34-$B34)/80,0),0))))</f>
        <v>0</v>
      </c>
      <c r="AM34" s="635">
        <f t="shared" si="26"/>
        <v>0</v>
      </c>
      <c r="AN34" s="635">
        <f t="shared" si="27"/>
        <v>0</v>
      </c>
      <c r="AO34" s="635">
        <f t="shared" si="28"/>
        <v>0</v>
      </c>
      <c r="AP34" s="635">
        <f t="shared" si="29"/>
        <v>0</v>
      </c>
      <c r="AQ34" s="635">
        <f t="shared" si="30"/>
        <v>0</v>
      </c>
      <c r="AR34" s="1064">
        <f t="shared" si="31"/>
        <v>0</v>
      </c>
      <c r="AS34" s="1009"/>
      <c r="AT34" s="636"/>
      <c r="AU34" s="822">
        <f t="shared" si="32"/>
        <v>0</v>
      </c>
      <c r="AV34" s="1117">
        <f t="shared" si="33"/>
        <v>0</v>
      </c>
      <c r="AX34" s="822">
        <f t="shared" si="34"/>
        <v>0</v>
      </c>
      <c r="AY34" s="1117">
        <f t="shared" si="35"/>
        <v>0</v>
      </c>
      <c r="AZ34" s="407"/>
      <c r="BA34" s="407"/>
      <c r="BB34" s="407"/>
      <c r="BC34" s="407"/>
      <c r="BD34" s="407"/>
    </row>
    <row r="35" spans="1:56" x14ac:dyDescent="0.2">
      <c r="A35" s="407"/>
      <c r="B35" s="638">
        <f t="shared" si="36"/>
        <v>0</v>
      </c>
      <c r="C35" s="639"/>
      <c r="D35" s="626"/>
      <c r="E35" s="660"/>
      <c r="F35" s="627"/>
      <c r="G35" s="661"/>
      <c r="H35" s="628"/>
      <c r="I35" s="629">
        <f t="shared" si="0"/>
        <v>0</v>
      </c>
      <c r="J35" s="629">
        <f t="shared" si="1"/>
        <v>0</v>
      </c>
      <c r="K35" s="630">
        <f t="shared" si="2"/>
        <v>0</v>
      </c>
      <c r="L35" s="631">
        <f t="shared" si="3"/>
        <v>0</v>
      </c>
      <c r="M35" s="631">
        <f t="shared" si="4"/>
        <v>0</v>
      </c>
      <c r="N35" s="640">
        <f t="shared" si="5"/>
        <v>0</v>
      </c>
      <c r="O35" s="632">
        <f t="shared" si="6"/>
        <v>0</v>
      </c>
      <c r="P35" s="632">
        <f t="shared" si="10"/>
        <v>0</v>
      </c>
      <c r="Q35" s="632">
        <f t="shared" si="7"/>
        <v>0</v>
      </c>
      <c r="R35" s="632">
        <f t="shared" si="8"/>
        <v>0</v>
      </c>
      <c r="S35" s="641">
        <f t="shared" si="9"/>
        <v>0</v>
      </c>
      <c r="T35" s="411"/>
      <c r="U35" s="411"/>
      <c r="V35" s="666">
        <f t="shared" si="11"/>
        <v>0</v>
      </c>
      <c r="W35" s="666">
        <f t="shared" si="12"/>
        <v>0</v>
      </c>
      <c r="X35" s="664">
        <f t="shared" si="13"/>
        <v>0</v>
      </c>
      <c r="Y35" s="1052">
        <f t="shared" si="14"/>
        <v>0</v>
      </c>
      <c r="Z35" s="431">
        <f t="shared" si="15"/>
        <v>0</v>
      </c>
      <c r="AA35" s="1052">
        <f t="shared" si="16"/>
        <v>0</v>
      </c>
      <c r="AB35" s="431">
        <f t="shared" si="17"/>
        <v>0</v>
      </c>
      <c r="AC35" s="1121">
        <f t="shared" si="18"/>
        <v>0</v>
      </c>
      <c r="AD35" s="642">
        <f t="shared" si="19"/>
        <v>0</v>
      </c>
      <c r="AE35" s="431">
        <f t="shared" si="20"/>
        <v>0</v>
      </c>
      <c r="AF35" s="518">
        <f t="shared" si="21"/>
        <v>0</v>
      </c>
      <c r="AG35" s="1057">
        <f>IF(OR(AND(F35=$AV$53,OR('Resurface, Milling, Agg.'!$F$65='Resurface, Milling, Agg.'!$AA$62,'Resurface, Milling, Agg.'!$F$65='Resurface, Milling, Agg.'!$AA$64)),F35=$AV$54,F35=$AV$55,F35=$AV$56,F35=$AV$57,F35=$AV$58,F35=$AV$59),(($C35-$B35)*4/40),IF(F35=$AV$62,$C35-$B35,IF(OR(F35=$AV$60,F35=$AV$61),2*($C35-$B35),0)))</f>
        <v>0</v>
      </c>
      <c r="AH35" s="1055">
        <f t="shared" si="22"/>
        <v>0</v>
      </c>
      <c r="AI35" s="643">
        <f t="shared" si="23"/>
        <v>0</v>
      </c>
      <c r="AJ35" s="635">
        <f t="shared" si="24"/>
        <v>0</v>
      </c>
      <c r="AK35" s="1061">
        <f t="shared" si="25"/>
        <v>0</v>
      </c>
      <c r="AL35" s="1063">
        <f>IF(AND(F35=$AV$53,OR('Resurface, Milling, Agg.'!$F$65='Resurface, Milling, Agg.'!$AA$62,'Resurface, Milling, Agg.'!$F$65='Resurface, Milling, Agg.'!$AA$64)),ROUNDUP(($C35-$B35)/40,0),
IF(OR(F35=$AV$55,F35=$AV$56,F35=$AV$57,F35=$AV$58,F35=$AV$62),ROUNDUP(($C35-$B35)/40,0),
IF(OR(F35=$AV$59,F35=$AV$60,F35=$AV$61),2*ROUNDUP(($C35-$B35)/40,0),
IF(F35=$AV$54,ROUNDUP(($C35-$B35)/80,0),0))))</f>
        <v>0</v>
      </c>
      <c r="AM35" s="635">
        <f t="shared" si="26"/>
        <v>0</v>
      </c>
      <c r="AN35" s="635">
        <f t="shared" si="27"/>
        <v>0</v>
      </c>
      <c r="AO35" s="635">
        <f t="shared" si="28"/>
        <v>0</v>
      </c>
      <c r="AP35" s="635">
        <f t="shared" si="29"/>
        <v>0</v>
      </c>
      <c r="AQ35" s="635">
        <f t="shared" si="30"/>
        <v>0</v>
      </c>
      <c r="AR35" s="1064">
        <f t="shared" si="31"/>
        <v>0</v>
      </c>
      <c r="AS35" s="1009"/>
      <c r="AT35" s="636"/>
      <c r="AU35" s="822">
        <f t="shared" si="32"/>
        <v>0</v>
      </c>
      <c r="AV35" s="1117">
        <f t="shared" si="33"/>
        <v>0</v>
      </c>
      <c r="AX35" s="822">
        <f t="shared" si="34"/>
        <v>0</v>
      </c>
      <c r="AY35" s="1117">
        <f t="shared" si="35"/>
        <v>0</v>
      </c>
      <c r="AZ35" s="407"/>
      <c r="BA35" s="407"/>
      <c r="BB35" s="407"/>
      <c r="BC35" s="407"/>
      <c r="BD35" s="407"/>
    </row>
    <row r="36" spans="1:56" x14ac:dyDescent="0.2">
      <c r="A36" s="407"/>
      <c r="B36" s="638">
        <f t="shared" si="36"/>
        <v>0</v>
      </c>
      <c r="C36" s="639"/>
      <c r="D36" s="626"/>
      <c r="E36" s="660"/>
      <c r="F36" s="627"/>
      <c r="G36" s="661"/>
      <c r="H36" s="628"/>
      <c r="I36" s="629">
        <f t="shared" si="0"/>
        <v>0</v>
      </c>
      <c r="J36" s="629">
        <f t="shared" si="1"/>
        <v>0</v>
      </c>
      <c r="K36" s="630">
        <f t="shared" si="2"/>
        <v>0</v>
      </c>
      <c r="L36" s="631">
        <f t="shared" si="3"/>
        <v>0</v>
      </c>
      <c r="M36" s="631">
        <f t="shared" si="4"/>
        <v>0</v>
      </c>
      <c r="N36" s="640">
        <f t="shared" si="5"/>
        <v>0</v>
      </c>
      <c r="O36" s="632">
        <f t="shared" si="6"/>
        <v>0</v>
      </c>
      <c r="P36" s="632">
        <f t="shared" si="10"/>
        <v>0</v>
      </c>
      <c r="Q36" s="632">
        <f t="shared" si="7"/>
        <v>0</v>
      </c>
      <c r="R36" s="632">
        <f t="shared" si="8"/>
        <v>0</v>
      </c>
      <c r="S36" s="641">
        <f t="shared" si="9"/>
        <v>0</v>
      </c>
      <c r="T36" s="411"/>
      <c r="U36" s="411"/>
      <c r="V36" s="666">
        <f t="shared" si="11"/>
        <v>0</v>
      </c>
      <c r="W36" s="666">
        <f t="shared" si="12"/>
        <v>0</v>
      </c>
      <c r="X36" s="664">
        <f t="shared" si="13"/>
        <v>0</v>
      </c>
      <c r="Y36" s="1052">
        <f t="shared" si="14"/>
        <v>0</v>
      </c>
      <c r="Z36" s="431">
        <f t="shared" si="15"/>
        <v>0</v>
      </c>
      <c r="AA36" s="1052">
        <f t="shared" si="16"/>
        <v>0</v>
      </c>
      <c r="AB36" s="431">
        <f t="shared" si="17"/>
        <v>0</v>
      </c>
      <c r="AC36" s="1121">
        <f t="shared" si="18"/>
        <v>0</v>
      </c>
      <c r="AD36" s="642">
        <f t="shared" si="19"/>
        <v>0</v>
      </c>
      <c r="AE36" s="431">
        <f t="shared" si="20"/>
        <v>0</v>
      </c>
      <c r="AF36" s="518">
        <f t="shared" si="21"/>
        <v>0</v>
      </c>
      <c r="AG36" s="1057">
        <f>IF(OR(AND(F36=$AV$53,OR('Resurface, Milling, Agg.'!$F$65='Resurface, Milling, Agg.'!$AA$62,'Resurface, Milling, Agg.'!$F$65='Resurface, Milling, Agg.'!$AA$64)),F36=$AV$54,F36=$AV$55,F36=$AV$56,F36=$AV$57,F36=$AV$58,F36=$AV$59),(($C36-$B36)*4/40),IF(F36=$AV$62,$C36-$B36,IF(OR(F36=$AV$60,F36=$AV$61),2*($C36-$B36),0)))</f>
        <v>0</v>
      </c>
      <c r="AH36" s="1055">
        <f t="shared" si="22"/>
        <v>0</v>
      </c>
      <c r="AI36" s="643">
        <f t="shared" si="23"/>
        <v>0</v>
      </c>
      <c r="AJ36" s="635">
        <f t="shared" si="24"/>
        <v>0</v>
      </c>
      <c r="AK36" s="1061">
        <f t="shared" si="25"/>
        <v>0</v>
      </c>
      <c r="AL36" s="1063">
        <f>IF(AND(F36=$AV$53,OR('Resurface, Milling, Agg.'!$F$65='Resurface, Milling, Agg.'!$AA$62,'Resurface, Milling, Agg.'!$F$65='Resurface, Milling, Agg.'!$AA$64)),ROUNDUP(($C36-$B36)/40,0),
IF(OR(F36=$AV$55,F36=$AV$56,F36=$AV$57,F36=$AV$58,F36=$AV$62),ROUNDUP(($C36-$B36)/40,0),
IF(OR(F36=$AV$59,F36=$AV$60,F36=$AV$61),2*ROUNDUP(($C36-$B36)/40,0),
IF(F36=$AV$54,ROUNDUP(($C36-$B36)/80,0),0))))</f>
        <v>0</v>
      </c>
      <c r="AM36" s="635">
        <f t="shared" si="26"/>
        <v>0</v>
      </c>
      <c r="AN36" s="635">
        <f t="shared" si="27"/>
        <v>0</v>
      </c>
      <c r="AO36" s="635">
        <f t="shared" si="28"/>
        <v>0</v>
      </c>
      <c r="AP36" s="635">
        <f t="shared" si="29"/>
        <v>0</v>
      </c>
      <c r="AQ36" s="635">
        <f t="shared" si="30"/>
        <v>0</v>
      </c>
      <c r="AR36" s="1064">
        <f t="shared" si="31"/>
        <v>0</v>
      </c>
      <c r="AS36" s="1009"/>
      <c r="AT36" s="636"/>
      <c r="AU36" s="822">
        <f t="shared" si="32"/>
        <v>0</v>
      </c>
      <c r="AV36" s="1117">
        <f t="shared" si="33"/>
        <v>0</v>
      </c>
      <c r="AX36" s="822">
        <f t="shared" si="34"/>
        <v>0</v>
      </c>
      <c r="AY36" s="1117">
        <f t="shared" si="35"/>
        <v>0</v>
      </c>
      <c r="AZ36" s="407"/>
      <c r="BA36" s="407"/>
      <c r="BB36" s="407"/>
      <c r="BC36" s="407"/>
      <c r="BD36" s="407"/>
    </row>
    <row r="37" spans="1:56" x14ac:dyDescent="0.2">
      <c r="A37" s="407"/>
      <c r="B37" s="638">
        <f t="shared" si="36"/>
        <v>0</v>
      </c>
      <c r="C37" s="639"/>
      <c r="D37" s="626"/>
      <c r="E37" s="660"/>
      <c r="F37" s="627"/>
      <c r="G37" s="661"/>
      <c r="H37" s="628"/>
      <c r="I37" s="629">
        <f t="shared" si="0"/>
        <v>0</v>
      </c>
      <c r="J37" s="629">
        <f t="shared" si="1"/>
        <v>0</v>
      </c>
      <c r="K37" s="630">
        <f t="shared" si="2"/>
        <v>0</v>
      </c>
      <c r="L37" s="631">
        <f t="shared" si="3"/>
        <v>0</v>
      </c>
      <c r="M37" s="631">
        <f t="shared" si="4"/>
        <v>0</v>
      </c>
      <c r="N37" s="640">
        <f t="shared" si="5"/>
        <v>0</v>
      </c>
      <c r="O37" s="632">
        <f t="shared" si="6"/>
        <v>0</v>
      </c>
      <c r="P37" s="632">
        <f t="shared" si="10"/>
        <v>0</v>
      </c>
      <c r="Q37" s="632">
        <f t="shared" si="7"/>
        <v>0</v>
      </c>
      <c r="R37" s="632">
        <f t="shared" si="8"/>
        <v>0</v>
      </c>
      <c r="S37" s="641">
        <f t="shared" si="9"/>
        <v>0</v>
      </c>
      <c r="T37" s="411"/>
      <c r="U37" s="411"/>
      <c r="V37" s="666">
        <f t="shared" si="11"/>
        <v>0</v>
      </c>
      <c r="W37" s="666">
        <f t="shared" si="12"/>
        <v>0</v>
      </c>
      <c r="X37" s="664">
        <f t="shared" si="13"/>
        <v>0</v>
      </c>
      <c r="Y37" s="1052">
        <f t="shared" si="14"/>
        <v>0</v>
      </c>
      <c r="Z37" s="431">
        <f t="shared" si="15"/>
        <v>0</v>
      </c>
      <c r="AA37" s="1052">
        <f t="shared" si="16"/>
        <v>0</v>
      </c>
      <c r="AB37" s="431">
        <f t="shared" si="17"/>
        <v>0</v>
      </c>
      <c r="AC37" s="1121">
        <f t="shared" si="18"/>
        <v>0</v>
      </c>
      <c r="AD37" s="642">
        <f t="shared" si="19"/>
        <v>0</v>
      </c>
      <c r="AE37" s="431">
        <f t="shared" si="20"/>
        <v>0</v>
      </c>
      <c r="AF37" s="518">
        <f t="shared" si="21"/>
        <v>0</v>
      </c>
      <c r="AG37" s="1057">
        <f>IF(OR(AND(F37=$AV$53,OR('Resurface, Milling, Agg.'!$F$65='Resurface, Milling, Agg.'!$AA$62,'Resurface, Milling, Agg.'!$F$65='Resurface, Milling, Agg.'!$AA$64)),F37=$AV$54,F37=$AV$55,F37=$AV$56,F37=$AV$57,F37=$AV$58,F37=$AV$59),(($C37-$B37)*4/40),IF(F37=$AV$62,$C37-$B37,IF(OR(F37=$AV$60,F37=$AV$61),2*($C37-$B37),0)))</f>
        <v>0</v>
      </c>
      <c r="AH37" s="1055">
        <f t="shared" si="22"/>
        <v>0</v>
      </c>
      <c r="AI37" s="643">
        <f t="shared" si="23"/>
        <v>0</v>
      </c>
      <c r="AJ37" s="635">
        <f t="shared" si="24"/>
        <v>0</v>
      </c>
      <c r="AK37" s="1061">
        <f t="shared" si="25"/>
        <v>0</v>
      </c>
      <c r="AL37" s="1063">
        <f>IF(AND(F37=$AV$53,OR('Resurface, Milling, Agg.'!$F$65='Resurface, Milling, Agg.'!$AA$62,'Resurface, Milling, Agg.'!$F$65='Resurface, Milling, Agg.'!$AA$64)),ROUNDUP(($C37-$B37)/40,0),
IF(OR(F37=$AV$55,F37=$AV$56,F37=$AV$57,F37=$AV$58,F37=$AV$62),ROUNDUP(($C37-$B37)/40,0),
IF(OR(F37=$AV$59,F37=$AV$60,F37=$AV$61),2*ROUNDUP(($C37-$B37)/40,0),
IF(F37=$AV$54,ROUNDUP(($C37-$B37)/80,0),0))))</f>
        <v>0</v>
      </c>
      <c r="AM37" s="635">
        <f t="shared" si="26"/>
        <v>0</v>
      </c>
      <c r="AN37" s="635">
        <f t="shared" si="27"/>
        <v>0</v>
      </c>
      <c r="AO37" s="635">
        <f t="shared" si="28"/>
        <v>0</v>
      </c>
      <c r="AP37" s="635">
        <f t="shared" si="29"/>
        <v>0</v>
      </c>
      <c r="AQ37" s="635">
        <f t="shared" si="30"/>
        <v>0</v>
      </c>
      <c r="AR37" s="1064">
        <f t="shared" si="31"/>
        <v>0</v>
      </c>
      <c r="AS37" s="1009"/>
      <c r="AT37" s="636"/>
      <c r="AU37" s="822">
        <f t="shared" si="32"/>
        <v>0</v>
      </c>
      <c r="AV37" s="1117">
        <f t="shared" si="33"/>
        <v>0</v>
      </c>
      <c r="AX37" s="822">
        <f t="shared" si="34"/>
        <v>0</v>
      </c>
      <c r="AY37" s="1117">
        <f t="shared" si="35"/>
        <v>0</v>
      </c>
      <c r="AZ37" s="407"/>
      <c r="BA37" s="407"/>
      <c r="BB37" s="407"/>
      <c r="BC37" s="407"/>
      <c r="BD37" s="407"/>
    </row>
    <row r="38" spans="1:56" x14ac:dyDescent="0.2">
      <c r="A38" s="407"/>
      <c r="B38" s="638">
        <f t="shared" si="36"/>
        <v>0</v>
      </c>
      <c r="C38" s="639"/>
      <c r="D38" s="626"/>
      <c r="E38" s="660"/>
      <c r="F38" s="627"/>
      <c r="G38" s="661"/>
      <c r="H38" s="628"/>
      <c r="I38" s="629">
        <f t="shared" si="0"/>
        <v>0</v>
      </c>
      <c r="J38" s="629">
        <f t="shared" si="1"/>
        <v>0</v>
      </c>
      <c r="K38" s="630">
        <f t="shared" si="2"/>
        <v>0</v>
      </c>
      <c r="L38" s="631">
        <f t="shared" si="3"/>
        <v>0</v>
      </c>
      <c r="M38" s="631">
        <f t="shared" si="4"/>
        <v>0</v>
      </c>
      <c r="N38" s="640">
        <f t="shared" si="5"/>
        <v>0</v>
      </c>
      <c r="O38" s="632">
        <f t="shared" si="6"/>
        <v>0</v>
      </c>
      <c r="P38" s="632">
        <f t="shared" si="10"/>
        <v>0</v>
      </c>
      <c r="Q38" s="632">
        <f t="shared" si="7"/>
        <v>0</v>
      </c>
      <c r="R38" s="632">
        <f t="shared" si="8"/>
        <v>0</v>
      </c>
      <c r="S38" s="641">
        <f t="shared" si="9"/>
        <v>0</v>
      </c>
      <c r="T38" s="411"/>
      <c r="U38" s="411"/>
      <c r="V38" s="666">
        <f t="shared" si="11"/>
        <v>0</v>
      </c>
      <c r="W38" s="666">
        <f t="shared" si="12"/>
        <v>0</v>
      </c>
      <c r="X38" s="664">
        <f t="shared" si="13"/>
        <v>0</v>
      </c>
      <c r="Y38" s="1052">
        <f t="shared" si="14"/>
        <v>0</v>
      </c>
      <c r="Z38" s="431">
        <f t="shared" si="15"/>
        <v>0</v>
      </c>
      <c r="AA38" s="1052">
        <f t="shared" si="16"/>
        <v>0</v>
      </c>
      <c r="AB38" s="431">
        <f t="shared" si="17"/>
        <v>0</v>
      </c>
      <c r="AC38" s="1121">
        <f t="shared" si="18"/>
        <v>0</v>
      </c>
      <c r="AD38" s="642">
        <f t="shared" si="19"/>
        <v>0</v>
      </c>
      <c r="AE38" s="431">
        <f t="shared" si="20"/>
        <v>0</v>
      </c>
      <c r="AF38" s="518">
        <f t="shared" si="21"/>
        <v>0</v>
      </c>
      <c r="AG38" s="1057">
        <f>IF(OR(AND(F38=$AV$53,OR('Resurface, Milling, Agg.'!$F$65='Resurface, Milling, Agg.'!$AA$62,'Resurface, Milling, Agg.'!$F$65='Resurface, Milling, Agg.'!$AA$64)),F38=$AV$54,F38=$AV$55,F38=$AV$56,F38=$AV$57,F38=$AV$58,F38=$AV$59),(($C38-$B38)*4/40),IF(F38=$AV$62,$C38-$B38,IF(OR(F38=$AV$60,F38=$AV$61),2*($C38-$B38),0)))</f>
        <v>0</v>
      </c>
      <c r="AH38" s="1055">
        <f t="shared" si="22"/>
        <v>0</v>
      </c>
      <c r="AI38" s="643">
        <f t="shared" si="23"/>
        <v>0</v>
      </c>
      <c r="AJ38" s="635">
        <f t="shared" si="24"/>
        <v>0</v>
      </c>
      <c r="AK38" s="1061">
        <f t="shared" si="25"/>
        <v>0</v>
      </c>
      <c r="AL38" s="1063">
        <f>IF(AND(F38=$AV$53,OR('Resurface, Milling, Agg.'!$F$65='Resurface, Milling, Agg.'!$AA$62,'Resurface, Milling, Agg.'!$F$65='Resurface, Milling, Agg.'!$AA$64)),ROUNDUP(($C38-$B38)/40,0),
IF(OR(F38=$AV$55,F38=$AV$56,F38=$AV$57,F38=$AV$58,F38=$AV$62),ROUNDUP(($C38-$B38)/40,0),
IF(OR(F38=$AV$59,F38=$AV$60,F38=$AV$61),2*ROUNDUP(($C38-$B38)/40,0),
IF(F38=$AV$54,ROUNDUP(($C38-$B38)/80,0),0))))</f>
        <v>0</v>
      </c>
      <c r="AM38" s="635">
        <f t="shared" si="26"/>
        <v>0</v>
      </c>
      <c r="AN38" s="635">
        <f t="shared" si="27"/>
        <v>0</v>
      </c>
      <c r="AO38" s="635">
        <f t="shared" si="28"/>
        <v>0</v>
      </c>
      <c r="AP38" s="635">
        <f t="shared" si="29"/>
        <v>0</v>
      </c>
      <c r="AQ38" s="635">
        <f t="shared" si="30"/>
        <v>0</v>
      </c>
      <c r="AR38" s="1064">
        <f t="shared" si="31"/>
        <v>0</v>
      </c>
      <c r="AS38" s="1009"/>
      <c r="AT38" s="636"/>
      <c r="AU38" s="822">
        <f t="shared" si="32"/>
        <v>0</v>
      </c>
      <c r="AV38" s="1117">
        <f t="shared" si="33"/>
        <v>0</v>
      </c>
      <c r="AX38" s="822">
        <f t="shared" si="34"/>
        <v>0</v>
      </c>
      <c r="AY38" s="1117">
        <f t="shared" si="35"/>
        <v>0</v>
      </c>
      <c r="AZ38" s="407"/>
      <c r="BA38" s="407"/>
      <c r="BB38" s="407"/>
      <c r="BC38" s="407"/>
      <c r="BD38" s="407"/>
    </row>
    <row r="39" spans="1:56" x14ac:dyDescent="0.2">
      <c r="A39" s="407"/>
      <c r="B39" s="638">
        <f t="shared" si="36"/>
        <v>0</v>
      </c>
      <c r="C39" s="639"/>
      <c r="D39" s="626"/>
      <c r="E39" s="660"/>
      <c r="F39" s="627"/>
      <c r="G39" s="661"/>
      <c r="H39" s="628"/>
      <c r="I39" s="629">
        <f t="shared" si="0"/>
        <v>0</v>
      </c>
      <c r="J39" s="629">
        <f t="shared" si="1"/>
        <v>0</v>
      </c>
      <c r="K39" s="630">
        <f t="shared" si="2"/>
        <v>0</v>
      </c>
      <c r="L39" s="631">
        <f t="shared" si="3"/>
        <v>0</v>
      </c>
      <c r="M39" s="631">
        <f t="shared" si="4"/>
        <v>0</v>
      </c>
      <c r="N39" s="640">
        <f t="shared" si="5"/>
        <v>0</v>
      </c>
      <c r="O39" s="632">
        <f t="shared" si="6"/>
        <v>0</v>
      </c>
      <c r="P39" s="632">
        <f t="shared" si="10"/>
        <v>0</v>
      </c>
      <c r="Q39" s="632">
        <f t="shared" si="7"/>
        <v>0</v>
      </c>
      <c r="R39" s="632">
        <f t="shared" si="8"/>
        <v>0</v>
      </c>
      <c r="S39" s="641">
        <f t="shared" si="9"/>
        <v>0</v>
      </c>
      <c r="T39" s="411"/>
      <c r="U39" s="411"/>
      <c r="V39" s="666">
        <f t="shared" si="11"/>
        <v>0</v>
      </c>
      <c r="W39" s="666">
        <f t="shared" si="12"/>
        <v>0</v>
      </c>
      <c r="X39" s="664">
        <f t="shared" si="13"/>
        <v>0</v>
      </c>
      <c r="Y39" s="1052">
        <f t="shared" si="14"/>
        <v>0</v>
      </c>
      <c r="Z39" s="431">
        <f t="shared" si="15"/>
        <v>0</v>
      </c>
      <c r="AA39" s="1052">
        <f t="shared" si="16"/>
        <v>0</v>
      </c>
      <c r="AB39" s="431">
        <f t="shared" si="17"/>
        <v>0</v>
      </c>
      <c r="AC39" s="1121">
        <f t="shared" si="18"/>
        <v>0</v>
      </c>
      <c r="AD39" s="642">
        <f t="shared" si="19"/>
        <v>0</v>
      </c>
      <c r="AE39" s="431">
        <f t="shared" si="20"/>
        <v>0</v>
      </c>
      <c r="AF39" s="518">
        <f t="shared" si="21"/>
        <v>0</v>
      </c>
      <c r="AG39" s="1057">
        <f>IF(OR(AND(F39=$AV$53,OR('Resurface, Milling, Agg.'!$F$65='Resurface, Milling, Agg.'!$AA$62,'Resurface, Milling, Agg.'!$F$65='Resurface, Milling, Agg.'!$AA$64)),F39=$AV$54,F39=$AV$55,F39=$AV$56,F39=$AV$57,F39=$AV$58,F39=$AV$59),(($C39-$B39)*4/40),IF(F39=$AV$62,$C39-$B39,IF(OR(F39=$AV$60,F39=$AV$61),2*($C39-$B39),0)))</f>
        <v>0</v>
      </c>
      <c r="AH39" s="1055">
        <f t="shared" si="22"/>
        <v>0</v>
      </c>
      <c r="AI39" s="643">
        <f t="shared" si="23"/>
        <v>0</v>
      </c>
      <c r="AJ39" s="635">
        <f t="shared" si="24"/>
        <v>0</v>
      </c>
      <c r="AK39" s="1061">
        <f t="shared" si="25"/>
        <v>0</v>
      </c>
      <c r="AL39" s="1063">
        <f>IF(AND(F39=$AV$53,OR('Resurface, Milling, Agg.'!$F$65='Resurface, Milling, Agg.'!$AA$62,'Resurface, Milling, Agg.'!$F$65='Resurface, Milling, Agg.'!$AA$64)),ROUNDUP(($C39-$B39)/40,0),
IF(OR(F39=$AV$55,F39=$AV$56,F39=$AV$57,F39=$AV$58,F39=$AV$62),ROUNDUP(($C39-$B39)/40,0),
IF(OR(F39=$AV$59,F39=$AV$60,F39=$AV$61),2*ROUNDUP(($C39-$B39)/40,0),
IF(F39=$AV$54,ROUNDUP(($C39-$B39)/80,0),0))))</f>
        <v>0</v>
      </c>
      <c r="AM39" s="635">
        <f t="shared" si="26"/>
        <v>0</v>
      </c>
      <c r="AN39" s="635">
        <f t="shared" si="27"/>
        <v>0</v>
      </c>
      <c r="AO39" s="635">
        <f t="shared" si="28"/>
        <v>0</v>
      </c>
      <c r="AP39" s="635">
        <f t="shared" si="29"/>
        <v>0</v>
      </c>
      <c r="AQ39" s="635">
        <f t="shared" si="30"/>
        <v>0</v>
      </c>
      <c r="AR39" s="1064">
        <f t="shared" si="31"/>
        <v>0</v>
      </c>
      <c r="AS39" s="1009"/>
      <c r="AT39" s="636"/>
      <c r="AU39" s="822">
        <f t="shared" si="32"/>
        <v>0</v>
      </c>
      <c r="AV39" s="1117">
        <f t="shared" si="33"/>
        <v>0</v>
      </c>
      <c r="AX39" s="822">
        <f t="shared" si="34"/>
        <v>0</v>
      </c>
      <c r="AY39" s="1117">
        <f t="shared" si="35"/>
        <v>0</v>
      </c>
      <c r="AZ39" s="407"/>
      <c r="BA39" s="407"/>
      <c r="BB39" s="407"/>
      <c r="BC39" s="407"/>
      <c r="BD39" s="407"/>
    </row>
    <row r="40" spans="1:56" x14ac:dyDescent="0.2">
      <c r="A40" s="407"/>
      <c r="B40" s="638">
        <f t="shared" si="36"/>
        <v>0</v>
      </c>
      <c r="C40" s="639"/>
      <c r="D40" s="626"/>
      <c r="E40" s="660"/>
      <c r="F40" s="627"/>
      <c r="G40" s="661"/>
      <c r="H40" s="628"/>
      <c r="I40" s="629">
        <f t="shared" si="0"/>
        <v>0</v>
      </c>
      <c r="J40" s="629">
        <f t="shared" si="1"/>
        <v>0</v>
      </c>
      <c r="K40" s="630">
        <f t="shared" si="2"/>
        <v>0</v>
      </c>
      <c r="L40" s="631">
        <f t="shared" si="3"/>
        <v>0</v>
      </c>
      <c r="M40" s="631">
        <f t="shared" si="4"/>
        <v>0</v>
      </c>
      <c r="N40" s="640">
        <f t="shared" si="5"/>
        <v>0</v>
      </c>
      <c r="O40" s="632">
        <f t="shared" si="6"/>
        <v>0</v>
      </c>
      <c r="P40" s="632">
        <f t="shared" si="10"/>
        <v>0</v>
      </c>
      <c r="Q40" s="632">
        <f t="shared" si="7"/>
        <v>0</v>
      </c>
      <c r="R40" s="632">
        <f t="shared" si="8"/>
        <v>0</v>
      </c>
      <c r="S40" s="641">
        <f t="shared" si="9"/>
        <v>0</v>
      </c>
      <c r="T40" s="411"/>
      <c r="U40" s="411"/>
      <c r="V40" s="666">
        <f t="shared" si="11"/>
        <v>0</v>
      </c>
      <c r="W40" s="666">
        <f t="shared" si="12"/>
        <v>0</v>
      </c>
      <c r="X40" s="664">
        <f t="shared" si="13"/>
        <v>0</v>
      </c>
      <c r="Y40" s="1052">
        <f t="shared" si="14"/>
        <v>0</v>
      </c>
      <c r="Z40" s="431">
        <f t="shared" si="15"/>
        <v>0</v>
      </c>
      <c r="AA40" s="1052">
        <f t="shared" si="16"/>
        <v>0</v>
      </c>
      <c r="AB40" s="431">
        <f t="shared" si="17"/>
        <v>0</v>
      </c>
      <c r="AC40" s="1121">
        <f t="shared" si="18"/>
        <v>0</v>
      </c>
      <c r="AD40" s="642">
        <f t="shared" si="19"/>
        <v>0</v>
      </c>
      <c r="AE40" s="431">
        <f t="shared" si="20"/>
        <v>0</v>
      </c>
      <c r="AF40" s="518">
        <f t="shared" si="21"/>
        <v>0</v>
      </c>
      <c r="AG40" s="1057">
        <f>IF(OR(AND(F40=$AV$53,OR('Resurface, Milling, Agg.'!$F$65='Resurface, Milling, Agg.'!$AA$62,'Resurface, Milling, Agg.'!$F$65='Resurface, Milling, Agg.'!$AA$64)),F40=$AV$54,F40=$AV$55,F40=$AV$56,F40=$AV$57,F40=$AV$58,F40=$AV$59),(($C40-$B40)*4/40),IF(F40=$AV$62,$C40-$B40,IF(OR(F40=$AV$60,F40=$AV$61),2*($C40-$B40),0)))</f>
        <v>0</v>
      </c>
      <c r="AH40" s="1055">
        <f t="shared" si="22"/>
        <v>0</v>
      </c>
      <c r="AI40" s="643">
        <f t="shared" si="23"/>
        <v>0</v>
      </c>
      <c r="AJ40" s="635">
        <f t="shared" si="24"/>
        <v>0</v>
      </c>
      <c r="AK40" s="1061">
        <f t="shared" si="25"/>
        <v>0</v>
      </c>
      <c r="AL40" s="1063">
        <f>IF(AND(F40=$AV$53,OR('Resurface, Milling, Agg.'!$F$65='Resurface, Milling, Agg.'!$AA$62,'Resurface, Milling, Agg.'!$F$65='Resurface, Milling, Agg.'!$AA$64)),ROUNDUP(($C40-$B40)/40,0),
IF(OR(F40=$AV$55,F40=$AV$56,F40=$AV$57,F40=$AV$58,F40=$AV$62),ROUNDUP(($C40-$B40)/40,0),
IF(OR(F40=$AV$59,F40=$AV$60,F40=$AV$61),2*ROUNDUP(($C40-$B40)/40,0),
IF(F40=$AV$54,ROUNDUP(($C40-$B40)/80,0),0))))</f>
        <v>0</v>
      </c>
      <c r="AM40" s="635">
        <f t="shared" si="26"/>
        <v>0</v>
      </c>
      <c r="AN40" s="635">
        <f t="shared" si="27"/>
        <v>0</v>
      </c>
      <c r="AO40" s="635">
        <f t="shared" si="28"/>
        <v>0</v>
      </c>
      <c r="AP40" s="635">
        <f t="shared" si="29"/>
        <v>0</v>
      </c>
      <c r="AQ40" s="635">
        <f t="shared" si="30"/>
        <v>0</v>
      </c>
      <c r="AR40" s="1064">
        <f t="shared" si="31"/>
        <v>0</v>
      </c>
      <c r="AS40" s="1009"/>
      <c r="AT40" s="636"/>
      <c r="AU40" s="822">
        <f t="shared" si="32"/>
        <v>0</v>
      </c>
      <c r="AV40" s="1117">
        <f t="shared" si="33"/>
        <v>0</v>
      </c>
      <c r="AX40" s="822">
        <f t="shared" si="34"/>
        <v>0</v>
      </c>
      <c r="AY40" s="1117">
        <f t="shared" si="35"/>
        <v>0</v>
      </c>
      <c r="AZ40" s="407"/>
      <c r="BA40" s="407"/>
      <c r="BB40" s="407"/>
      <c r="BC40" s="407"/>
      <c r="BD40" s="407"/>
    </row>
    <row r="41" spans="1:56" x14ac:dyDescent="0.2">
      <c r="A41" s="407"/>
      <c r="B41" s="638">
        <f t="shared" si="36"/>
        <v>0</v>
      </c>
      <c r="C41" s="639"/>
      <c r="D41" s="626"/>
      <c r="E41" s="660"/>
      <c r="F41" s="627"/>
      <c r="G41" s="661"/>
      <c r="H41" s="628"/>
      <c r="I41" s="629">
        <f t="shared" si="0"/>
        <v>0</v>
      </c>
      <c r="J41" s="629">
        <f t="shared" si="1"/>
        <v>0</v>
      </c>
      <c r="K41" s="630">
        <f t="shared" si="2"/>
        <v>0</v>
      </c>
      <c r="L41" s="631">
        <f t="shared" si="3"/>
        <v>0</v>
      </c>
      <c r="M41" s="631">
        <f t="shared" si="4"/>
        <v>0</v>
      </c>
      <c r="N41" s="640">
        <f t="shared" si="5"/>
        <v>0</v>
      </c>
      <c r="O41" s="632">
        <f t="shared" si="6"/>
        <v>0</v>
      </c>
      <c r="P41" s="632">
        <f t="shared" si="10"/>
        <v>0</v>
      </c>
      <c r="Q41" s="632">
        <f t="shared" si="7"/>
        <v>0</v>
      </c>
      <c r="R41" s="632">
        <f t="shared" si="8"/>
        <v>0</v>
      </c>
      <c r="S41" s="641">
        <f t="shared" si="9"/>
        <v>0</v>
      </c>
      <c r="T41" s="411"/>
      <c r="U41" s="411"/>
      <c r="V41" s="666">
        <f t="shared" si="11"/>
        <v>0</v>
      </c>
      <c r="W41" s="666">
        <f t="shared" si="12"/>
        <v>0</v>
      </c>
      <c r="X41" s="664">
        <f t="shared" si="13"/>
        <v>0</v>
      </c>
      <c r="Y41" s="1052">
        <f t="shared" si="14"/>
        <v>0</v>
      </c>
      <c r="Z41" s="431">
        <f t="shared" si="15"/>
        <v>0</v>
      </c>
      <c r="AA41" s="1052">
        <f t="shared" si="16"/>
        <v>0</v>
      </c>
      <c r="AB41" s="431">
        <f t="shared" si="17"/>
        <v>0</v>
      </c>
      <c r="AC41" s="1121">
        <f t="shared" si="18"/>
        <v>0</v>
      </c>
      <c r="AD41" s="642">
        <f t="shared" si="19"/>
        <v>0</v>
      </c>
      <c r="AE41" s="431">
        <f t="shared" si="20"/>
        <v>0</v>
      </c>
      <c r="AF41" s="518">
        <f t="shared" si="21"/>
        <v>0</v>
      </c>
      <c r="AG41" s="1057">
        <f>IF(OR(AND(F41=$AV$53,OR('Resurface, Milling, Agg.'!$F$65='Resurface, Milling, Agg.'!$AA$62,'Resurface, Milling, Agg.'!$F$65='Resurface, Milling, Agg.'!$AA$64)),F41=$AV$54,F41=$AV$55,F41=$AV$56,F41=$AV$57,F41=$AV$58,F41=$AV$59),(($C41-$B41)*4/40),IF(F41=$AV$62,$C41-$B41,IF(OR(F41=$AV$60,F41=$AV$61),2*($C41-$B41),0)))</f>
        <v>0</v>
      </c>
      <c r="AH41" s="1055">
        <f t="shared" si="22"/>
        <v>0</v>
      </c>
      <c r="AI41" s="643">
        <f t="shared" si="23"/>
        <v>0</v>
      </c>
      <c r="AJ41" s="635">
        <f t="shared" si="24"/>
        <v>0</v>
      </c>
      <c r="AK41" s="1061">
        <f t="shared" si="25"/>
        <v>0</v>
      </c>
      <c r="AL41" s="1063">
        <f>IF(AND(F41=$AV$53,OR('Resurface, Milling, Agg.'!$F$65='Resurface, Milling, Agg.'!$AA$62,'Resurface, Milling, Agg.'!$F$65='Resurface, Milling, Agg.'!$AA$64)),ROUNDUP(($C41-$B41)/40,0),
IF(OR(F41=$AV$55,F41=$AV$56,F41=$AV$57,F41=$AV$58,F41=$AV$62),ROUNDUP(($C41-$B41)/40,0),
IF(OR(F41=$AV$59,F41=$AV$60,F41=$AV$61),2*ROUNDUP(($C41-$B41)/40,0),
IF(F41=$AV$54,ROUNDUP(($C41-$B41)/80,0),0))))</f>
        <v>0</v>
      </c>
      <c r="AM41" s="635">
        <f t="shared" si="26"/>
        <v>0</v>
      </c>
      <c r="AN41" s="635">
        <f t="shared" si="27"/>
        <v>0</v>
      </c>
      <c r="AO41" s="635">
        <f t="shared" si="28"/>
        <v>0</v>
      </c>
      <c r="AP41" s="635">
        <f t="shared" si="29"/>
        <v>0</v>
      </c>
      <c r="AQ41" s="635">
        <f t="shared" si="30"/>
        <v>0</v>
      </c>
      <c r="AR41" s="1064">
        <f t="shared" si="31"/>
        <v>0</v>
      </c>
      <c r="AS41" s="1009"/>
      <c r="AT41" s="636"/>
      <c r="AU41" s="822">
        <f t="shared" si="32"/>
        <v>0</v>
      </c>
      <c r="AV41" s="1117">
        <f t="shared" si="33"/>
        <v>0</v>
      </c>
      <c r="AX41" s="822">
        <f t="shared" si="34"/>
        <v>0</v>
      </c>
      <c r="AY41" s="1117">
        <f t="shared" si="35"/>
        <v>0</v>
      </c>
      <c r="AZ41" s="407"/>
      <c r="BA41" s="407"/>
      <c r="BB41" s="407"/>
      <c r="BC41" s="407"/>
      <c r="BD41" s="407"/>
    </row>
    <row r="42" spans="1:56" x14ac:dyDescent="0.2">
      <c r="A42" s="407"/>
      <c r="B42" s="638">
        <f t="shared" si="36"/>
        <v>0</v>
      </c>
      <c r="C42" s="639"/>
      <c r="D42" s="626"/>
      <c r="E42" s="660"/>
      <c r="F42" s="627"/>
      <c r="G42" s="661"/>
      <c r="H42" s="628"/>
      <c r="I42" s="629">
        <f t="shared" si="0"/>
        <v>0</v>
      </c>
      <c r="J42" s="629">
        <f t="shared" si="1"/>
        <v>0</v>
      </c>
      <c r="K42" s="630">
        <f t="shared" si="2"/>
        <v>0</v>
      </c>
      <c r="L42" s="631">
        <f t="shared" si="3"/>
        <v>0</v>
      </c>
      <c r="M42" s="631">
        <f t="shared" si="4"/>
        <v>0</v>
      </c>
      <c r="N42" s="640">
        <f t="shared" si="5"/>
        <v>0</v>
      </c>
      <c r="O42" s="632">
        <f t="shared" si="6"/>
        <v>0</v>
      </c>
      <c r="P42" s="632">
        <f t="shared" si="10"/>
        <v>0</v>
      </c>
      <c r="Q42" s="632">
        <f t="shared" si="7"/>
        <v>0</v>
      </c>
      <c r="R42" s="632">
        <f t="shared" si="8"/>
        <v>0</v>
      </c>
      <c r="S42" s="641">
        <f t="shared" si="9"/>
        <v>0</v>
      </c>
      <c r="T42" s="411"/>
      <c r="U42" s="411"/>
      <c r="V42" s="666">
        <f t="shared" si="11"/>
        <v>0</v>
      </c>
      <c r="W42" s="666">
        <f t="shared" si="12"/>
        <v>0</v>
      </c>
      <c r="X42" s="664">
        <f t="shared" si="13"/>
        <v>0</v>
      </c>
      <c r="Y42" s="1052">
        <f t="shared" si="14"/>
        <v>0</v>
      </c>
      <c r="Z42" s="431">
        <f t="shared" si="15"/>
        <v>0</v>
      </c>
      <c r="AA42" s="1052">
        <f t="shared" si="16"/>
        <v>0</v>
      </c>
      <c r="AB42" s="431">
        <f t="shared" si="17"/>
        <v>0</v>
      </c>
      <c r="AC42" s="1121">
        <f t="shared" si="18"/>
        <v>0</v>
      </c>
      <c r="AD42" s="642">
        <f t="shared" si="19"/>
        <v>0</v>
      </c>
      <c r="AE42" s="431">
        <f t="shared" si="20"/>
        <v>0</v>
      </c>
      <c r="AF42" s="518">
        <f t="shared" si="21"/>
        <v>0</v>
      </c>
      <c r="AG42" s="1057">
        <f>IF(OR(AND(F42=$AV$53,OR('Resurface, Milling, Agg.'!$F$65='Resurface, Milling, Agg.'!$AA$62,'Resurface, Milling, Agg.'!$F$65='Resurface, Milling, Agg.'!$AA$64)),F42=$AV$54,F42=$AV$55,F42=$AV$56,F42=$AV$57,F42=$AV$58,F42=$AV$59),(($C42-$B42)*4/40),IF(F42=$AV$62,$C42-$B42,IF(OR(F42=$AV$60,F42=$AV$61),2*($C42-$B42),0)))</f>
        <v>0</v>
      </c>
      <c r="AH42" s="1055">
        <f t="shared" si="22"/>
        <v>0</v>
      </c>
      <c r="AI42" s="643">
        <f t="shared" si="23"/>
        <v>0</v>
      </c>
      <c r="AJ42" s="635">
        <f t="shared" si="24"/>
        <v>0</v>
      </c>
      <c r="AK42" s="1061">
        <f t="shared" si="25"/>
        <v>0</v>
      </c>
      <c r="AL42" s="1063">
        <f>IF(AND(F42=$AV$53,OR('Resurface, Milling, Agg.'!$F$65='Resurface, Milling, Agg.'!$AA$62,'Resurface, Milling, Agg.'!$F$65='Resurface, Milling, Agg.'!$AA$64)),ROUNDUP(($C42-$B42)/40,0),
IF(OR(F42=$AV$55,F42=$AV$56,F42=$AV$57,F42=$AV$58,F42=$AV$62),ROUNDUP(($C42-$B42)/40,0),
IF(OR(F42=$AV$59,F42=$AV$60,F42=$AV$61),2*ROUNDUP(($C42-$B42)/40,0),
IF(F42=$AV$54,ROUNDUP(($C42-$B42)/80,0),0))))</f>
        <v>0</v>
      </c>
      <c r="AM42" s="635">
        <f t="shared" si="26"/>
        <v>0</v>
      </c>
      <c r="AN42" s="635">
        <f t="shared" si="27"/>
        <v>0</v>
      </c>
      <c r="AO42" s="635">
        <f t="shared" si="28"/>
        <v>0</v>
      </c>
      <c r="AP42" s="635">
        <f t="shared" si="29"/>
        <v>0</v>
      </c>
      <c r="AQ42" s="635">
        <f t="shared" si="30"/>
        <v>0</v>
      </c>
      <c r="AR42" s="1064">
        <f t="shared" si="31"/>
        <v>0</v>
      </c>
      <c r="AS42" s="1009"/>
      <c r="AT42" s="636"/>
      <c r="AU42" s="822">
        <f t="shared" si="32"/>
        <v>0</v>
      </c>
      <c r="AV42" s="1117">
        <f t="shared" si="33"/>
        <v>0</v>
      </c>
      <c r="AX42" s="822">
        <f t="shared" si="34"/>
        <v>0</v>
      </c>
      <c r="AY42" s="1117">
        <f t="shared" si="35"/>
        <v>0</v>
      </c>
      <c r="AZ42" s="407"/>
      <c r="BA42" s="407"/>
      <c r="BB42" s="407"/>
      <c r="BC42" s="407"/>
      <c r="BD42" s="407"/>
    </row>
    <row r="43" spans="1:56" x14ac:dyDescent="0.2">
      <c r="A43" s="407"/>
      <c r="B43" s="638">
        <f t="shared" si="36"/>
        <v>0</v>
      </c>
      <c r="C43" s="639"/>
      <c r="D43" s="626"/>
      <c r="E43" s="660"/>
      <c r="F43" s="627"/>
      <c r="G43" s="661"/>
      <c r="H43" s="628"/>
      <c r="I43" s="629">
        <f t="shared" si="0"/>
        <v>0</v>
      </c>
      <c r="J43" s="629">
        <f t="shared" si="1"/>
        <v>0</v>
      </c>
      <c r="K43" s="630">
        <f t="shared" si="2"/>
        <v>0</v>
      </c>
      <c r="L43" s="631">
        <f t="shared" si="3"/>
        <v>0</v>
      </c>
      <c r="M43" s="631">
        <f t="shared" si="4"/>
        <v>0</v>
      </c>
      <c r="N43" s="640">
        <f t="shared" si="5"/>
        <v>0</v>
      </c>
      <c r="O43" s="632">
        <f t="shared" si="6"/>
        <v>0</v>
      </c>
      <c r="P43" s="632">
        <f t="shared" si="10"/>
        <v>0</v>
      </c>
      <c r="Q43" s="632">
        <f t="shared" si="7"/>
        <v>0</v>
      </c>
      <c r="R43" s="632">
        <f t="shared" si="8"/>
        <v>0</v>
      </c>
      <c r="S43" s="641">
        <f t="shared" si="9"/>
        <v>0</v>
      </c>
      <c r="T43" s="411"/>
      <c r="U43" s="411"/>
      <c r="V43" s="666">
        <f t="shared" si="11"/>
        <v>0</v>
      </c>
      <c r="W43" s="666">
        <f t="shared" si="12"/>
        <v>0</v>
      </c>
      <c r="X43" s="664">
        <f t="shared" si="13"/>
        <v>0</v>
      </c>
      <c r="Y43" s="1052">
        <f t="shared" si="14"/>
        <v>0</v>
      </c>
      <c r="Z43" s="431">
        <f t="shared" si="15"/>
        <v>0</v>
      </c>
      <c r="AA43" s="1052">
        <f t="shared" si="16"/>
        <v>0</v>
      </c>
      <c r="AB43" s="431">
        <f t="shared" si="17"/>
        <v>0</v>
      </c>
      <c r="AC43" s="1121">
        <f t="shared" si="18"/>
        <v>0</v>
      </c>
      <c r="AD43" s="642">
        <f t="shared" si="19"/>
        <v>0</v>
      </c>
      <c r="AE43" s="431">
        <f t="shared" si="20"/>
        <v>0</v>
      </c>
      <c r="AF43" s="518">
        <f t="shared" si="21"/>
        <v>0</v>
      </c>
      <c r="AG43" s="1057">
        <f>IF(OR(AND(F43=$AV$53,OR('Resurface, Milling, Agg.'!$F$65='Resurface, Milling, Agg.'!$AA$62,'Resurface, Milling, Agg.'!$F$65='Resurface, Milling, Agg.'!$AA$64)),F43=$AV$54,F43=$AV$55,F43=$AV$56,F43=$AV$57,F43=$AV$58,F43=$AV$59),(($C43-$B43)*4/40),IF(F43=$AV$62,$C43-$B43,IF(OR(F43=$AV$60,F43=$AV$61),2*($C43-$B43),0)))</f>
        <v>0</v>
      </c>
      <c r="AH43" s="1055">
        <f t="shared" si="22"/>
        <v>0</v>
      </c>
      <c r="AI43" s="643">
        <f t="shared" si="23"/>
        <v>0</v>
      </c>
      <c r="AJ43" s="635">
        <f t="shared" si="24"/>
        <v>0</v>
      </c>
      <c r="AK43" s="1061">
        <f t="shared" si="25"/>
        <v>0</v>
      </c>
      <c r="AL43" s="1063">
        <f>IF(AND(F43=$AV$53,OR('Resurface, Milling, Agg.'!$F$65='Resurface, Milling, Agg.'!$AA$62,'Resurface, Milling, Agg.'!$F$65='Resurface, Milling, Agg.'!$AA$64)),ROUNDUP(($C43-$B43)/40,0),
IF(OR(F43=$AV$55,F43=$AV$56,F43=$AV$57,F43=$AV$58,F43=$AV$62),ROUNDUP(($C43-$B43)/40,0),
IF(OR(F43=$AV$59,F43=$AV$60,F43=$AV$61),2*ROUNDUP(($C43-$B43)/40,0),
IF(F43=$AV$54,ROUNDUP(($C43-$B43)/80,0),0))))</f>
        <v>0</v>
      </c>
      <c r="AM43" s="635">
        <f t="shared" si="26"/>
        <v>0</v>
      </c>
      <c r="AN43" s="635">
        <f t="shared" si="27"/>
        <v>0</v>
      </c>
      <c r="AO43" s="635">
        <f t="shared" si="28"/>
        <v>0</v>
      </c>
      <c r="AP43" s="635">
        <f t="shared" si="29"/>
        <v>0</v>
      </c>
      <c r="AQ43" s="635">
        <f t="shared" si="30"/>
        <v>0</v>
      </c>
      <c r="AR43" s="1064">
        <f t="shared" si="31"/>
        <v>0</v>
      </c>
      <c r="AS43" s="1009"/>
      <c r="AT43" s="636"/>
      <c r="AU43" s="822">
        <f t="shared" si="32"/>
        <v>0</v>
      </c>
      <c r="AV43" s="1117">
        <f t="shared" si="33"/>
        <v>0</v>
      </c>
      <c r="AX43" s="822">
        <f t="shared" si="34"/>
        <v>0</v>
      </c>
      <c r="AY43" s="1117">
        <f t="shared" si="35"/>
        <v>0</v>
      </c>
      <c r="AZ43" s="407"/>
      <c r="BA43" s="407"/>
      <c r="BB43" s="407"/>
      <c r="BC43" s="407"/>
      <c r="BD43" s="407"/>
    </row>
    <row r="44" spans="1:56" x14ac:dyDescent="0.2">
      <c r="A44" s="407"/>
      <c r="B44" s="638">
        <f t="shared" si="36"/>
        <v>0</v>
      </c>
      <c r="C44" s="639"/>
      <c r="D44" s="626"/>
      <c r="E44" s="660"/>
      <c r="F44" s="627"/>
      <c r="G44" s="661"/>
      <c r="H44" s="628"/>
      <c r="I44" s="629">
        <f t="shared" si="0"/>
        <v>0</v>
      </c>
      <c r="J44" s="629">
        <f t="shared" si="1"/>
        <v>0</v>
      </c>
      <c r="K44" s="630">
        <f t="shared" si="2"/>
        <v>0</v>
      </c>
      <c r="L44" s="631">
        <f t="shared" si="3"/>
        <v>0</v>
      </c>
      <c r="M44" s="631">
        <f t="shared" si="4"/>
        <v>0</v>
      </c>
      <c r="N44" s="640">
        <f t="shared" si="5"/>
        <v>0</v>
      </c>
      <c r="O44" s="632">
        <f t="shared" si="6"/>
        <v>0</v>
      </c>
      <c r="P44" s="632">
        <f t="shared" si="10"/>
        <v>0</v>
      </c>
      <c r="Q44" s="632">
        <f t="shared" si="7"/>
        <v>0</v>
      </c>
      <c r="R44" s="632">
        <f t="shared" si="8"/>
        <v>0</v>
      </c>
      <c r="S44" s="641">
        <f t="shared" si="9"/>
        <v>0</v>
      </c>
      <c r="T44" s="411"/>
      <c r="U44" s="411"/>
      <c r="V44" s="666">
        <f t="shared" si="11"/>
        <v>0</v>
      </c>
      <c r="W44" s="666">
        <f t="shared" si="12"/>
        <v>0</v>
      </c>
      <c r="X44" s="664">
        <f t="shared" si="13"/>
        <v>0</v>
      </c>
      <c r="Y44" s="1052">
        <f t="shared" si="14"/>
        <v>0</v>
      </c>
      <c r="Z44" s="431">
        <f t="shared" si="15"/>
        <v>0</v>
      </c>
      <c r="AA44" s="1052">
        <f t="shared" si="16"/>
        <v>0</v>
      </c>
      <c r="AB44" s="431">
        <f t="shared" si="17"/>
        <v>0</v>
      </c>
      <c r="AC44" s="1121">
        <f t="shared" si="18"/>
        <v>0</v>
      </c>
      <c r="AD44" s="642">
        <f t="shared" si="19"/>
        <v>0</v>
      </c>
      <c r="AE44" s="431">
        <f t="shared" si="20"/>
        <v>0</v>
      </c>
      <c r="AF44" s="518">
        <f t="shared" si="21"/>
        <v>0</v>
      </c>
      <c r="AG44" s="1057">
        <f>IF(OR(AND(F44=$AV$53,OR('Resurface, Milling, Agg.'!$F$65='Resurface, Milling, Agg.'!$AA$62,'Resurface, Milling, Agg.'!$F$65='Resurface, Milling, Agg.'!$AA$64)),F44=$AV$54,F44=$AV$55,F44=$AV$56,F44=$AV$57,F44=$AV$58,F44=$AV$59),(($C44-$B44)*4/40),IF(F44=$AV$62,$C44-$B44,IF(OR(F44=$AV$60,F44=$AV$61),2*($C44-$B44),0)))</f>
        <v>0</v>
      </c>
      <c r="AH44" s="1055">
        <f t="shared" si="22"/>
        <v>0</v>
      </c>
      <c r="AI44" s="643">
        <f t="shared" si="23"/>
        <v>0</v>
      </c>
      <c r="AJ44" s="635">
        <f t="shared" si="24"/>
        <v>0</v>
      </c>
      <c r="AK44" s="1061">
        <f t="shared" si="25"/>
        <v>0</v>
      </c>
      <c r="AL44" s="1063">
        <f>IF(AND(F44=$AV$53,OR('Resurface, Milling, Agg.'!$F$65='Resurface, Milling, Agg.'!$AA$62,'Resurface, Milling, Agg.'!$F$65='Resurface, Milling, Agg.'!$AA$64)),ROUNDUP(($C44-$B44)/40,0),
IF(OR(F44=$AV$55,F44=$AV$56,F44=$AV$57,F44=$AV$58,F44=$AV$62),ROUNDUP(($C44-$B44)/40,0),
IF(OR(F44=$AV$59,F44=$AV$60,F44=$AV$61),2*ROUNDUP(($C44-$B44)/40,0),
IF(F44=$AV$54,ROUNDUP(($C44-$B44)/80,0),0))))</f>
        <v>0</v>
      </c>
      <c r="AM44" s="635">
        <f t="shared" si="26"/>
        <v>0</v>
      </c>
      <c r="AN44" s="635">
        <f t="shared" si="27"/>
        <v>0</v>
      </c>
      <c r="AO44" s="635">
        <f t="shared" si="28"/>
        <v>0</v>
      </c>
      <c r="AP44" s="635">
        <f t="shared" si="29"/>
        <v>0</v>
      </c>
      <c r="AQ44" s="635">
        <f t="shared" si="30"/>
        <v>0</v>
      </c>
      <c r="AR44" s="1064">
        <f t="shared" si="31"/>
        <v>0</v>
      </c>
      <c r="AS44" s="1009"/>
      <c r="AT44" s="636"/>
      <c r="AU44" s="822">
        <f t="shared" si="32"/>
        <v>0</v>
      </c>
      <c r="AV44" s="1117">
        <f t="shared" si="33"/>
        <v>0</v>
      </c>
      <c r="AX44" s="822">
        <f t="shared" si="34"/>
        <v>0</v>
      </c>
      <c r="AY44" s="1117">
        <f t="shared" si="35"/>
        <v>0</v>
      </c>
      <c r="AZ44" s="407"/>
      <c r="BA44" s="407"/>
      <c r="BB44" s="407"/>
      <c r="BC44" s="407"/>
      <c r="BD44" s="407"/>
    </row>
    <row r="45" spans="1:56" x14ac:dyDescent="0.2">
      <c r="A45" s="407"/>
      <c r="B45" s="638">
        <f t="shared" si="36"/>
        <v>0</v>
      </c>
      <c r="C45" s="639"/>
      <c r="D45" s="626"/>
      <c r="E45" s="660"/>
      <c r="F45" s="627"/>
      <c r="G45" s="661"/>
      <c r="H45" s="628"/>
      <c r="I45" s="629">
        <f t="shared" si="0"/>
        <v>0</v>
      </c>
      <c r="J45" s="629">
        <f t="shared" si="1"/>
        <v>0</v>
      </c>
      <c r="K45" s="630">
        <f t="shared" si="2"/>
        <v>0</v>
      </c>
      <c r="L45" s="631">
        <f t="shared" si="3"/>
        <v>0</v>
      </c>
      <c r="M45" s="631">
        <f t="shared" si="4"/>
        <v>0</v>
      </c>
      <c r="N45" s="640">
        <f t="shared" si="5"/>
        <v>0</v>
      </c>
      <c r="O45" s="632">
        <f t="shared" si="6"/>
        <v>0</v>
      </c>
      <c r="P45" s="632">
        <f t="shared" si="10"/>
        <v>0</v>
      </c>
      <c r="Q45" s="632">
        <f t="shared" si="7"/>
        <v>0</v>
      </c>
      <c r="R45" s="632">
        <f t="shared" si="8"/>
        <v>0</v>
      </c>
      <c r="S45" s="641">
        <f t="shared" si="9"/>
        <v>0</v>
      </c>
      <c r="T45" s="411"/>
      <c r="U45" s="411"/>
      <c r="V45" s="666">
        <f t="shared" si="11"/>
        <v>0</v>
      </c>
      <c r="W45" s="666">
        <f t="shared" si="12"/>
        <v>0</v>
      </c>
      <c r="X45" s="664">
        <f t="shared" si="13"/>
        <v>0</v>
      </c>
      <c r="Y45" s="1052">
        <f t="shared" si="14"/>
        <v>0</v>
      </c>
      <c r="Z45" s="431">
        <f t="shared" si="15"/>
        <v>0</v>
      </c>
      <c r="AA45" s="1052">
        <f t="shared" si="16"/>
        <v>0</v>
      </c>
      <c r="AB45" s="431">
        <f t="shared" si="17"/>
        <v>0</v>
      </c>
      <c r="AC45" s="1121">
        <f t="shared" si="18"/>
        <v>0</v>
      </c>
      <c r="AD45" s="642">
        <f t="shared" si="19"/>
        <v>0</v>
      </c>
      <c r="AE45" s="431">
        <f t="shared" si="20"/>
        <v>0</v>
      </c>
      <c r="AF45" s="518">
        <f t="shared" si="21"/>
        <v>0</v>
      </c>
      <c r="AG45" s="1057">
        <f>IF(OR(AND(F45=$AV$53,OR('Resurface, Milling, Agg.'!$F$65='Resurface, Milling, Agg.'!$AA$62,'Resurface, Milling, Agg.'!$F$65='Resurface, Milling, Agg.'!$AA$64)),F45=$AV$54,F45=$AV$55,F45=$AV$56,F45=$AV$57,F45=$AV$58,F45=$AV$59),(($C45-$B45)*4/40),IF(F45=$AV$62,$C45-$B45,IF(OR(F45=$AV$60,F45=$AV$61),2*($C45-$B45),0)))</f>
        <v>0</v>
      </c>
      <c r="AH45" s="1055">
        <f t="shared" si="22"/>
        <v>0</v>
      </c>
      <c r="AI45" s="643">
        <f t="shared" si="23"/>
        <v>0</v>
      </c>
      <c r="AJ45" s="635">
        <f t="shared" si="24"/>
        <v>0</v>
      </c>
      <c r="AK45" s="1061">
        <f t="shared" si="25"/>
        <v>0</v>
      </c>
      <c r="AL45" s="1063">
        <f>IF(AND(F45=$AV$53,OR('Resurface, Milling, Agg.'!$F$65='Resurface, Milling, Agg.'!$AA$62,'Resurface, Milling, Agg.'!$F$65='Resurface, Milling, Agg.'!$AA$64)),ROUNDUP(($C45-$B45)/40,0),
IF(OR(F45=$AV$55,F45=$AV$56,F45=$AV$57,F45=$AV$58,F45=$AV$62),ROUNDUP(($C45-$B45)/40,0),
IF(OR(F45=$AV$59,F45=$AV$60,F45=$AV$61),2*ROUNDUP(($C45-$B45)/40,0),
IF(F45=$AV$54,ROUNDUP(($C45-$B45)/80,0),0))))</f>
        <v>0</v>
      </c>
      <c r="AM45" s="635">
        <f t="shared" si="26"/>
        <v>0</v>
      </c>
      <c r="AN45" s="635">
        <f t="shared" si="27"/>
        <v>0</v>
      </c>
      <c r="AO45" s="635">
        <f t="shared" si="28"/>
        <v>0</v>
      </c>
      <c r="AP45" s="635">
        <f t="shared" si="29"/>
        <v>0</v>
      </c>
      <c r="AQ45" s="635">
        <f t="shared" si="30"/>
        <v>0</v>
      </c>
      <c r="AR45" s="1064">
        <f t="shared" si="31"/>
        <v>0</v>
      </c>
      <c r="AS45" s="1009"/>
      <c r="AT45" s="636"/>
      <c r="AU45" s="822">
        <f t="shared" si="32"/>
        <v>0</v>
      </c>
      <c r="AV45" s="1117">
        <f t="shared" si="33"/>
        <v>0</v>
      </c>
      <c r="AX45" s="822">
        <f t="shared" si="34"/>
        <v>0</v>
      </c>
      <c r="AY45" s="1117">
        <f t="shared" si="35"/>
        <v>0</v>
      </c>
      <c r="AZ45" s="407"/>
      <c r="BA45" s="407"/>
      <c r="BB45" s="407"/>
      <c r="BC45" s="407"/>
      <c r="BD45" s="407"/>
    </row>
    <row r="46" spans="1:56" x14ac:dyDescent="0.2">
      <c r="A46" s="407"/>
      <c r="B46" s="638">
        <f t="shared" si="36"/>
        <v>0</v>
      </c>
      <c r="C46" s="639"/>
      <c r="D46" s="626"/>
      <c r="E46" s="660"/>
      <c r="F46" s="627"/>
      <c r="G46" s="661"/>
      <c r="H46" s="628"/>
      <c r="I46" s="629">
        <f t="shared" si="0"/>
        <v>0</v>
      </c>
      <c r="J46" s="629">
        <f t="shared" si="1"/>
        <v>0</v>
      </c>
      <c r="K46" s="630">
        <f t="shared" si="2"/>
        <v>0</v>
      </c>
      <c r="L46" s="631">
        <f t="shared" si="3"/>
        <v>0</v>
      </c>
      <c r="M46" s="631">
        <f t="shared" si="4"/>
        <v>0</v>
      </c>
      <c r="N46" s="640">
        <f t="shared" si="5"/>
        <v>0</v>
      </c>
      <c r="O46" s="632">
        <f t="shared" si="6"/>
        <v>0</v>
      </c>
      <c r="P46" s="632">
        <f t="shared" si="10"/>
        <v>0</v>
      </c>
      <c r="Q46" s="632">
        <f t="shared" si="7"/>
        <v>0</v>
      </c>
      <c r="R46" s="632">
        <f t="shared" si="8"/>
        <v>0</v>
      </c>
      <c r="S46" s="641">
        <f t="shared" si="9"/>
        <v>0</v>
      </c>
      <c r="T46" s="411"/>
      <c r="U46" s="411"/>
      <c r="V46" s="666">
        <f t="shared" si="11"/>
        <v>0</v>
      </c>
      <c r="W46" s="666">
        <f t="shared" si="12"/>
        <v>0</v>
      </c>
      <c r="X46" s="664">
        <f t="shared" si="13"/>
        <v>0</v>
      </c>
      <c r="Y46" s="1052">
        <f t="shared" si="14"/>
        <v>0</v>
      </c>
      <c r="Z46" s="431">
        <f t="shared" si="15"/>
        <v>0</v>
      </c>
      <c r="AA46" s="1052">
        <f t="shared" si="16"/>
        <v>0</v>
      </c>
      <c r="AB46" s="431">
        <f t="shared" si="17"/>
        <v>0</v>
      </c>
      <c r="AC46" s="1121">
        <f t="shared" si="18"/>
        <v>0</v>
      </c>
      <c r="AD46" s="642">
        <f t="shared" si="19"/>
        <v>0</v>
      </c>
      <c r="AE46" s="431">
        <f t="shared" si="20"/>
        <v>0</v>
      </c>
      <c r="AF46" s="518">
        <f t="shared" si="21"/>
        <v>0</v>
      </c>
      <c r="AG46" s="1057">
        <f>IF(OR(AND(F46=$AV$53,OR('Resurface, Milling, Agg.'!$F$65='Resurface, Milling, Agg.'!$AA$62,'Resurface, Milling, Agg.'!$F$65='Resurface, Milling, Agg.'!$AA$64)),F46=$AV$54,F46=$AV$55,F46=$AV$56,F46=$AV$57,F46=$AV$58,F46=$AV$59),(($C46-$B46)*4/40),IF(F46=$AV$62,$C46-$B46,IF(OR(F46=$AV$60,F46=$AV$61),2*($C46-$B46),0)))</f>
        <v>0</v>
      </c>
      <c r="AH46" s="1055">
        <f t="shared" si="22"/>
        <v>0</v>
      </c>
      <c r="AI46" s="643">
        <f t="shared" si="23"/>
        <v>0</v>
      </c>
      <c r="AJ46" s="635">
        <f t="shared" si="24"/>
        <v>0</v>
      </c>
      <c r="AK46" s="1061">
        <f t="shared" si="25"/>
        <v>0</v>
      </c>
      <c r="AL46" s="1063">
        <f>IF(AND(F46=$AV$53,OR('Resurface, Milling, Agg.'!$F$65='Resurface, Milling, Agg.'!$AA$62,'Resurface, Milling, Agg.'!$F$65='Resurface, Milling, Agg.'!$AA$64)),ROUNDUP(($C46-$B46)/40,0),
IF(OR(F46=$AV$55,F46=$AV$56,F46=$AV$57,F46=$AV$58,F46=$AV$62),ROUNDUP(($C46-$B46)/40,0),
IF(OR(F46=$AV$59,F46=$AV$60,F46=$AV$61),2*ROUNDUP(($C46-$B46)/40,0),
IF(F46=$AV$54,ROUNDUP(($C46-$B46)/80,0),0))))</f>
        <v>0</v>
      </c>
      <c r="AM46" s="635">
        <f t="shared" si="26"/>
        <v>0</v>
      </c>
      <c r="AN46" s="635">
        <f t="shared" si="27"/>
        <v>0</v>
      </c>
      <c r="AO46" s="635">
        <f t="shared" si="28"/>
        <v>0</v>
      </c>
      <c r="AP46" s="635">
        <f t="shared" si="29"/>
        <v>0</v>
      </c>
      <c r="AQ46" s="635">
        <f t="shared" si="30"/>
        <v>0</v>
      </c>
      <c r="AR46" s="1064">
        <f t="shared" si="31"/>
        <v>0</v>
      </c>
      <c r="AS46" s="1009"/>
      <c r="AT46" s="636"/>
      <c r="AU46" s="822">
        <f t="shared" si="32"/>
        <v>0</v>
      </c>
      <c r="AV46" s="1117">
        <f t="shared" si="33"/>
        <v>0</v>
      </c>
      <c r="AX46" s="822">
        <f t="shared" si="34"/>
        <v>0</v>
      </c>
      <c r="AY46" s="1117">
        <f t="shared" si="35"/>
        <v>0</v>
      </c>
      <c r="AZ46" s="407"/>
      <c r="BA46" s="407"/>
      <c r="BB46" s="407"/>
      <c r="BC46" s="407"/>
      <c r="BD46" s="407"/>
    </row>
    <row r="47" spans="1:56" ht="13.5" thickBot="1" x14ac:dyDescent="0.25">
      <c r="A47" s="407"/>
      <c r="B47" s="638">
        <f t="shared" si="36"/>
        <v>0</v>
      </c>
      <c r="C47" s="639"/>
      <c r="D47" s="626"/>
      <c r="E47" s="660"/>
      <c r="F47" s="627"/>
      <c r="G47" s="661"/>
      <c r="H47" s="628"/>
      <c r="I47" s="629">
        <f t="shared" si="0"/>
        <v>0</v>
      </c>
      <c r="J47" s="629">
        <f t="shared" si="1"/>
        <v>0</v>
      </c>
      <c r="K47" s="630">
        <f t="shared" si="2"/>
        <v>0</v>
      </c>
      <c r="L47" s="631">
        <f t="shared" si="3"/>
        <v>0</v>
      </c>
      <c r="M47" s="631">
        <f t="shared" si="4"/>
        <v>0</v>
      </c>
      <c r="N47" s="640">
        <f t="shared" si="5"/>
        <v>0</v>
      </c>
      <c r="O47" s="632">
        <f t="shared" si="6"/>
        <v>0</v>
      </c>
      <c r="P47" s="632">
        <f t="shared" si="10"/>
        <v>0</v>
      </c>
      <c r="Q47" s="632">
        <f t="shared" si="7"/>
        <v>0</v>
      </c>
      <c r="R47" s="632">
        <f t="shared" si="8"/>
        <v>0</v>
      </c>
      <c r="S47" s="641">
        <f t="shared" si="9"/>
        <v>0</v>
      </c>
      <c r="T47" s="411"/>
      <c r="U47" s="411"/>
      <c r="V47" s="1024">
        <f t="shared" si="11"/>
        <v>0</v>
      </c>
      <c r="W47" s="1024">
        <f t="shared" si="12"/>
        <v>0</v>
      </c>
      <c r="X47" s="1025">
        <f t="shared" si="13"/>
        <v>0</v>
      </c>
      <c r="Y47" s="824">
        <f t="shared" si="14"/>
        <v>0</v>
      </c>
      <c r="Z47" s="823">
        <f t="shared" si="15"/>
        <v>0</v>
      </c>
      <c r="AA47" s="824">
        <f t="shared" si="16"/>
        <v>0</v>
      </c>
      <c r="AB47" s="823">
        <f t="shared" si="17"/>
        <v>0</v>
      </c>
      <c r="AC47" s="824">
        <f t="shared" si="18"/>
        <v>0</v>
      </c>
      <c r="AD47" s="1026">
        <f t="shared" si="19"/>
        <v>0</v>
      </c>
      <c r="AE47" s="823">
        <f t="shared" si="20"/>
        <v>0</v>
      </c>
      <c r="AF47" s="1068">
        <f t="shared" si="21"/>
        <v>0</v>
      </c>
      <c r="AG47" s="1059">
        <f>IF(OR(AND(F47=$AV$53,OR('Resurface, Milling, Agg.'!$F$65='Resurface, Milling, Agg.'!$AA$62,'Resurface, Milling, Agg.'!$F$65='Resurface, Milling, Agg.'!$AA$64)),F47=$AV$54,F47=$AV$55,F47=$AV$56,F47=$AV$57,F47=$AV$58,F47=$AV$59),(($C47-$B47)*4/40),IF(F47=$AV$62,$C47-$B47,IF(OR(F47=$AV$60,F47=$AV$61),2*($C47-$B47),0)))</f>
        <v>0</v>
      </c>
      <c r="AH47" s="1056">
        <f t="shared" si="22"/>
        <v>0</v>
      </c>
      <c r="AI47" s="1027">
        <f t="shared" si="23"/>
        <v>0</v>
      </c>
      <c r="AJ47" s="1027">
        <f t="shared" si="24"/>
        <v>0</v>
      </c>
      <c r="AK47" s="1062">
        <f t="shared" si="25"/>
        <v>0</v>
      </c>
      <c r="AL47" s="1065">
        <f>IF(AND(F47=$AV$53,OR('Resurface, Milling, Agg.'!$F$65='Resurface, Milling, Agg.'!$AA$62,'Resurface, Milling, Agg.'!$F$65='Resurface, Milling, Agg.'!$AA$64)),ROUNDUP(($C47-$B47)/40,0),
IF(OR(F47=$AV$55,F47=$AV$56,F47=$AV$57,F47=$AV$58,F47=$AV$62),ROUNDUP(($C47-$B47)/40,0),
IF(OR(F47=$AV$59,F47=$AV$60,F47=$AV$61),2*ROUNDUP(($C47-$B47)/40,0),
IF(F47=$AV$54,ROUNDUP(($C47-$B47)/80,0),0))))</f>
        <v>0</v>
      </c>
      <c r="AM47" s="1027">
        <f t="shared" si="26"/>
        <v>0</v>
      </c>
      <c r="AN47" s="1027">
        <f t="shared" si="27"/>
        <v>0</v>
      </c>
      <c r="AO47" s="1027">
        <f t="shared" si="28"/>
        <v>0</v>
      </c>
      <c r="AP47" s="1027">
        <f t="shared" si="29"/>
        <v>0</v>
      </c>
      <c r="AQ47" s="1027">
        <f t="shared" si="30"/>
        <v>0</v>
      </c>
      <c r="AR47" s="1066">
        <f t="shared" si="31"/>
        <v>0</v>
      </c>
      <c r="AS47" s="1028"/>
      <c r="AT47" s="636"/>
      <c r="AU47" s="823">
        <f t="shared" si="32"/>
        <v>0</v>
      </c>
      <c r="AV47" s="824">
        <f t="shared" si="33"/>
        <v>0</v>
      </c>
      <c r="AX47" s="823">
        <f t="shared" si="34"/>
        <v>0</v>
      </c>
      <c r="AY47" s="824">
        <f t="shared" si="35"/>
        <v>0</v>
      </c>
      <c r="AZ47" s="407"/>
      <c r="BA47" s="407"/>
      <c r="BB47" s="407"/>
      <c r="BC47" s="407"/>
      <c r="BD47" s="407"/>
    </row>
    <row r="48" spans="1:56" ht="13.5" thickBot="1" x14ac:dyDescent="0.25">
      <c r="A48" s="407"/>
      <c r="B48" s="646"/>
      <c r="C48" s="647"/>
      <c r="D48" s="647"/>
      <c r="E48" s="647"/>
      <c r="F48" s="647"/>
      <c r="G48" s="648"/>
      <c r="H48" s="649" t="s">
        <v>34</v>
      </c>
      <c r="I48" s="650">
        <f>SUM(I8:I47)</f>
        <v>0</v>
      </c>
      <c r="J48" s="651">
        <f>SUM(J8:J47)</f>
        <v>0</v>
      </c>
      <c r="K48" s="651">
        <f t="shared" ref="K48:S48" si="37">SUM(K8:K47)</f>
        <v>0</v>
      </c>
      <c r="L48" s="651">
        <f t="shared" si="37"/>
        <v>0</v>
      </c>
      <c r="M48" s="651">
        <f t="shared" si="37"/>
        <v>0</v>
      </c>
      <c r="N48" s="651">
        <f t="shared" si="37"/>
        <v>0</v>
      </c>
      <c r="O48" s="651">
        <f t="shared" si="37"/>
        <v>0</v>
      </c>
      <c r="P48" s="651">
        <f t="shared" si="37"/>
        <v>0</v>
      </c>
      <c r="Q48" s="651">
        <f t="shared" si="37"/>
        <v>0</v>
      </c>
      <c r="R48" s="651">
        <f t="shared" si="37"/>
        <v>0</v>
      </c>
      <c r="S48" s="652">
        <f t="shared" si="37"/>
        <v>0</v>
      </c>
      <c r="T48" s="406"/>
      <c r="U48" s="406"/>
      <c r="V48" s="407"/>
      <c r="W48" s="407"/>
      <c r="X48" s="407"/>
      <c r="Y48" s="407"/>
      <c r="Z48" s="407"/>
      <c r="AA48" s="407"/>
      <c r="AB48" s="407"/>
      <c r="AC48" s="407"/>
      <c r="AD48" s="407"/>
      <c r="AE48" s="407"/>
      <c r="AF48" s="407"/>
      <c r="AG48" s="653"/>
      <c r="AH48" s="653"/>
      <c r="AI48" s="653"/>
      <c r="AJ48" s="653"/>
      <c r="AK48" s="653"/>
      <c r="AL48" s="653"/>
      <c r="AM48" s="653"/>
      <c r="AN48" s="653"/>
      <c r="AO48" s="653"/>
      <c r="AP48" s="653"/>
      <c r="AQ48" s="653"/>
      <c r="AR48" s="407"/>
      <c r="AS48" s="407"/>
      <c r="AT48" s="636"/>
      <c r="AU48" s="828">
        <f>SUM(AU8:AU47)</f>
        <v>0</v>
      </c>
      <c r="AV48" s="829">
        <f>SUM(AV8:AV47)</f>
        <v>0</v>
      </c>
      <c r="AW48" s="407"/>
      <c r="AX48" s="828">
        <f>SUM(AX8:AX47)</f>
        <v>0</v>
      </c>
      <c r="AY48" s="829">
        <f>SUM(AY8:AY47)</f>
        <v>0</v>
      </c>
      <c r="AZ48" s="407"/>
      <c r="BA48" s="407"/>
      <c r="BB48" s="407"/>
      <c r="BC48" s="407"/>
      <c r="BD48" s="407"/>
    </row>
    <row r="49" spans="1:56" x14ac:dyDescent="0.2">
      <c r="A49" s="407"/>
      <c r="B49" s="654"/>
      <c r="C49" s="407"/>
      <c r="D49" s="407"/>
      <c r="E49" s="407"/>
      <c r="F49" s="407"/>
      <c r="G49" s="407"/>
      <c r="H49" s="407"/>
      <c r="I49" s="407"/>
      <c r="J49" s="407"/>
      <c r="K49" s="407"/>
      <c r="L49" s="407"/>
      <c r="M49" s="407"/>
      <c r="N49" s="407"/>
      <c r="O49" s="407"/>
      <c r="P49" s="407">
        <f>IF(AE50&gt;0,"Hide Col.",0)</f>
        <v>0</v>
      </c>
      <c r="Q49" s="407"/>
      <c r="R49" s="407"/>
      <c r="S49" s="407"/>
      <c r="T49" s="407"/>
      <c r="U49" s="407"/>
      <c r="V49" s="407"/>
      <c r="W49" s="407"/>
      <c r="X49" s="407"/>
      <c r="Y49" s="407"/>
      <c r="Z49" s="407"/>
      <c r="AA49" s="407"/>
      <c r="AB49" s="407"/>
      <c r="AC49" s="407"/>
      <c r="AD49" s="407"/>
      <c r="AE49" s="407"/>
      <c r="AF49" s="407"/>
      <c r="AG49" s="407"/>
      <c r="AH49" s="407"/>
      <c r="AI49" s="407"/>
      <c r="AJ49" s="407"/>
      <c r="AK49" s="407"/>
      <c r="AL49" s="407"/>
      <c r="AM49" s="407"/>
      <c r="AN49" s="407"/>
      <c r="AO49" s="407"/>
      <c r="AP49" s="407"/>
      <c r="AQ49" s="407"/>
      <c r="AR49" s="407"/>
      <c r="AS49" s="407"/>
      <c r="AT49" s="636"/>
      <c r="AU49" s="407"/>
      <c r="AV49" s="407"/>
      <c r="AW49" s="407"/>
      <c r="AX49" s="407"/>
      <c r="AY49" s="407"/>
      <c r="AZ49" s="407"/>
      <c r="BA49" s="407"/>
      <c r="BB49" s="407"/>
      <c r="BC49" s="407"/>
      <c r="BD49" s="407"/>
    </row>
    <row r="50" spans="1:56" ht="38.25" customHeight="1" x14ac:dyDescent="0.2">
      <c r="A50" s="407"/>
      <c r="B50" s="655" t="s">
        <v>465</v>
      </c>
      <c r="C50" s="1582" t="s">
        <v>467</v>
      </c>
      <c r="D50" s="1583"/>
      <c r="E50" s="1583"/>
      <c r="F50" s="1583"/>
      <c r="G50" s="1583"/>
      <c r="H50" s="1583"/>
      <c r="I50" s="1583"/>
      <c r="J50" s="1583"/>
      <c r="K50" s="1583"/>
      <c r="L50" s="1583"/>
      <c r="M50" s="1583"/>
      <c r="N50" s="1583"/>
      <c r="O50" s="1583"/>
      <c r="P50" s="1583"/>
      <c r="Q50" s="1583"/>
      <c r="R50" s="1583"/>
      <c r="S50" s="1583"/>
      <c r="T50" s="1583"/>
      <c r="U50" s="656"/>
      <c r="V50" s="1586" t="s">
        <v>940</v>
      </c>
      <c r="W50" s="1586"/>
      <c r="X50" s="1586"/>
      <c r="Y50" s="1586"/>
      <c r="Z50" s="1586"/>
      <c r="AA50" s="1586"/>
      <c r="AB50" s="1586"/>
      <c r="AC50" s="1586"/>
      <c r="AD50" s="1586"/>
      <c r="AE50" s="1123">
        <f>CLRS!E48+ELRS!F49</f>
        <v>0</v>
      </c>
      <c r="AF50" s="407"/>
      <c r="AG50" s="407"/>
      <c r="AH50" s="407"/>
      <c r="AI50" s="407"/>
      <c r="AJ50" s="407"/>
      <c r="AK50" s="407"/>
      <c r="AL50" s="407"/>
      <c r="AM50" s="407"/>
      <c r="AN50" s="407"/>
      <c r="AO50" s="407"/>
      <c r="AP50" s="407"/>
      <c r="AQ50" s="407"/>
      <c r="AR50" s="407"/>
      <c r="AS50" s="407"/>
      <c r="AY50" s="407"/>
      <c r="AZ50" s="407"/>
      <c r="BA50" s="407"/>
      <c r="BB50" s="407"/>
      <c r="BC50" s="407"/>
      <c r="BD50" s="407"/>
    </row>
    <row r="51" spans="1:56" ht="12.75" customHeight="1" x14ac:dyDescent="0.2">
      <c r="A51" s="407"/>
      <c r="B51" s="407"/>
      <c r="C51" s="681">
        <f>IF(OR(X51=AY54,X51=AY56),"- The Contractor shall follow requirements of the ''Documentation, Removal, and Reinstallation of Existing Pavement Markings and Traffic Signal Loops'' special provision.",0)</f>
        <v>0</v>
      </c>
      <c r="D51" s="407"/>
      <c r="E51" s="407"/>
      <c r="F51" s="407"/>
      <c r="G51" s="407"/>
      <c r="H51" s="407"/>
      <c r="I51" s="407"/>
      <c r="J51" s="407"/>
      <c r="K51" s="407"/>
      <c r="L51" s="407"/>
      <c r="M51" s="407"/>
      <c r="N51" s="407"/>
      <c r="O51" s="407"/>
      <c r="P51" s="407"/>
      <c r="Q51" s="407"/>
      <c r="R51" s="407"/>
      <c r="S51" s="407"/>
      <c r="T51" s="407"/>
      <c r="U51" s="407"/>
      <c r="W51" s="251" t="s">
        <v>373</v>
      </c>
      <c r="X51" s="1581"/>
      <c r="Y51" s="1291"/>
      <c r="Z51" s="1022" t="s">
        <v>869</v>
      </c>
      <c r="AA51" s="1022"/>
      <c r="AB51" s="1022"/>
      <c r="AC51" s="1043"/>
      <c r="AD51" s="1043"/>
      <c r="AE51" s="399"/>
      <c r="AF51" s="399"/>
      <c r="AG51" s="399"/>
      <c r="AH51" s="399"/>
      <c r="AI51" s="407"/>
      <c r="AJ51" s="407"/>
      <c r="AK51" s="407"/>
      <c r="AL51" s="407"/>
      <c r="AM51" s="407"/>
      <c r="AN51" s="407"/>
      <c r="AO51" s="407"/>
      <c r="AP51" s="407"/>
      <c r="AQ51" s="407"/>
      <c r="AR51" s="407"/>
      <c r="AS51" s="407"/>
      <c r="AT51" s="494" t="s">
        <v>39</v>
      </c>
      <c r="AU51" s="622" t="s">
        <v>174</v>
      </c>
      <c r="AV51" s="622" t="s">
        <v>158</v>
      </c>
      <c r="AW51" s="623" t="s">
        <v>96</v>
      </c>
      <c r="AX51" s="1042" t="s">
        <v>180</v>
      </c>
      <c r="AY51" s="494" t="s">
        <v>373</v>
      </c>
      <c r="AZ51" s="407"/>
      <c r="BA51" s="407"/>
      <c r="BB51" s="407"/>
      <c r="BC51" s="407"/>
      <c r="BD51" s="407"/>
    </row>
    <row r="52" spans="1:56" ht="6.75" customHeight="1" x14ac:dyDescent="0.2">
      <c r="A52" s="407"/>
      <c r="B52" s="407"/>
      <c r="C52" s="407"/>
      <c r="D52" s="407"/>
      <c r="E52" s="407"/>
      <c r="F52" s="407"/>
      <c r="G52" s="407"/>
      <c r="H52" s="407"/>
      <c r="I52" s="407"/>
      <c r="J52" s="407"/>
      <c r="K52" s="407"/>
      <c r="L52" s="407"/>
      <c r="M52" s="407"/>
      <c r="N52" s="407"/>
      <c r="O52" s="407"/>
      <c r="P52" s="407"/>
      <c r="Q52" s="407"/>
      <c r="R52" s="407"/>
      <c r="S52" s="407"/>
      <c r="T52" s="407"/>
      <c r="U52" s="407"/>
      <c r="AA52" s="407"/>
      <c r="AB52" s="407"/>
      <c r="AC52" s="407"/>
      <c r="AD52" s="407"/>
      <c r="AE52" s="407"/>
      <c r="AF52" s="407"/>
      <c r="AG52" s="407"/>
      <c r="AH52" s="407"/>
      <c r="AI52" s="407"/>
      <c r="AJ52" s="407"/>
      <c r="AK52" s="407"/>
      <c r="AL52" s="407"/>
      <c r="AM52" s="407"/>
      <c r="AN52" s="407"/>
      <c r="AO52" s="407"/>
      <c r="AP52" s="407"/>
      <c r="AQ52" s="407"/>
      <c r="AR52" s="407"/>
      <c r="AS52" s="407"/>
      <c r="AT52" s="494"/>
      <c r="AU52" s="622"/>
      <c r="AV52" s="622"/>
      <c r="AW52" s="623"/>
      <c r="AX52" s="622"/>
      <c r="AY52" s="291"/>
      <c r="AZ52" s="407"/>
      <c r="BA52" s="407"/>
      <c r="BB52" s="407"/>
      <c r="BC52" s="407"/>
      <c r="BD52" s="407"/>
    </row>
    <row r="53" spans="1:56" x14ac:dyDescent="0.2">
      <c r="A53" s="407"/>
      <c r="B53" s="407"/>
      <c r="C53" s="407"/>
      <c r="D53" s="407"/>
      <c r="E53" s="407"/>
      <c r="F53" s="407"/>
      <c r="G53" s="407"/>
      <c r="H53" s="407"/>
      <c r="I53" s="407"/>
      <c r="J53" s="407"/>
      <c r="K53" s="407"/>
      <c r="L53" s="407"/>
      <c r="M53" s="407"/>
      <c r="N53" s="407"/>
      <c r="O53" s="407"/>
      <c r="P53" s="407"/>
      <c r="Q53" s="407"/>
      <c r="R53" s="407"/>
      <c r="S53" s="407"/>
      <c r="T53" s="407"/>
      <c r="U53" s="407"/>
      <c r="AA53" s="407"/>
      <c r="AB53" s="407"/>
      <c r="AC53" s="407"/>
      <c r="AD53" s="407"/>
      <c r="AE53" s="407"/>
      <c r="AF53" s="407"/>
      <c r="AG53" s="407"/>
      <c r="AH53" s="407"/>
      <c r="AI53" s="407"/>
      <c r="AJ53" s="407"/>
      <c r="AK53" s="407"/>
      <c r="AL53" s="407"/>
      <c r="AM53" s="407"/>
      <c r="AN53" s="407"/>
      <c r="AO53" s="407"/>
      <c r="AP53" s="407"/>
      <c r="AQ53" s="407"/>
      <c r="AR53" s="407"/>
      <c r="AS53" s="407"/>
      <c r="AT53" s="494" t="s">
        <v>98</v>
      </c>
      <c r="AU53" s="622" t="s">
        <v>181</v>
      </c>
      <c r="AV53" s="622" t="s">
        <v>182</v>
      </c>
      <c r="AW53" s="623" t="s">
        <v>810</v>
      </c>
      <c r="AX53" s="622" t="s">
        <v>115</v>
      </c>
      <c r="AY53" s="220" t="s">
        <v>374</v>
      </c>
      <c r="AZ53" s="407"/>
      <c r="BA53" s="407"/>
      <c r="BB53" s="407"/>
      <c r="BC53" s="407"/>
      <c r="BD53" s="407"/>
    </row>
    <row r="54" spans="1:56" x14ac:dyDescent="0.2">
      <c r="A54" s="407"/>
      <c r="B54" s="407"/>
      <c r="C54" s="407"/>
      <c r="D54" s="407"/>
      <c r="E54" s="407"/>
      <c r="F54" s="407"/>
      <c r="G54" s="407"/>
      <c r="H54" s="407"/>
      <c r="I54" s="407"/>
      <c r="J54" s="407"/>
      <c r="K54" s="407"/>
      <c r="L54" s="407"/>
      <c r="M54" s="407"/>
      <c r="N54" s="407"/>
      <c r="O54" s="407"/>
      <c r="P54" s="407"/>
      <c r="Q54" s="407"/>
      <c r="R54" s="407"/>
      <c r="S54" s="407"/>
      <c r="T54" s="407"/>
      <c r="U54" s="407"/>
      <c r="AA54" s="407"/>
      <c r="AB54" s="407"/>
      <c r="AC54" s="407"/>
      <c r="AD54" s="407"/>
      <c r="AE54" s="407"/>
      <c r="AF54" s="407"/>
      <c r="AG54" s="407"/>
      <c r="AH54" s="407"/>
      <c r="AI54" s="407"/>
      <c r="AJ54" s="407"/>
      <c r="AK54" s="407"/>
      <c r="AL54" s="407"/>
      <c r="AM54" s="407"/>
      <c r="AN54" s="407"/>
      <c r="AO54" s="407"/>
      <c r="AP54" s="407"/>
      <c r="AQ54" s="407"/>
      <c r="AR54" s="407"/>
      <c r="AS54" s="407"/>
      <c r="AT54" s="494" t="s">
        <v>99</v>
      </c>
      <c r="AU54" s="622" t="s">
        <v>220</v>
      </c>
      <c r="AV54" s="622" t="s">
        <v>185</v>
      </c>
      <c r="AW54" s="220" t="s">
        <v>811</v>
      </c>
      <c r="AX54" s="622" t="s">
        <v>116</v>
      </c>
      <c r="AY54" s="220" t="s">
        <v>375</v>
      </c>
      <c r="AZ54" s="407"/>
      <c r="BA54" s="407"/>
      <c r="BB54" s="407"/>
      <c r="BC54" s="407"/>
      <c r="BD54" s="407"/>
    </row>
    <row r="55" spans="1:56" x14ac:dyDescent="0.2">
      <c r="A55" s="407"/>
      <c r="B55" s="407"/>
      <c r="C55" s="407"/>
      <c r="D55" s="407"/>
      <c r="E55" s="407"/>
      <c r="F55" s="407"/>
      <c r="G55" s="407"/>
      <c r="H55" s="407"/>
      <c r="I55" s="407"/>
      <c r="J55" s="407"/>
      <c r="K55" s="407"/>
      <c r="L55" s="407"/>
      <c r="M55" s="407"/>
      <c r="N55" s="407"/>
      <c r="O55" s="407"/>
      <c r="P55" s="407"/>
      <c r="Q55" s="407"/>
      <c r="R55" s="407"/>
      <c r="S55" s="407"/>
      <c r="T55" s="407"/>
      <c r="U55" s="407"/>
      <c r="AA55" s="407"/>
      <c r="AB55" s="407"/>
      <c r="AC55" s="407"/>
      <c r="AD55" s="407"/>
      <c r="AE55" s="407"/>
      <c r="AF55" s="407"/>
      <c r="AG55" s="407"/>
      <c r="AH55" s="407"/>
      <c r="AI55" s="407"/>
      <c r="AJ55" s="407"/>
      <c r="AK55" s="407"/>
      <c r="AL55" s="407"/>
      <c r="AM55" s="407"/>
      <c r="AN55" s="407"/>
      <c r="AO55" s="407"/>
      <c r="AP55" s="407"/>
      <c r="AQ55" s="407"/>
      <c r="AR55" s="407"/>
      <c r="AS55" s="407"/>
      <c r="AT55" s="637"/>
      <c r="AU55" s="622" t="s">
        <v>184</v>
      </c>
      <c r="AV55" s="622" t="s">
        <v>187</v>
      </c>
      <c r="AW55" s="220" t="s">
        <v>812</v>
      </c>
      <c r="AX55" s="407"/>
      <c r="AY55" s="220" t="s">
        <v>376</v>
      </c>
      <c r="AZ55" s="407"/>
      <c r="BA55" s="407"/>
      <c r="BB55" s="407"/>
      <c r="BC55" s="407"/>
      <c r="BD55" s="407"/>
    </row>
    <row r="56" spans="1:56" x14ac:dyDescent="0.2">
      <c r="A56" s="407"/>
      <c r="B56" s="407"/>
      <c r="C56" s="407"/>
      <c r="D56" s="407"/>
      <c r="E56" s="407"/>
      <c r="F56" s="407"/>
      <c r="G56" s="407"/>
      <c r="H56" s="407"/>
      <c r="I56" s="407"/>
      <c r="J56" s="407"/>
      <c r="K56" s="407"/>
      <c r="L56" s="407"/>
      <c r="M56" s="407"/>
      <c r="N56" s="407"/>
      <c r="O56" s="407"/>
      <c r="P56" s="407"/>
      <c r="Q56" s="407"/>
      <c r="R56" s="407"/>
      <c r="S56" s="407"/>
      <c r="T56" s="407"/>
      <c r="U56" s="407"/>
      <c r="AA56" s="407"/>
      <c r="AB56" s="407"/>
      <c r="AC56" s="407"/>
      <c r="AD56" s="407"/>
      <c r="AE56" s="407"/>
      <c r="AF56" s="407"/>
      <c r="AG56" s="407"/>
      <c r="AH56" s="407"/>
      <c r="AI56" s="407"/>
      <c r="AJ56" s="407"/>
      <c r="AK56" s="407"/>
      <c r="AL56" s="407"/>
      <c r="AM56" s="407"/>
      <c r="AN56" s="407"/>
      <c r="AO56" s="407"/>
      <c r="AP56" s="407"/>
      <c r="AQ56" s="407"/>
      <c r="AR56" s="407"/>
      <c r="AS56" s="407"/>
      <c r="AT56" s="407"/>
      <c r="AU56" s="622" t="s">
        <v>219</v>
      </c>
      <c r="AV56" s="622" t="s">
        <v>189</v>
      </c>
      <c r="AW56" s="407"/>
      <c r="AX56" s="407"/>
      <c r="AY56" s="220" t="s">
        <v>377</v>
      </c>
      <c r="AZ56" s="407"/>
      <c r="BA56" s="407"/>
      <c r="BB56" s="407"/>
      <c r="BC56" s="407"/>
      <c r="BD56" s="407"/>
    </row>
    <row r="57" spans="1:56" x14ac:dyDescent="0.2">
      <c r="A57" s="407"/>
      <c r="B57" s="407"/>
      <c r="C57" s="407"/>
      <c r="D57" s="407"/>
      <c r="E57" s="407"/>
      <c r="F57" s="407"/>
      <c r="G57" s="407"/>
      <c r="H57" s="407"/>
      <c r="I57" s="407"/>
      <c r="J57" s="407"/>
      <c r="K57" s="407"/>
      <c r="L57" s="407"/>
      <c r="M57" s="407"/>
      <c r="N57" s="407"/>
      <c r="O57" s="407"/>
      <c r="P57" s="407"/>
      <c r="Q57" s="407"/>
      <c r="R57" s="407"/>
      <c r="S57" s="407"/>
      <c r="T57" s="407"/>
      <c r="U57" s="407"/>
      <c r="AA57" s="407"/>
      <c r="AB57" s="407"/>
      <c r="AC57" s="407"/>
      <c r="AD57" s="407"/>
      <c r="AE57" s="407"/>
      <c r="AF57" s="407"/>
      <c r="AG57" s="407"/>
      <c r="AH57" s="407"/>
      <c r="AI57" s="407"/>
      <c r="AJ57" s="407"/>
      <c r="AK57" s="407"/>
      <c r="AL57" s="407"/>
      <c r="AM57" s="407"/>
      <c r="AN57" s="407"/>
      <c r="AO57" s="407"/>
      <c r="AP57" s="407"/>
      <c r="AQ57" s="407"/>
      <c r="AR57" s="407"/>
      <c r="AS57" s="407"/>
      <c r="AT57" s="407"/>
      <c r="AU57" s="622" t="s">
        <v>186</v>
      </c>
      <c r="AV57" s="622" t="s">
        <v>191</v>
      </c>
      <c r="AW57" s="407"/>
      <c r="AX57" s="407"/>
      <c r="AY57" s="220" t="s">
        <v>378</v>
      </c>
      <c r="AZ57" s="407"/>
      <c r="BA57" s="407"/>
      <c r="BB57" s="407"/>
      <c r="BC57" s="407"/>
      <c r="BD57" s="407"/>
    </row>
    <row r="58" spans="1:56" x14ac:dyDescent="0.2">
      <c r="A58" s="407"/>
      <c r="B58" s="407"/>
      <c r="C58" s="407"/>
      <c r="D58" s="407"/>
      <c r="E58" s="407"/>
      <c r="F58" s="407"/>
      <c r="G58" s="407"/>
      <c r="H58" s="407"/>
      <c r="I58" s="407"/>
      <c r="J58" s="407"/>
      <c r="K58" s="407"/>
      <c r="L58" s="407"/>
      <c r="M58" s="407"/>
      <c r="N58" s="407"/>
      <c r="O58" s="407"/>
      <c r="P58" s="407"/>
      <c r="Q58" s="407"/>
      <c r="R58" s="407"/>
      <c r="S58" s="407"/>
      <c r="T58" s="407"/>
      <c r="U58" s="407"/>
      <c r="AA58" s="407"/>
      <c r="AB58" s="407"/>
      <c r="AC58" s="407"/>
      <c r="AD58" s="407"/>
      <c r="AE58" s="407"/>
      <c r="AF58" s="407"/>
      <c r="AG58" s="407"/>
      <c r="AH58" s="407"/>
      <c r="AI58" s="407"/>
      <c r="AJ58" s="407"/>
      <c r="AK58" s="407"/>
      <c r="AL58" s="407"/>
      <c r="AM58" s="407"/>
      <c r="AN58" s="407"/>
      <c r="AO58" s="407"/>
      <c r="AP58" s="407"/>
      <c r="AQ58" s="407"/>
      <c r="AR58" s="407"/>
      <c r="AS58" s="407"/>
      <c r="AT58" s="407"/>
      <c r="AU58" s="622" t="s">
        <v>884</v>
      </c>
      <c r="AV58" s="622" t="s">
        <v>193</v>
      </c>
      <c r="AW58" s="407"/>
      <c r="AX58" s="407"/>
      <c r="AY58" s="220" t="s">
        <v>379</v>
      </c>
      <c r="AZ58" s="407"/>
      <c r="BA58" s="407"/>
      <c r="BB58" s="407"/>
      <c r="BC58" s="407"/>
      <c r="BD58" s="407"/>
    </row>
    <row r="59" spans="1:56" x14ac:dyDescent="0.2">
      <c r="A59" s="407"/>
      <c r="B59" s="407"/>
      <c r="C59" s="407"/>
      <c r="D59" s="407"/>
      <c r="E59" s="407"/>
      <c r="F59" s="407"/>
      <c r="G59" s="407"/>
      <c r="H59" s="407"/>
      <c r="I59" s="407"/>
      <c r="J59" s="407"/>
      <c r="K59" s="407"/>
      <c r="L59" s="407"/>
      <c r="M59" s="407"/>
      <c r="N59" s="407"/>
      <c r="O59" s="407"/>
      <c r="P59" s="407"/>
      <c r="Q59" s="407"/>
      <c r="R59" s="407"/>
      <c r="S59" s="407"/>
      <c r="T59" s="407"/>
      <c r="U59" s="407"/>
      <c r="AA59" s="407"/>
      <c r="AB59" s="407"/>
      <c r="AC59" s="407"/>
      <c r="AD59" s="407"/>
      <c r="AE59" s="407"/>
      <c r="AF59" s="407"/>
      <c r="AG59" s="407"/>
      <c r="AH59" s="407"/>
      <c r="AI59" s="407"/>
      <c r="AJ59" s="407"/>
      <c r="AK59" s="407"/>
      <c r="AL59" s="407"/>
      <c r="AM59" s="407"/>
      <c r="AN59" s="407"/>
      <c r="AO59" s="407"/>
      <c r="AP59" s="407"/>
      <c r="AQ59" s="407"/>
      <c r="AR59" s="407"/>
      <c r="AS59" s="407"/>
      <c r="AT59" s="407"/>
      <c r="AU59" s="644" t="s">
        <v>188</v>
      </c>
      <c r="AV59" s="622" t="s">
        <v>171</v>
      </c>
      <c r="AW59" s="407"/>
      <c r="AX59" s="407"/>
      <c r="AY59" s="407"/>
      <c r="AZ59" s="407"/>
      <c r="BA59" s="407"/>
      <c r="BB59" s="407"/>
      <c r="BC59" s="407"/>
      <c r="BD59" s="407"/>
    </row>
    <row r="60" spans="1:56" x14ac:dyDescent="0.2">
      <c r="A60" s="407"/>
      <c r="B60" s="407"/>
      <c r="C60" s="407"/>
      <c r="D60" s="407"/>
      <c r="E60" s="407"/>
      <c r="F60" s="407"/>
      <c r="G60" s="407"/>
      <c r="H60" s="407"/>
      <c r="I60" s="407"/>
      <c r="J60" s="407"/>
      <c r="K60" s="407"/>
      <c r="L60" s="407"/>
      <c r="M60" s="407"/>
      <c r="N60" s="407"/>
      <c r="O60" s="407"/>
      <c r="P60" s="407"/>
      <c r="Q60" s="407"/>
      <c r="R60" s="407"/>
      <c r="S60" s="407"/>
      <c r="T60" s="407"/>
      <c r="U60" s="407"/>
      <c r="AA60" s="407"/>
      <c r="AB60" s="407"/>
      <c r="AC60" s="407"/>
      <c r="AD60" s="407"/>
      <c r="AE60" s="407"/>
      <c r="AF60" s="407"/>
      <c r="AG60" s="407"/>
      <c r="AH60" s="407"/>
      <c r="AI60" s="407"/>
      <c r="AJ60" s="407"/>
      <c r="AK60" s="407"/>
      <c r="AL60" s="407"/>
      <c r="AM60" s="407"/>
      <c r="AN60" s="407"/>
      <c r="AO60" s="407"/>
      <c r="AP60" s="407"/>
      <c r="AQ60" s="407"/>
      <c r="AR60" s="407"/>
      <c r="AS60" s="407"/>
      <c r="AT60" s="407"/>
      <c r="AU60" s="644" t="s">
        <v>885</v>
      </c>
      <c r="AV60" s="622" t="s">
        <v>183</v>
      </c>
      <c r="AW60" s="407"/>
      <c r="AX60" s="407"/>
      <c r="AY60" s="407"/>
      <c r="AZ60" s="407"/>
      <c r="BA60" s="407"/>
      <c r="BB60" s="407"/>
      <c r="BC60" s="407"/>
      <c r="BD60" s="407"/>
    </row>
    <row r="61" spans="1:56" x14ac:dyDescent="0.2">
      <c r="A61" s="407"/>
      <c r="B61" s="407"/>
      <c r="C61" s="407"/>
      <c r="D61" s="407"/>
      <c r="E61" s="407"/>
      <c r="F61" s="407"/>
      <c r="G61" s="407"/>
      <c r="H61" s="407"/>
      <c r="I61" s="407"/>
      <c r="J61" s="407"/>
      <c r="K61" s="407"/>
      <c r="L61" s="407"/>
      <c r="M61" s="407"/>
      <c r="N61" s="407"/>
      <c r="O61" s="407"/>
      <c r="P61" s="407"/>
      <c r="Q61" s="407"/>
      <c r="R61" s="407"/>
      <c r="S61" s="407"/>
      <c r="T61" s="407"/>
      <c r="U61" s="407"/>
      <c r="AA61" s="407"/>
      <c r="AB61" s="407"/>
      <c r="AC61" s="407"/>
      <c r="AD61" s="407"/>
      <c r="AE61" s="407"/>
      <c r="AF61" s="407"/>
      <c r="AG61" s="407"/>
      <c r="AH61" s="407"/>
      <c r="AI61" s="407"/>
      <c r="AJ61" s="407"/>
      <c r="AK61" s="407"/>
      <c r="AL61" s="407"/>
      <c r="AM61" s="407"/>
      <c r="AN61" s="407"/>
      <c r="AO61" s="407"/>
      <c r="AP61" s="407"/>
      <c r="AQ61" s="407"/>
      <c r="AR61" s="407"/>
      <c r="AS61" s="407"/>
      <c r="AT61" s="407"/>
      <c r="AU61" s="644" t="s">
        <v>190</v>
      </c>
      <c r="AV61" s="622" t="s">
        <v>216</v>
      </c>
      <c r="AW61" s="407"/>
      <c r="AX61" s="407"/>
      <c r="AY61" s="407"/>
      <c r="AZ61" s="407"/>
      <c r="BA61" s="407"/>
      <c r="BB61" s="407"/>
      <c r="BC61" s="407"/>
      <c r="BD61" s="407"/>
    </row>
    <row r="62" spans="1:56" x14ac:dyDescent="0.2">
      <c r="A62" s="407"/>
      <c r="B62" s="407"/>
      <c r="C62" s="407"/>
      <c r="D62" s="407"/>
      <c r="E62" s="407"/>
      <c r="F62" s="407"/>
      <c r="G62" s="407"/>
      <c r="H62" s="407"/>
      <c r="I62" s="407"/>
      <c r="J62" s="407"/>
      <c r="K62" s="407"/>
      <c r="L62" s="407"/>
      <c r="M62" s="407"/>
      <c r="N62" s="407"/>
      <c r="O62" s="407"/>
      <c r="P62" s="407"/>
      <c r="Q62" s="407"/>
      <c r="R62" s="407"/>
      <c r="S62" s="407"/>
      <c r="T62" s="407"/>
      <c r="U62" s="407"/>
      <c r="AA62" s="407"/>
      <c r="AB62" s="407"/>
      <c r="AC62" s="407"/>
      <c r="AD62" s="407"/>
      <c r="AE62" s="407"/>
      <c r="AF62" s="407"/>
      <c r="AG62" s="407"/>
      <c r="AH62" s="407"/>
      <c r="AI62" s="407"/>
      <c r="AJ62" s="407"/>
      <c r="AK62" s="407"/>
      <c r="AL62" s="407"/>
      <c r="AM62" s="407"/>
      <c r="AN62" s="407"/>
      <c r="AO62" s="407"/>
      <c r="AP62" s="407"/>
      <c r="AQ62" s="407"/>
      <c r="AR62" s="407"/>
      <c r="AS62" s="407"/>
      <c r="AT62" s="407"/>
      <c r="AU62" s="644" t="s">
        <v>886</v>
      </c>
      <c r="AV62" s="622" t="s">
        <v>347</v>
      </c>
      <c r="AW62" s="407"/>
      <c r="AX62" s="407"/>
      <c r="AY62" s="407"/>
      <c r="AZ62" s="407"/>
      <c r="BA62" s="407"/>
      <c r="BB62" s="407"/>
      <c r="BC62" s="407"/>
      <c r="BD62" s="407"/>
    </row>
    <row r="63" spans="1:56" x14ac:dyDescent="0.2">
      <c r="A63" s="407"/>
      <c r="B63" s="407"/>
      <c r="C63" s="407"/>
      <c r="D63" s="407"/>
      <c r="E63" s="407"/>
      <c r="F63" s="407"/>
      <c r="G63" s="407"/>
      <c r="H63" s="407"/>
      <c r="I63" s="407"/>
      <c r="J63" s="407"/>
      <c r="K63" s="407"/>
      <c r="L63" s="407"/>
      <c r="M63" s="407"/>
      <c r="N63" s="407"/>
      <c r="O63" s="407"/>
      <c r="P63" s="407"/>
      <c r="Q63" s="407"/>
      <c r="R63" s="407"/>
      <c r="S63" s="407"/>
      <c r="T63" s="407"/>
      <c r="U63" s="407"/>
      <c r="AA63" s="407"/>
      <c r="AB63" s="407"/>
      <c r="AC63" s="407"/>
      <c r="AD63" s="407"/>
      <c r="AE63" s="407"/>
      <c r="AF63" s="407"/>
      <c r="AG63" s="407"/>
      <c r="AH63" s="407"/>
      <c r="AI63" s="407"/>
      <c r="AJ63" s="407"/>
      <c r="AK63" s="407"/>
      <c r="AL63" s="407"/>
      <c r="AM63" s="407"/>
      <c r="AN63" s="407"/>
      <c r="AO63" s="407"/>
      <c r="AP63" s="407"/>
      <c r="AQ63" s="407"/>
      <c r="AR63" s="407"/>
      <c r="AS63" s="407"/>
      <c r="AT63" s="407"/>
      <c r="AU63" s="622" t="s">
        <v>192</v>
      </c>
      <c r="AV63" s="507"/>
      <c r="AW63" s="407"/>
      <c r="AX63" s="407"/>
      <c r="AY63" s="407"/>
      <c r="AZ63" s="407"/>
      <c r="BA63" s="407"/>
      <c r="BB63" s="407"/>
      <c r="BC63" s="407"/>
      <c r="BD63" s="407"/>
    </row>
    <row r="64" spans="1:56" x14ac:dyDescent="0.2">
      <c r="A64" s="407"/>
      <c r="B64" s="407"/>
      <c r="C64" s="407"/>
      <c r="D64" s="407"/>
      <c r="E64" s="407"/>
      <c r="F64" s="407"/>
      <c r="G64" s="407"/>
      <c r="H64" s="407"/>
      <c r="I64" s="407"/>
      <c r="J64" s="407"/>
      <c r="K64" s="407"/>
      <c r="L64" s="407"/>
      <c r="M64" s="407"/>
      <c r="N64" s="407"/>
      <c r="O64" s="407"/>
      <c r="P64" s="407"/>
      <c r="Q64" s="407"/>
      <c r="R64" s="407"/>
      <c r="S64" s="407"/>
      <c r="T64" s="407"/>
      <c r="U64" s="407"/>
      <c r="AA64" s="407"/>
      <c r="AB64" s="407"/>
      <c r="AC64" s="407"/>
      <c r="AD64" s="407"/>
      <c r="AE64" s="407"/>
      <c r="AF64" s="407"/>
      <c r="AG64" s="407"/>
      <c r="AH64" s="407"/>
      <c r="AI64" s="407"/>
      <c r="AJ64" s="407"/>
      <c r="AK64" s="407"/>
      <c r="AL64" s="407"/>
      <c r="AM64" s="407"/>
      <c r="AN64" s="407"/>
      <c r="AO64" s="407"/>
      <c r="AP64" s="407"/>
      <c r="AQ64" s="407"/>
      <c r="AR64" s="407"/>
      <c r="AS64" s="407"/>
      <c r="AT64" s="407"/>
      <c r="AU64" s="622" t="s">
        <v>194</v>
      </c>
      <c r="AV64" s="507"/>
      <c r="AW64" s="407"/>
      <c r="AX64" s="407"/>
      <c r="AY64" s="407"/>
      <c r="AZ64" s="407"/>
      <c r="BA64" s="407"/>
      <c r="BB64" s="407"/>
      <c r="BC64" s="407"/>
      <c r="BD64" s="407"/>
    </row>
    <row r="65" spans="1:56" x14ac:dyDescent="0.2">
      <c r="A65" s="407"/>
      <c r="B65" s="407"/>
      <c r="C65" s="407"/>
      <c r="D65" s="407"/>
      <c r="E65" s="407"/>
      <c r="F65" s="407"/>
      <c r="G65" s="407"/>
      <c r="H65" s="407"/>
      <c r="I65" s="407"/>
      <c r="J65" s="407"/>
      <c r="K65" s="407"/>
      <c r="L65" s="407"/>
      <c r="M65" s="407"/>
      <c r="N65" s="407"/>
      <c r="O65" s="407"/>
      <c r="P65" s="407"/>
      <c r="Q65" s="407"/>
      <c r="R65" s="407"/>
      <c r="S65" s="407"/>
      <c r="T65" s="407"/>
      <c r="U65" s="407"/>
      <c r="AA65" s="407"/>
      <c r="AB65" s="407"/>
      <c r="AC65" s="407"/>
      <c r="AD65" s="407"/>
      <c r="AE65" s="407"/>
      <c r="AF65" s="407"/>
      <c r="AG65" s="407"/>
      <c r="AH65" s="407"/>
      <c r="AI65" s="407"/>
      <c r="AJ65" s="407"/>
      <c r="AK65" s="407"/>
      <c r="AL65" s="407"/>
      <c r="AM65" s="407"/>
      <c r="AN65" s="407"/>
      <c r="AO65" s="407"/>
      <c r="AP65" s="407"/>
      <c r="AQ65" s="407"/>
      <c r="AR65" s="407"/>
      <c r="AS65" s="407"/>
      <c r="AT65" s="407"/>
      <c r="AU65" s="622" t="s">
        <v>887</v>
      </c>
      <c r="AV65" s="507"/>
      <c r="AW65" s="407"/>
      <c r="AX65" s="407"/>
      <c r="AY65" s="407"/>
      <c r="AZ65" s="407"/>
      <c r="BA65" s="407"/>
      <c r="BB65" s="407"/>
      <c r="BC65" s="407"/>
      <c r="BD65" s="407"/>
    </row>
    <row r="66" spans="1:56" x14ac:dyDescent="0.2">
      <c r="A66" s="407"/>
      <c r="B66" s="407"/>
      <c r="C66" s="407"/>
      <c r="D66" s="407"/>
      <c r="E66" s="407"/>
      <c r="F66" s="407"/>
      <c r="G66" s="407"/>
      <c r="H66" s="407"/>
      <c r="I66" s="407"/>
      <c r="J66" s="407"/>
      <c r="K66" s="407"/>
      <c r="L66" s="407"/>
      <c r="M66" s="407"/>
      <c r="N66" s="407"/>
      <c r="O66" s="407"/>
      <c r="P66" s="407"/>
      <c r="Q66" s="407"/>
      <c r="R66" s="407"/>
      <c r="S66" s="407"/>
      <c r="T66" s="407"/>
      <c r="U66" s="407"/>
      <c r="AA66" s="407"/>
      <c r="AB66" s="407"/>
      <c r="AC66" s="407"/>
      <c r="AD66" s="407"/>
      <c r="AE66" s="407"/>
      <c r="AF66" s="407"/>
      <c r="AG66" s="407"/>
      <c r="AH66" s="407"/>
      <c r="AI66" s="407"/>
      <c r="AJ66" s="407"/>
      <c r="AK66" s="407"/>
      <c r="AL66" s="407"/>
      <c r="AM66" s="407"/>
      <c r="AN66" s="407"/>
      <c r="AO66" s="407"/>
      <c r="AP66" s="407"/>
      <c r="AQ66" s="407"/>
      <c r="AR66" s="407"/>
      <c r="AS66" s="407"/>
      <c r="AT66" s="407"/>
      <c r="AU66" s="622" t="s">
        <v>216</v>
      </c>
      <c r="AV66" s="507"/>
      <c r="AW66" s="407"/>
      <c r="AX66" s="407"/>
      <c r="AY66" s="407"/>
      <c r="AZ66" s="407"/>
      <c r="BA66" s="407"/>
      <c r="BB66" s="407"/>
      <c r="BC66" s="407"/>
      <c r="BD66" s="407"/>
    </row>
    <row r="67" spans="1:56" x14ac:dyDescent="0.2">
      <c r="A67" s="407"/>
      <c r="B67" s="407"/>
      <c r="C67" s="407"/>
      <c r="D67" s="407"/>
      <c r="E67" s="407"/>
      <c r="F67" s="407"/>
      <c r="G67" s="407"/>
      <c r="H67" s="407"/>
      <c r="I67" s="407"/>
      <c r="J67" s="407"/>
      <c r="K67" s="407"/>
      <c r="L67" s="407"/>
      <c r="M67" s="407"/>
      <c r="N67" s="407"/>
      <c r="O67" s="407"/>
      <c r="P67" s="407"/>
      <c r="Q67" s="407"/>
      <c r="R67" s="407"/>
      <c r="S67" s="407"/>
      <c r="T67" s="407"/>
      <c r="U67" s="407"/>
      <c r="AA67" s="407"/>
      <c r="AB67" s="407"/>
      <c r="AC67" s="407"/>
      <c r="AD67" s="407"/>
      <c r="AE67" s="407"/>
      <c r="AF67" s="407"/>
      <c r="AG67" s="407"/>
      <c r="AH67" s="407"/>
      <c r="AI67" s="407"/>
      <c r="AJ67" s="407"/>
      <c r="AK67" s="407"/>
      <c r="AL67" s="407"/>
      <c r="AM67" s="407"/>
      <c r="AN67" s="407"/>
      <c r="AO67" s="407"/>
      <c r="AP67" s="407"/>
      <c r="AQ67" s="407"/>
      <c r="AR67" s="407"/>
      <c r="AS67" s="407"/>
      <c r="AT67" s="407"/>
      <c r="AU67" s="622" t="s">
        <v>241</v>
      </c>
      <c r="AV67" s="407"/>
      <c r="AW67" s="407"/>
      <c r="AX67" s="407"/>
      <c r="AY67" s="407"/>
      <c r="AZ67" s="407"/>
      <c r="BA67" s="407"/>
      <c r="BB67" s="407"/>
      <c r="BC67" s="407"/>
      <c r="BD67" s="407"/>
    </row>
    <row r="68" spans="1:56" x14ac:dyDescent="0.2">
      <c r="A68" s="407"/>
      <c r="B68" s="407"/>
      <c r="C68" s="407"/>
      <c r="D68" s="407"/>
      <c r="E68" s="407"/>
      <c r="F68" s="407"/>
      <c r="G68" s="407"/>
      <c r="H68" s="407"/>
      <c r="I68" s="407"/>
      <c r="J68" s="407"/>
      <c r="K68" s="407"/>
      <c r="L68" s="407"/>
      <c r="M68" s="407"/>
      <c r="N68" s="407"/>
      <c r="O68" s="407"/>
      <c r="P68" s="407"/>
      <c r="Q68" s="407"/>
      <c r="R68" s="407"/>
      <c r="S68" s="407"/>
      <c r="T68" s="407"/>
      <c r="U68" s="407"/>
      <c r="AA68" s="407"/>
      <c r="AB68" s="407"/>
      <c r="AC68" s="407"/>
      <c r="AD68" s="407"/>
      <c r="AE68" s="407"/>
      <c r="AF68" s="407"/>
      <c r="AG68" s="407"/>
      <c r="AH68" s="407"/>
      <c r="AI68" s="407"/>
      <c r="AJ68" s="407"/>
      <c r="AK68" s="407"/>
      <c r="AL68" s="407"/>
      <c r="AM68" s="407"/>
      <c r="AN68" s="407"/>
      <c r="AO68" s="407"/>
      <c r="AP68" s="407"/>
      <c r="AQ68" s="407"/>
      <c r="AR68" s="407"/>
      <c r="AS68" s="407"/>
      <c r="AT68" s="407"/>
      <c r="AU68" s="622" t="s">
        <v>888</v>
      </c>
      <c r="AV68" s="407"/>
      <c r="AW68" s="407"/>
      <c r="AX68" s="407"/>
      <c r="AY68" s="407"/>
      <c r="AZ68" s="407"/>
      <c r="BA68" s="407"/>
      <c r="BB68" s="407"/>
      <c r="BC68" s="407"/>
      <c r="BD68" s="407"/>
    </row>
    <row r="69" spans="1:56" x14ac:dyDescent="0.2">
      <c r="A69" s="407"/>
      <c r="B69" s="407"/>
      <c r="C69" s="407"/>
      <c r="D69" s="407"/>
      <c r="E69" s="407"/>
      <c r="F69" s="407"/>
      <c r="G69" s="407"/>
      <c r="H69" s="407"/>
      <c r="I69" s="407"/>
      <c r="J69" s="407"/>
      <c r="K69" s="407"/>
      <c r="L69" s="407"/>
      <c r="M69" s="407"/>
      <c r="N69" s="407"/>
      <c r="O69" s="407"/>
      <c r="P69" s="407"/>
      <c r="Q69" s="407"/>
      <c r="R69" s="407"/>
      <c r="S69" s="407"/>
      <c r="T69" s="407"/>
      <c r="U69" s="407"/>
      <c r="AA69" s="407"/>
      <c r="AB69" s="407"/>
      <c r="AC69" s="407"/>
      <c r="AD69" s="407"/>
      <c r="AE69" s="407"/>
      <c r="AF69" s="407"/>
      <c r="AG69" s="407"/>
      <c r="AH69" s="407"/>
      <c r="AI69" s="407"/>
      <c r="AJ69" s="407"/>
      <c r="AK69" s="407"/>
      <c r="AL69" s="407"/>
      <c r="AM69" s="407"/>
      <c r="AN69" s="407"/>
      <c r="AO69" s="407"/>
      <c r="AP69" s="407"/>
      <c r="AQ69" s="407"/>
      <c r="AR69" s="407"/>
      <c r="AS69" s="407"/>
      <c r="AT69" s="407"/>
      <c r="AU69" s="622" t="s">
        <v>239</v>
      </c>
      <c r="AV69" s="507"/>
      <c r="AW69" s="407"/>
      <c r="AX69" s="407"/>
      <c r="AY69" s="407"/>
      <c r="AZ69" s="407"/>
      <c r="BA69" s="407"/>
      <c r="BB69" s="407"/>
      <c r="BC69" s="407"/>
      <c r="BD69" s="407"/>
    </row>
    <row r="70" spans="1:56" x14ac:dyDescent="0.2">
      <c r="A70" s="407"/>
      <c r="B70" s="407"/>
      <c r="C70" s="407"/>
      <c r="D70" s="407"/>
      <c r="E70" s="407"/>
      <c r="F70" s="407"/>
      <c r="G70" s="407"/>
      <c r="H70" s="407"/>
      <c r="I70" s="407"/>
      <c r="J70" s="407"/>
      <c r="K70" s="407"/>
      <c r="L70" s="407"/>
      <c r="M70" s="407"/>
      <c r="N70" s="407"/>
      <c r="O70" s="407"/>
      <c r="P70" s="407"/>
      <c r="Q70" s="407"/>
      <c r="R70" s="407"/>
      <c r="S70" s="407"/>
      <c r="T70" s="407"/>
      <c r="U70" s="407"/>
      <c r="AA70" s="407"/>
      <c r="AB70" s="407"/>
      <c r="AC70" s="407"/>
      <c r="AD70" s="407"/>
      <c r="AE70" s="407"/>
      <c r="AF70" s="407"/>
      <c r="AG70" s="407"/>
      <c r="AH70" s="407"/>
      <c r="AI70" s="407"/>
      <c r="AJ70" s="407"/>
      <c r="AK70" s="407"/>
      <c r="AL70" s="407"/>
      <c r="AM70" s="407"/>
      <c r="AN70" s="407"/>
      <c r="AO70" s="407"/>
      <c r="AP70" s="407"/>
      <c r="AQ70" s="407"/>
      <c r="AR70" s="407"/>
      <c r="AS70" s="407"/>
      <c r="AT70" s="407"/>
      <c r="AU70" s="622" t="s">
        <v>240</v>
      </c>
      <c r="AV70" s="507"/>
      <c r="AW70" s="407"/>
      <c r="AX70" s="407"/>
      <c r="AY70" s="407"/>
      <c r="AZ70" s="407"/>
      <c r="BA70" s="407"/>
      <c r="BB70" s="407"/>
      <c r="BC70" s="407"/>
      <c r="BD70" s="407"/>
    </row>
    <row r="71" spans="1:56" x14ac:dyDescent="0.2">
      <c r="A71" s="407"/>
      <c r="B71" s="407"/>
      <c r="C71" s="407"/>
      <c r="D71" s="407"/>
      <c r="E71" s="407"/>
      <c r="F71" s="407"/>
      <c r="G71" s="407"/>
      <c r="H71" s="407"/>
      <c r="I71" s="407"/>
      <c r="J71" s="407"/>
      <c r="K71" s="407"/>
      <c r="L71" s="407"/>
      <c r="M71" s="407"/>
      <c r="N71" s="407"/>
      <c r="O71" s="407"/>
      <c r="P71" s="407"/>
      <c r="Q71" s="407"/>
      <c r="R71" s="407"/>
      <c r="S71" s="407"/>
      <c r="T71" s="407"/>
      <c r="U71" s="407"/>
      <c r="AA71" s="407"/>
      <c r="AB71" s="407"/>
      <c r="AC71" s="407"/>
      <c r="AD71" s="407"/>
      <c r="AE71" s="407"/>
      <c r="AF71" s="407"/>
      <c r="AG71" s="407"/>
      <c r="AH71" s="407"/>
      <c r="AI71" s="407"/>
      <c r="AJ71" s="407"/>
      <c r="AK71" s="407"/>
      <c r="AL71" s="407"/>
      <c r="AM71" s="407"/>
      <c r="AN71" s="407"/>
      <c r="AO71" s="407"/>
      <c r="AP71" s="407"/>
      <c r="AQ71" s="407"/>
      <c r="AR71" s="407"/>
      <c r="AS71" s="407"/>
      <c r="AT71" s="407"/>
      <c r="AU71" s="622" t="s">
        <v>883</v>
      </c>
      <c r="AV71" s="507"/>
      <c r="AW71" s="407"/>
      <c r="AX71" s="407"/>
      <c r="AY71" s="407"/>
      <c r="AZ71" s="407"/>
      <c r="BA71" s="407"/>
      <c r="BB71" s="407"/>
      <c r="BC71" s="407"/>
      <c r="BD71" s="407"/>
    </row>
    <row r="72" spans="1:56" x14ac:dyDescent="0.2">
      <c r="A72" s="407"/>
      <c r="B72" s="407"/>
      <c r="C72" s="407"/>
      <c r="D72" s="407"/>
      <c r="E72" s="407"/>
      <c r="F72" s="407"/>
      <c r="G72" s="407"/>
      <c r="H72" s="407"/>
      <c r="I72" s="407"/>
      <c r="J72" s="407"/>
      <c r="K72" s="407"/>
      <c r="L72" s="407"/>
      <c r="M72" s="407"/>
      <c r="N72" s="407"/>
      <c r="O72" s="407"/>
      <c r="P72" s="407"/>
      <c r="Q72" s="407"/>
      <c r="R72" s="407"/>
      <c r="S72" s="407"/>
      <c r="T72" s="407"/>
      <c r="U72" s="407"/>
      <c r="AA72" s="407"/>
      <c r="AB72" s="407"/>
      <c r="AC72" s="407"/>
      <c r="AD72" s="407"/>
      <c r="AE72" s="407"/>
      <c r="AF72" s="407"/>
      <c r="AG72" s="407"/>
      <c r="AH72" s="407"/>
      <c r="AI72" s="407"/>
      <c r="AJ72" s="407"/>
      <c r="AK72" s="407"/>
      <c r="AL72" s="407"/>
      <c r="AM72" s="407"/>
      <c r="AN72" s="407"/>
      <c r="AO72" s="407"/>
      <c r="AP72" s="407"/>
      <c r="AQ72" s="407"/>
      <c r="AR72" s="407"/>
      <c r="AS72" s="407"/>
      <c r="AT72" s="407"/>
      <c r="AU72" s="622" t="s">
        <v>247</v>
      </c>
      <c r="AV72" s="507"/>
      <c r="AW72" s="407"/>
      <c r="AX72" s="407"/>
      <c r="AY72" s="407"/>
      <c r="AZ72" s="407"/>
      <c r="BA72" s="407"/>
      <c r="BB72" s="407"/>
      <c r="BC72" s="407"/>
      <c r="BD72" s="407"/>
    </row>
    <row r="73" spans="1:56" x14ac:dyDescent="0.2">
      <c r="A73" s="407"/>
      <c r="B73" s="407"/>
      <c r="C73" s="407"/>
      <c r="D73" s="407"/>
      <c r="E73" s="407"/>
      <c r="F73" s="407"/>
      <c r="G73" s="407"/>
      <c r="H73" s="407"/>
      <c r="I73" s="407"/>
      <c r="J73" s="407"/>
      <c r="K73" s="407"/>
      <c r="L73" s="407"/>
      <c r="M73" s="407"/>
      <c r="N73" s="407"/>
      <c r="O73" s="407"/>
      <c r="P73" s="407"/>
      <c r="Q73" s="407"/>
      <c r="R73" s="407"/>
      <c r="S73" s="407"/>
      <c r="T73" s="407"/>
      <c r="U73" s="407"/>
      <c r="AA73" s="407"/>
      <c r="AB73" s="407"/>
      <c r="AC73" s="407"/>
      <c r="AD73" s="407"/>
      <c r="AE73" s="407"/>
      <c r="AF73" s="407"/>
      <c r="AG73" s="407"/>
      <c r="AH73" s="407"/>
      <c r="AI73" s="407"/>
      <c r="AJ73" s="407"/>
      <c r="AK73" s="407"/>
      <c r="AL73" s="407"/>
      <c r="AM73" s="407"/>
      <c r="AN73" s="407"/>
      <c r="AO73" s="407"/>
      <c r="AP73" s="407"/>
      <c r="AQ73" s="407"/>
      <c r="AR73" s="407"/>
      <c r="AS73" s="407"/>
      <c r="AT73" s="407"/>
      <c r="AU73" s="622" t="s">
        <v>889</v>
      </c>
      <c r="AV73" s="507"/>
      <c r="AW73" s="407"/>
      <c r="AX73" s="407"/>
      <c r="AY73" s="407"/>
      <c r="AZ73" s="407"/>
      <c r="BA73" s="407"/>
      <c r="BB73" s="407"/>
      <c r="BC73" s="407"/>
      <c r="BD73" s="407"/>
    </row>
    <row r="74" spans="1:56" x14ac:dyDescent="0.2">
      <c r="A74" s="407"/>
      <c r="B74" s="407"/>
      <c r="C74" s="407"/>
      <c r="D74" s="407"/>
      <c r="E74" s="407"/>
      <c r="F74" s="407"/>
      <c r="G74" s="407"/>
      <c r="H74" s="407"/>
      <c r="I74" s="407"/>
      <c r="J74" s="407"/>
      <c r="K74" s="407"/>
      <c r="L74" s="407"/>
      <c r="M74" s="407"/>
      <c r="N74" s="407"/>
      <c r="O74" s="407"/>
      <c r="P74" s="407"/>
      <c r="Q74" s="407"/>
      <c r="R74" s="407"/>
      <c r="S74" s="407"/>
      <c r="T74" s="407"/>
      <c r="U74" s="407"/>
      <c r="AA74" s="407"/>
      <c r="AB74" s="407"/>
      <c r="AC74" s="407"/>
      <c r="AD74" s="407"/>
      <c r="AE74" s="407"/>
      <c r="AF74" s="407"/>
      <c r="AG74" s="407"/>
      <c r="AH74" s="407"/>
      <c r="AI74" s="407"/>
      <c r="AJ74" s="407"/>
      <c r="AK74" s="407"/>
      <c r="AL74" s="407"/>
      <c r="AM74" s="407"/>
      <c r="AN74" s="407"/>
      <c r="AO74" s="407"/>
      <c r="AP74" s="407"/>
      <c r="AQ74" s="407"/>
      <c r="AR74" s="407"/>
      <c r="AS74" s="407"/>
      <c r="AT74" s="407"/>
      <c r="AU74" s="622" t="s">
        <v>242</v>
      </c>
      <c r="AV74" s="507"/>
      <c r="AW74" s="407"/>
      <c r="AX74" s="407"/>
      <c r="AY74" s="407"/>
      <c r="AZ74" s="407"/>
      <c r="BA74" s="407"/>
      <c r="BB74" s="407"/>
      <c r="BC74" s="407"/>
      <c r="BD74" s="407"/>
    </row>
    <row r="75" spans="1:56" x14ac:dyDescent="0.2">
      <c r="A75" s="407"/>
      <c r="B75" s="407"/>
      <c r="C75" s="407"/>
      <c r="D75" s="407"/>
      <c r="E75" s="407"/>
      <c r="F75" s="407"/>
      <c r="G75" s="407"/>
      <c r="H75" s="407"/>
      <c r="I75" s="407"/>
      <c r="J75" s="407"/>
      <c r="K75" s="407"/>
      <c r="L75" s="407"/>
      <c r="M75" s="407"/>
      <c r="N75" s="407"/>
      <c r="O75" s="407"/>
      <c r="P75" s="407"/>
      <c r="Q75" s="407"/>
      <c r="R75" s="407"/>
      <c r="S75" s="407"/>
      <c r="T75" s="407"/>
      <c r="U75" s="407"/>
      <c r="AA75" s="407"/>
      <c r="AB75" s="407"/>
      <c r="AC75" s="407"/>
      <c r="AD75" s="407"/>
      <c r="AE75" s="407"/>
      <c r="AF75" s="407"/>
      <c r="AG75" s="407"/>
      <c r="AH75" s="407"/>
      <c r="AI75" s="407"/>
      <c r="AJ75" s="407"/>
      <c r="AK75" s="407"/>
      <c r="AL75" s="407"/>
      <c r="AM75" s="407"/>
      <c r="AN75" s="407"/>
      <c r="AO75" s="407"/>
      <c r="AP75" s="407"/>
      <c r="AQ75" s="407"/>
      <c r="AR75" s="407"/>
      <c r="AS75" s="407"/>
      <c r="AT75" s="407"/>
      <c r="AU75" s="622" t="s">
        <v>890</v>
      </c>
      <c r="AV75" s="507"/>
      <c r="AW75" s="407"/>
      <c r="AX75" s="407"/>
      <c r="AY75" s="407"/>
      <c r="AZ75" s="407"/>
      <c r="BA75" s="407"/>
      <c r="BB75" s="407"/>
      <c r="BC75" s="407"/>
      <c r="BD75" s="407"/>
    </row>
    <row r="76" spans="1:56" x14ac:dyDescent="0.2">
      <c r="A76" s="407"/>
      <c r="B76" s="407"/>
      <c r="C76" s="407"/>
      <c r="D76" s="407"/>
      <c r="E76" s="407"/>
      <c r="F76" s="407"/>
      <c r="G76" s="407"/>
      <c r="H76" s="407"/>
      <c r="I76" s="407"/>
      <c r="J76" s="407"/>
      <c r="K76" s="407"/>
      <c r="L76" s="407"/>
      <c r="M76" s="407"/>
      <c r="N76" s="407"/>
      <c r="O76" s="407"/>
      <c r="P76" s="407"/>
      <c r="Q76" s="407"/>
      <c r="R76" s="407"/>
      <c r="S76" s="407"/>
      <c r="T76" s="407"/>
      <c r="U76" s="407"/>
      <c r="AA76" s="407"/>
      <c r="AB76" s="407"/>
      <c r="AC76" s="407"/>
      <c r="AD76" s="407"/>
      <c r="AE76" s="407"/>
      <c r="AF76" s="407"/>
      <c r="AG76" s="407"/>
      <c r="AH76" s="407"/>
      <c r="AI76" s="407"/>
      <c r="AJ76" s="407"/>
      <c r="AK76" s="407"/>
      <c r="AL76" s="407"/>
      <c r="AM76" s="407"/>
      <c r="AN76" s="407"/>
      <c r="AO76" s="407"/>
      <c r="AP76" s="407"/>
      <c r="AQ76" s="407"/>
      <c r="AR76" s="407"/>
      <c r="AS76" s="407"/>
      <c r="AT76" s="407"/>
      <c r="AU76" s="622" t="s">
        <v>348</v>
      </c>
      <c r="AV76" s="507"/>
      <c r="AW76" s="407"/>
      <c r="AX76" s="407"/>
      <c r="AY76" s="407"/>
      <c r="AZ76" s="407"/>
      <c r="BA76" s="407"/>
      <c r="BB76" s="407"/>
      <c r="BC76" s="407"/>
      <c r="BD76" s="407"/>
    </row>
    <row r="77" spans="1:56" x14ac:dyDescent="0.2">
      <c r="A77" s="407"/>
      <c r="B77" s="407"/>
      <c r="C77" s="407"/>
      <c r="D77" s="407"/>
      <c r="E77" s="407"/>
      <c r="F77" s="407"/>
      <c r="G77" s="407"/>
      <c r="H77" s="407"/>
      <c r="I77" s="407"/>
      <c r="J77" s="407"/>
      <c r="K77" s="407"/>
      <c r="L77" s="407"/>
      <c r="M77" s="407"/>
      <c r="N77" s="407"/>
      <c r="O77" s="407"/>
      <c r="P77" s="407"/>
      <c r="Q77" s="407"/>
      <c r="R77" s="407"/>
      <c r="S77" s="407"/>
      <c r="T77" s="407"/>
      <c r="U77" s="407"/>
      <c r="V77" s="407"/>
      <c r="W77" s="407"/>
      <c r="X77" s="407"/>
      <c r="Y77" s="407"/>
      <c r="Z77" s="407"/>
      <c r="AA77" s="407"/>
      <c r="AB77" s="407"/>
      <c r="AC77" s="407"/>
      <c r="AD77" s="407"/>
      <c r="AE77" s="407"/>
      <c r="AF77" s="407"/>
      <c r="AG77" s="407"/>
      <c r="AH77" s="407"/>
      <c r="AI77" s="407"/>
      <c r="AJ77" s="407"/>
      <c r="AK77" s="407"/>
      <c r="AL77" s="407"/>
      <c r="AM77" s="407"/>
      <c r="AN77" s="407"/>
      <c r="AO77" s="407"/>
      <c r="AP77" s="407"/>
      <c r="AQ77" s="407"/>
      <c r="AR77" s="407"/>
      <c r="AS77" s="407"/>
      <c r="AT77" s="407"/>
      <c r="AU77" s="622" t="s">
        <v>346</v>
      </c>
      <c r="AV77" s="407"/>
      <c r="AW77" s="407"/>
      <c r="AX77" s="407"/>
      <c r="AY77" s="407"/>
      <c r="AZ77" s="407"/>
      <c r="BA77" s="407"/>
      <c r="BB77" s="407"/>
      <c r="BC77" s="407"/>
      <c r="BD77" s="407"/>
    </row>
    <row r="78" spans="1:56" x14ac:dyDescent="0.2">
      <c r="A78" s="407"/>
      <c r="B78" s="407"/>
      <c r="C78" s="407"/>
      <c r="D78" s="407"/>
      <c r="E78" s="407"/>
      <c r="F78" s="407"/>
      <c r="G78" s="407"/>
      <c r="H78" s="407"/>
      <c r="I78" s="407"/>
      <c r="J78" s="407"/>
      <c r="K78" s="407"/>
      <c r="L78" s="407"/>
      <c r="M78" s="407"/>
      <c r="N78" s="407"/>
      <c r="O78" s="407"/>
      <c r="P78" s="407"/>
      <c r="Q78" s="407"/>
      <c r="R78" s="407"/>
      <c r="S78" s="407"/>
      <c r="T78" s="407"/>
      <c r="U78" s="407"/>
      <c r="V78" s="407"/>
      <c r="W78" s="407"/>
      <c r="X78" s="407"/>
      <c r="Y78" s="407"/>
      <c r="Z78" s="407"/>
      <c r="AA78" s="407"/>
      <c r="AB78" s="407"/>
      <c r="AC78" s="407"/>
      <c r="AD78" s="407"/>
      <c r="AE78" s="407"/>
      <c r="AF78" s="407"/>
      <c r="AG78" s="407"/>
      <c r="AH78" s="407"/>
      <c r="AI78" s="407"/>
      <c r="AJ78" s="407"/>
      <c r="AK78" s="407"/>
      <c r="AL78" s="407"/>
      <c r="AM78" s="407"/>
      <c r="AN78" s="407"/>
      <c r="AO78" s="407"/>
      <c r="AP78" s="407"/>
      <c r="AQ78" s="407"/>
      <c r="AR78" s="407"/>
      <c r="AS78" s="407"/>
      <c r="AT78" s="407"/>
      <c r="AU78" s="622" t="s">
        <v>891</v>
      </c>
      <c r="AV78" s="407"/>
      <c r="AW78" s="407"/>
      <c r="AX78" s="407"/>
      <c r="AY78" s="407"/>
      <c r="AZ78" s="407"/>
      <c r="BA78" s="407"/>
      <c r="BB78" s="407"/>
      <c r="BC78" s="407"/>
      <c r="BD78" s="407"/>
    </row>
    <row r="79" spans="1:56" x14ac:dyDescent="0.2">
      <c r="A79" s="407"/>
      <c r="B79" s="407"/>
      <c r="C79" s="407"/>
      <c r="D79" s="407"/>
      <c r="E79" s="407"/>
      <c r="F79" s="407"/>
      <c r="G79" s="407"/>
      <c r="H79" s="407"/>
      <c r="I79" s="407"/>
      <c r="J79" s="407"/>
      <c r="K79" s="407"/>
      <c r="L79" s="407"/>
      <c r="M79" s="407"/>
      <c r="N79" s="407"/>
      <c r="O79" s="407"/>
      <c r="P79" s="407"/>
      <c r="Q79" s="407"/>
      <c r="R79" s="407"/>
      <c r="S79" s="407"/>
      <c r="T79" s="407"/>
      <c r="U79" s="407"/>
      <c r="V79" s="407"/>
      <c r="W79" s="407"/>
      <c r="X79" s="407"/>
      <c r="Y79" s="407"/>
      <c r="Z79" s="407"/>
      <c r="AA79" s="407"/>
      <c r="AB79" s="407"/>
      <c r="AC79" s="407"/>
      <c r="AD79" s="407"/>
      <c r="AE79" s="407"/>
      <c r="AF79" s="407"/>
      <c r="AG79" s="407"/>
      <c r="AH79" s="407"/>
      <c r="AI79" s="407"/>
      <c r="AJ79" s="407"/>
      <c r="AK79" s="407"/>
      <c r="AL79" s="407"/>
      <c r="AM79" s="407"/>
      <c r="AN79" s="407"/>
      <c r="AO79" s="407"/>
      <c r="AP79" s="407"/>
      <c r="AQ79" s="407"/>
      <c r="AR79" s="407"/>
      <c r="AS79" s="407"/>
      <c r="AT79" s="407"/>
      <c r="AU79" s="622" t="s">
        <v>892</v>
      </c>
      <c r="AV79" s="407"/>
      <c r="AW79" s="407"/>
      <c r="AX79" s="407"/>
      <c r="AY79" s="407"/>
      <c r="AZ79" s="407"/>
      <c r="BA79" s="407"/>
      <c r="BB79" s="407"/>
      <c r="BC79" s="407"/>
      <c r="BD79" s="407"/>
    </row>
    <row r="80" spans="1:56" x14ac:dyDescent="0.2">
      <c r="A80" s="407"/>
      <c r="B80" s="407"/>
      <c r="C80" s="407"/>
      <c r="D80" s="407"/>
      <c r="E80" s="407"/>
      <c r="F80" s="407"/>
      <c r="G80" s="407"/>
      <c r="H80" s="407"/>
      <c r="I80" s="407"/>
      <c r="J80" s="407"/>
      <c r="K80" s="407"/>
      <c r="L80" s="407"/>
      <c r="M80" s="407"/>
      <c r="N80" s="407"/>
      <c r="O80" s="407"/>
      <c r="P80" s="407"/>
      <c r="Q80" s="407"/>
      <c r="R80" s="407"/>
      <c r="S80" s="407"/>
      <c r="T80" s="407"/>
      <c r="U80" s="407"/>
      <c r="V80" s="407"/>
      <c r="W80" s="407"/>
      <c r="X80" s="407"/>
      <c r="Y80" s="407"/>
      <c r="Z80" s="407"/>
      <c r="AA80" s="407"/>
      <c r="AB80" s="407"/>
      <c r="AC80" s="407"/>
      <c r="AD80" s="407"/>
      <c r="AE80" s="407"/>
      <c r="AF80" s="407"/>
      <c r="AG80" s="407"/>
      <c r="AH80" s="407"/>
      <c r="AI80" s="407"/>
      <c r="AJ80" s="407"/>
      <c r="AK80" s="407"/>
      <c r="AL80" s="407"/>
      <c r="AM80" s="407"/>
      <c r="AN80" s="407"/>
      <c r="AO80" s="407"/>
      <c r="AP80" s="407"/>
      <c r="AQ80" s="407"/>
      <c r="AR80" s="407"/>
      <c r="AS80" s="407"/>
      <c r="AT80" s="407"/>
      <c r="AU80" s="407"/>
      <c r="AV80" s="407"/>
      <c r="AW80" s="407"/>
      <c r="AX80" s="407"/>
      <c r="AY80" s="407"/>
      <c r="AZ80" s="407"/>
      <c r="BA80" s="407"/>
      <c r="BB80" s="407"/>
      <c r="BC80" s="407"/>
      <c r="BD80" s="407"/>
    </row>
    <row r="81" spans="1:56" x14ac:dyDescent="0.2">
      <c r="A81" s="407"/>
      <c r="B81" s="407"/>
      <c r="C81" s="407"/>
      <c r="D81" s="407"/>
      <c r="E81" s="407"/>
      <c r="F81" s="407"/>
      <c r="G81" s="407"/>
      <c r="H81" s="407"/>
      <c r="I81" s="407"/>
      <c r="J81" s="407"/>
      <c r="K81" s="407"/>
      <c r="L81" s="407"/>
      <c r="M81" s="407"/>
      <c r="N81" s="407"/>
      <c r="O81" s="407"/>
      <c r="P81" s="407"/>
      <c r="Q81" s="407"/>
      <c r="R81" s="407"/>
      <c r="S81" s="407"/>
      <c r="T81" s="407"/>
      <c r="U81" s="407"/>
      <c r="V81" s="407"/>
      <c r="W81" s="407"/>
      <c r="X81" s="407"/>
      <c r="Y81" s="407"/>
      <c r="Z81" s="407"/>
      <c r="AA81" s="407"/>
      <c r="AB81" s="407"/>
      <c r="AC81" s="407"/>
      <c r="AD81" s="407"/>
      <c r="AE81" s="407"/>
      <c r="AF81" s="407"/>
      <c r="AG81" s="407"/>
      <c r="AH81" s="407"/>
      <c r="AI81" s="407"/>
      <c r="AJ81" s="407"/>
      <c r="AK81" s="407"/>
      <c r="AL81" s="407"/>
      <c r="AM81" s="407"/>
      <c r="AN81" s="407"/>
      <c r="AO81" s="407"/>
      <c r="AP81" s="407"/>
      <c r="AQ81" s="407"/>
      <c r="AR81" s="407"/>
      <c r="AS81" s="407"/>
      <c r="AT81" s="407"/>
      <c r="AU81" s="407"/>
      <c r="AV81" s="407"/>
      <c r="AW81" s="407"/>
      <c r="AX81" s="407"/>
      <c r="AY81" s="407"/>
      <c r="AZ81" s="407"/>
      <c r="BA81" s="407"/>
      <c r="BB81" s="407"/>
      <c r="BC81" s="407"/>
      <c r="BD81" s="407"/>
    </row>
    <row r="82" spans="1:56" x14ac:dyDescent="0.2">
      <c r="A82" s="407"/>
      <c r="B82" s="407"/>
      <c r="C82" s="407"/>
      <c r="D82" s="407"/>
      <c r="E82" s="407"/>
      <c r="F82" s="407"/>
      <c r="G82" s="407"/>
      <c r="H82" s="407"/>
      <c r="I82" s="407"/>
      <c r="J82" s="407"/>
      <c r="K82" s="407"/>
      <c r="L82" s="407"/>
      <c r="M82" s="407"/>
      <c r="N82" s="407"/>
      <c r="O82" s="407"/>
      <c r="P82" s="407"/>
      <c r="Q82" s="407"/>
      <c r="R82" s="407"/>
      <c r="S82" s="407"/>
      <c r="T82" s="407"/>
      <c r="U82" s="407"/>
      <c r="V82" s="407"/>
      <c r="W82" s="407"/>
      <c r="X82" s="407"/>
      <c r="Y82" s="407"/>
      <c r="Z82" s="407"/>
      <c r="AA82" s="407"/>
      <c r="AB82" s="407"/>
      <c r="AC82" s="407"/>
      <c r="AD82" s="407"/>
      <c r="AE82" s="407"/>
      <c r="AF82" s="407"/>
      <c r="AG82" s="407"/>
      <c r="AH82" s="407"/>
      <c r="AI82" s="407"/>
      <c r="AJ82" s="407"/>
      <c r="AK82" s="407"/>
      <c r="AL82" s="407"/>
      <c r="AM82" s="407"/>
      <c r="AN82" s="407"/>
      <c r="AO82" s="407"/>
      <c r="AP82" s="407"/>
      <c r="AQ82" s="407"/>
      <c r="AR82" s="407"/>
      <c r="AS82" s="407"/>
      <c r="AT82" s="407"/>
      <c r="AU82" s="407"/>
      <c r="AV82" s="407"/>
      <c r="AW82" s="407"/>
      <c r="AX82" s="407"/>
      <c r="AY82" s="407"/>
      <c r="AZ82" s="407"/>
      <c r="BA82" s="407"/>
      <c r="BB82" s="407"/>
      <c r="BC82" s="407"/>
      <c r="BD82" s="407"/>
    </row>
    <row r="83" spans="1:56" x14ac:dyDescent="0.2">
      <c r="A83" s="407"/>
      <c r="B83" s="407"/>
      <c r="C83" s="407"/>
      <c r="D83" s="407"/>
      <c r="E83" s="407"/>
      <c r="F83" s="407"/>
      <c r="G83" s="407"/>
      <c r="H83" s="407"/>
      <c r="I83" s="407"/>
      <c r="J83" s="407"/>
      <c r="K83" s="407"/>
      <c r="L83" s="407"/>
      <c r="M83" s="407"/>
      <c r="N83" s="407"/>
      <c r="O83" s="407"/>
      <c r="P83" s="407"/>
      <c r="Q83" s="407"/>
      <c r="R83" s="407"/>
      <c r="S83" s="407"/>
      <c r="T83" s="407"/>
      <c r="U83" s="407"/>
      <c r="V83" s="407"/>
      <c r="W83" s="407"/>
      <c r="X83" s="407"/>
      <c r="Y83" s="407"/>
      <c r="Z83" s="407"/>
      <c r="AA83" s="407"/>
      <c r="AB83" s="407"/>
      <c r="AC83" s="407"/>
      <c r="AD83" s="407"/>
      <c r="AE83" s="407"/>
      <c r="AF83" s="407"/>
      <c r="AG83" s="407"/>
      <c r="AH83" s="407"/>
      <c r="AI83" s="407"/>
      <c r="AJ83" s="407"/>
      <c r="AK83" s="407"/>
      <c r="AL83" s="407"/>
      <c r="AM83" s="407"/>
      <c r="AN83" s="407"/>
      <c r="AO83" s="407"/>
      <c r="AP83" s="407"/>
      <c r="AQ83" s="407"/>
      <c r="AR83" s="407"/>
      <c r="AS83" s="407"/>
      <c r="AT83" s="407"/>
      <c r="AU83" s="407"/>
      <c r="AV83" s="407"/>
      <c r="AW83" s="407"/>
      <c r="AX83" s="407"/>
      <c r="AY83" s="407"/>
      <c r="AZ83" s="407"/>
      <c r="BA83" s="407"/>
      <c r="BB83" s="407"/>
      <c r="BC83" s="407"/>
      <c r="BD83" s="407"/>
    </row>
    <row r="84" spans="1:56" x14ac:dyDescent="0.2">
      <c r="A84" s="407"/>
      <c r="B84" s="407"/>
      <c r="C84" s="407"/>
      <c r="D84" s="407"/>
      <c r="E84" s="407"/>
      <c r="F84" s="407"/>
      <c r="G84" s="407"/>
      <c r="H84" s="407"/>
      <c r="I84" s="407"/>
      <c r="J84" s="407"/>
      <c r="K84" s="407"/>
      <c r="L84" s="407"/>
      <c r="M84" s="407"/>
      <c r="N84" s="407"/>
      <c r="O84" s="407"/>
      <c r="P84" s="407"/>
      <c r="Q84" s="407"/>
      <c r="R84" s="407"/>
      <c r="S84" s="407"/>
      <c r="T84" s="407"/>
      <c r="U84" s="407"/>
      <c r="V84" s="407"/>
      <c r="W84" s="407"/>
      <c r="X84" s="407"/>
      <c r="Y84" s="407"/>
      <c r="Z84" s="407"/>
      <c r="AA84" s="407"/>
      <c r="AB84" s="407"/>
      <c r="AC84" s="407"/>
      <c r="AD84" s="407"/>
      <c r="AE84" s="407"/>
      <c r="AF84" s="407"/>
      <c r="AG84" s="407"/>
      <c r="AH84" s="407"/>
      <c r="AI84" s="407"/>
      <c r="AJ84" s="407"/>
      <c r="AK84" s="407"/>
      <c r="AL84" s="407"/>
      <c r="AM84" s="407"/>
      <c r="AN84" s="407"/>
      <c r="AO84" s="407"/>
      <c r="AP84" s="407"/>
      <c r="AQ84" s="407"/>
      <c r="AR84" s="407"/>
      <c r="AS84" s="407"/>
      <c r="AT84" s="407"/>
      <c r="AU84" s="407"/>
      <c r="AV84" s="407"/>
      <c r="AW84" s="407"/>
      <c r="AX84" s="407"/>
      <c r="AY84" s="407"/>
      <c r="AZ84" s="407"/>
      <c r="BA84" s="407"/>
      <c r="BB84" s="407"/>
      <c r="BC84" s="407"/>
      <c r="BD84" s="407"/>
    </row>
    <row r="85" spans="1:56" x14ac:dyDescent="0.2">
      <c r="A85" s="407"/>
      <c r="B85" s="407"/>
      <c r="C85" s="407"/>
      <c r="D85" s="407"/>
      <c r="E85" s="407"/>
      <c r="F85" s="407"/>
      <c r="G85" s="407"/>
      <c r="H85" s="407"/>
      <c r="I85" s="407"/>
      <c r="J85" s="407"/>
      <c r="K85" s="407"/>
      <c r="L85" s="407"/>
      <c r="M85" s="407"/>
      <c r="N85" s="407"/>
      <c r="O85" s="407"/>
      <c r="P85" s="407"/>
      <c r="Q85" s="407"/>
      <c r="R85" s="407"/>
      <c r="S85" s="407"/>
      <c r="T85" s="407"/>
      <c r="U85" s="407"/>
      <c r="V85" s="407"/>
      <c r="W85" s="407"/>
      <c r="X85" s="407"/>
      <c r="Y85" s="407"/>
      <c r="Z85" s="407"/>
      <c r="AA85" s="407"/>
      <c r="AB85" s="407"/>
      <c r="AC85" s="407"/>
      <c r="AD85" s="407"/>
      <c r="AE85" s="407"/>
      <c r="AF85" s="407"/>
      <c r="AG85" s="407"/>
      <c r="AH85" s="407"/>
      <c r="AI85" s="407"/>
      <c r="AJ85" s="407"/>
      <c r="AK85" s="407"/>
      <c r="AL85" s="407"/>
      <c r="AM85" s="407"/>
      <c r="AN85" s="407"/>
      <c r="AO85" s="407"/>
      <c r="AP85" s="407"/>
      <c r="AQ85" s="407"/>
      <c r="AR85" s="407"/>
      <c r="AS85" s="407"/>
      <c r="AT85" s="407"/>
      <c r="AU85" s="407"/>
      <c r="AV85" s="407"/>
      <c r="AW85" s="407"/>
      <c r="AX85" s="407"/>
      <c r="AY85" s="407"/>
      <c r="AZ85" s="407"/>
      <c r="BA85" s="407"/>
      <c r="BB85" s="407"/>
      <c r="BC85" s="407"/>
      <c r="BD85" s="407"/>
    </row>
    <row r="86" spans="1:56" x14ac:dyDescent="0.2">
      <c r="A86" s="407"/>
      <c r="B86" s="407"/>
      <c r="C86" s="407"/>
      <c r="D86" s="407"/>
      <c r="E86" s="407"/>
      <c r="F86" s="407"/>
      <c r="G86" s="407"/>
      <c r="H86" s="407"/>
      <c r="I86" s="407"/>
      <c r="J86" s="407"/>
      <c r="K86" s="407"/>
      <c r="L86" s="407"/>
      <c r="M86" s="407"/>
      <c r="N86" s="407"/>
      <c r="O86" s="407"/>
      <c r="P86" s="407"/>
      <c r="Q86" s="407"/>
      <c r="R86" s="407"/>
      <c r="S86" s="407"/>
      <c r="T86" s="407"/>
      <c r="U86" s="407"/>
      <c r="V86" s="407"/>
      <c r="W86" s="407"/>
      <c r="X86" s="407"/>
      <c r="Y86" s="407"/>
      <c r="Z86" s="407"/>
      <c r="AA86" s="407"/>
      <c r="AB86" s="407"/>
      <c r="AC86" s="407"/>
      <c r="AD86" s="407"/>
      <c r="AE86" s="407"/>
      <c r="AF86" s="407"/>
      <c r="AG86" s="407"/>
      <c r="AH86" s="407"/>
      <c r="AI86" s="407"/>
      <c r="AJ86" s="407"/>
      <c r="AK86" s="407"/>
      <c r="AL86" s="407"/>
      <c r="AM86" s="407"/>
      <c r="AN86" s="407"/>
      <c r="AO86" s="407"/>
      <c r="AP86" s="407"/>
      <c r="AQ86" s="407"/>
      <c r="AR86" s="407"/>
      <c r="AS86" s="407"/>
      <c r="AT86" s="407"/>
      <c r="AU86" s="407"/>
      <c r="AV86" s="407"/>
      <c r="AW86" s="407"/>
      <c r="AX86" s="407"/>
      <c r="AY86" s="407"/>
      <c r="AZ86" s="407"/>
      <c r="BA86" s="407"/>
      <c r="BB86" s="407"/>
      <c r="BC86" s="407"/>
      <c r="BD86" s="407"/>
    </row>
    <row r="87" spans="1:56" x14ac:dyDescent="0.2">
      <c r="A87" s="407"/>
      <c r="B87" s="407"/>
      <c r="C87" s="407"/>
      <c r="D87" s="407"/>
      <c r="E87" s="407"/>
      <c r="F87" s="407"/>
      <c r="G87" s="407"/>
      <c r="H87" s="407"/>
      <c r="I87" s="407"/>
      <c r="J87" s="407"/>
      <c r="K87" s="407"/>
      <c r="L87" s="407"/>
      <c r="M87" s="407"/>
      <c r="N87" s="407"/>
      <c r="O87" s="407"/>
      <c r="P87" s="407"/>
      <c r="Q87" s="407"/>
      <c r="R87" s="407"/>
      <c r="S87" s="407"/>
      <c r="T87" s="407"/>
      <c r="U87" s="407"/>
      <c r="V87" s="407"/>
      <c r="W87" s="407"/>
      <c r="X87" s="407"/>
      <c r="Y87" s="407"/>
      <c r="Z87" s="407"/>
      <c r="AA87" s="407"/>
      <c r="AB87" s="407"/>
      <c r="AC87" s="407"/>
      <c r="AD87" s="407"/>
      <c r="AE87" s="407"/>
      <c r="AF87" s="407"/>
      <c r="AG87" s="407"/>
      <c r="AH87" s="407"/>
      <c r="AI87" s="407"/>
      <c r="AJ87" s="407"/>
      <c r="AK87" s="407"/>
      <c r="AL87" s="407"/>
      <c r="AM87" s="407"/>
      <c r="AN87" s="407"/>
      <c r="AO87" s="407"/>
      <c r="AP87" s="407"/>
      <c r="AQ87" s="407"/>
      <c r="AR87" s="407"/>
      <c r="AS87" s="407"/>
      <c r="AT87" s="407"/>
      <c r="AU87" s="407"/>
      <c r="AV87" s="407"/>
      <c r="AW87" s="407"/>
      <c r="AX87" s="407"/>
      <c r="AY87" s="407"/>
      <c r="AZ87" s="407"/>
      <c r="BA87" s="407"/>
      <c r="BB87" s="407"/>
      <c r="BC87" s="407"/>
      <c r="BD87" s="407"/>
    </row>
    <row r="88" spans="1:56" x14ac:dyDescent="0.2">
      <c r="A88" s="407"/>
      <c r="B88" s="407"/>
      <c r="C88" s="407"/>
      <c r="D88" s="407"/>
      <c r="E88" s="407"/>
      <c r="F88" s="407"/>
      <c r="G88" s="407"/>
      <c r="H88" s="407"/>
      <c r="I88" s="407"/>
      <c r="J88" s="407"/>
      <c r="K88" s="407"/>
      <c r="L88" s="407"/>
      <c r="M88" s="407"/>
      <c r="N88" s="407"/>
      <c r="O88" s="407"/>
      <c r="P88" s="407"/>
      <c r="Q88" s="407"/>
      <c r="R88" s="407"/>
      <c r="S88" s="407"/>
      <c r="T88" s="407"/>
      <c r="U88" s="407"/>
      <c r="V88" s="407"/>
      <c r="W88" s="407"/>
      <c r="X88" s="407"/>
      <c r="Y88" s="407"/>
      <c r="Z88" s="407"/>
      <c r="AA88" s="407"/>
      <c r="AB88" s="407"/>
      <c r="AC88" s="407"/>
      <c r="AD88" s="407"/>
      <c r="AE88" s="407"/>
      <c r="AF88" s="407"/>
      <c r="AG88" s="407"/>
      <c r="AH88" s="407"/>
      <c r="AI88" s="407"/>
      <c r="AJ88" s="407"/>
      <c r="AK88" s="407"/>
      <c r="AL88" s="407"/>
      <c r="AM88" s="407"/>
      <c r="AN88" s="407"/>
      <c r="AO88" s="407"/>
      <c r="AP88" s="407"/>
      <c r="AQ88" s="407"/>
      <c r="AR88" s="407"/>
      <c r="AS88" s="407"/>
      <c r="AT88" s="407"/>
      <c r="AU88" s="407"/>
      <c r="AV88" s="407"/>
      <c r="AW88" s="407"/>
      <c r="AX88" s="407"/>
      <c r="AY88" s="407"/>
      <c r="AZ88" s="407"/>
      <c r="BA88" s="407"/>
      <c r="BB88" s="407"/>
      <c r="BC88" s="407"/>
      <c r="BD88" s="407"/>
    </row>
    <row r="89" spans="1:56" x14ac:dyDescent="0.2">
      <c r="A89" s="407"/>
      <c r="B89" s="407"/>
      <c r="C89" s="407"/>
      <c r="D89" s="407"/>
      <c r="E89" s="407"/>
      <c r="F89" s="407"/>
      <c r="G89" s="407"/>
      <c r="H89" s="407"/>
      <c r="I89" s="407"/>
      <c r="J89" s="407"/>
      <c r="K89" s="407"/>
      <c r="L89" s="407"/>
      <c r="M89" s="407"/>
      <c r="N89" s="407"/>
      <c r="O89" s="407"/>
      <c r="P89" s="407"/>
      <c r="Q89" s="407"/>
      <c r="R89" s="407"/>
      <c r="S89" s="407"/>
      <c r="T89" s="407"/>
      <c r="U89" s="407"/>
      <c r="V89" s="407"/>
      <c r="W89" s="407"/>
      <c r="X89" s="407"/>
      <c r="Y89" s="407"/>
      <c r="Z89" s="407"/>
      <c r="AA89" s="407"/>
      <c r="AB89" s="407"/>
      <c r="AC89" s="407"/>
      <c r="AD89" s="407"/>
      <c r="AE89" s="407"/>
      <c r="AF89" s="407"/>
      <c r="AG89" s="407"/>
      <c r="AH89" s="407"/>
      <c r="AI89" s="407"/>
      <c r="AJ89" s="407"/>
      <c r="AK89" s="407"/>
      <c r="AL89" s="407"/>
      <c r="AM89" s="407"/>
      <c r="AN89" s="407"/>
      <c r="AO89" s="407"/>
      <c r="AP89" s="407"/>
      <c r="AQ89" s="407"/>
      <c r="AR89" s="407"/>
      <c r="AS89" s="407"/>
      <c r="AT89" s="407"/>
      <c r="AU89" s="407"/>
      <c r="AV89" s="407"/>
      <c r="AW89" s="407"/>
      <c r="AX89" s="407"/>
      <c r="AY89" s="407"/>
      <c r="AZ89" s="407"/>
      <c r="BA89" s="407"/>
      <c r="BB89" s="407"/>
      <c r="BC89" s="407"/>
      <c r="BD89" s="407"/>
    </row>
    <row r="90" spans="1:56" x14ac:dyDescent="0.2">
      <c r="A90" s="407"/>
      <c r="B90" s="407"/>
      <c r="C90" s="407"/>
      <c r="D90" s="407"/>
      <c r="E90" s="407"/>
      <c r="F90" s="407"/>
      <c r="G90" s="407"/>
      <c r="H90" s="407"/>
      <c r="I90" s="407"/>
      <c r="J90" s="407"/>
      <c r="K90" s="407"/>
      <c r="L90" s="407"/>
      <c r="M90" s="407"/>
      <c r="N90" s="407"/>
      <c r="O90" s="407"/>
      <c r="P90" s="407"/>
      <c r="Q90" s="407"/>
      <c r="R90" s="407"/>
      <c r="S90" s="407"/>
      <c r="T90" s="407"/>
      <c r="U90" s="407"/>
      <c r="V90" s="407"/>
      <c r="W90" s="407"/>
      <c r="X90" s="407"/>
      <c r="Y90" s="407"/>
      <c r="Z90" s="407"/>
      <c r="AA90" s="407"/>
      <c r="AB90" s="407"/>
      <c r="AC90" s="407"/>
      <c r="AD90" s="407"/>
      <c r="AE90" s="407"/>
      <c r="AF90" s="407"/>
      <c r="AG90" s="407"/>
      <c r="AH90" s="407"/>
      <c r="AI90" s="407"/>
      <c r="AJ90" s="407"/>
      <c r="AK90" s="407"/>
      <c r="AL90" s="407"/>
      <c r="AM90" s="407"/>
      <c r="AN90" s="407"/>
      <c r="AO90" s="407"/>
      <c r="AP90" s="407"/>
      <c r="AQ90" s="407"/>
      <c r="AR90" s="407"/>
      <c r="AS90" s="407"/>
      <c r="AT90" s="407"/>
      <c r="AU90" s="407"/>
      <c r="AV90" s="407"/>
      <c r="AW90" s="407"/>
      <c r="AX90" s="407"/>
      <c r="AY90" s="407"/>
      <c r="AZ90" s="407"/>
      <c r="BA90" s="407"/>
      <c r="BB90" s="407"/>
      <c r="BC90" s="407"/>
      <c r="BD90" s="407"/>
    </row>
    <row r="91" spans="1:56" x14ac:dyDescent="0.2">
      <c r="A91" s="407"/>
      <c r="B91" s="407"/>
      <c r="C91" s="407"/>
      <c r="D91" s="407"/>
      <c r="E91" s="407"/>
      <c r="F91" s="407"/>
      <c r="G91" s="407"/>
      <c r="H91" s="407"/>
      <c r="I91" s="407"/>
      <c r="J91" s="407"/>
      <c r="K91" s="407"/>
      <c r="L91" s="407"/>
      <c r="M91" s="407"/>
      <c r="N91" s="407"/>
      <c r="O91" s="407"/>
      <c r="P91" s="407"/>
      <c r="Q91" s="407"/>
      <c r="R91" s="407"/>
      <c r="S91" s="407"/>
      <c r="T91" s="407"/>
      <c r="U91" s="407"/>
      <c r="V91" s="407"/>
      <c r="W91" s="407"/>
      <c r="X91" s="407"/>
      <c r="Y91" s="407"/>
      <c r="Z91" s="407"/>
      <c r="AA91" s="407"/>
      <c r="AB91" s="407"/>
      <c r="AC91" s="407"/>
      <c r="AD91" s="407"/>
      <c r="AE91" s="407"/>
      <c r="AF91" s="407"/>
      <c r="AG91" s="407"/>
      <c r="AH91" s="407"/>
      <c r="AI91" s="407"/>
      <c r="AJ91" s="407"/>
      <c r="AK91" s="407"/>
      <c r="AL91" s="407"/>
      <c r="AM91" s="407"/>
      <c r="AN91" s="407"/>
      <c r="AO91" s="407"/>
      <c r="AP91" s="407"/>
      <c r="AQ91" s="407"/>
      <c r="AR91" s="407"/>
      <c r="AS91" s="407"/>
      <c r="AT91" s="407"/>
      <c r="AU91" s="407"/>
      <c r="AV91" s="407"/>
      <c r="AW91" s="407"/>
      <c r="AX91" s="407"/>
      <c r="AY91" s="407"/>
      <c r="AZ91" s="407"/>
      <c r="BA91" s="407"/>
      <c r="BB91" s="407"/>
      <c r="BC91" s="407"/>
      <c r="BD91" s="407"/>
    </row>
    <row r="92" spans="1:56" x14ac:dyDescent="0.2">
      <c r="A92" s="407"/>
      <c r="B92" s="407"/>
      <c r="C92" s="407"/>
      <c r="D92" s="407"/>
      <c r="E92" s="407"/>
      <c r="F92" s="407"/>
      <c r="G92" s="407"/>
      <c r="H92" s="407"/>
      <c r="I92" s="407"/>
      <c r="J92" s="407"/>
      <c r="K92" s="407"/>
      <c r="L92" s="407"/>
      <c r="M92" s="407"/>
      <c r="N92" s="407"/>
      <c r="O92" s="407"/>
      <c r="P92" s="407"/>
      <c r="Q92" s="407"/>
      <c r="R92" s="407"/>
      <c r="S92" s="407"/>
      <c r="T92" s="407"/>
      <c r="U92" s="407"/>
      <c r="V92" s="407"/>
      <c r="W92" s="407"/>
      <c r="X92" s="407"/>
      <c r="Y92" s="407"/>
      <c r="Z92" s="407"/>
      <c r="AA92" s="407"/>
      <c r="AB92" s="407"/>
      <c r="AC92" s="407"/>
      <c r="AD92" s="407"/>
      <c r="AE92" s="407"/>
      <c r="AF92" s="407"/>
      <c r="AG92" s="407"/>
      <c r="AH92" s="407"/>
      <c r="AI92" s="407"/>
      <c r="AJ92" s="407"/>
      <c r="AK92" s="407"/>
      <c r="AL92" s="407"/>
      <c r="AM92" s="407"/>
      <c r="AN92" s="407"/>
      <c r="AO92" s="407"/>
      <c r="AP92" s="407"/>
      <c r="AQ92" s="407"/>
      <c r="AR92" s="407"/>
      <c r="AS92" s="407"/>
      <c r="AT92" s="407"/>
      <c r="AU92" s="407"/>
      <c r="AV92" s="407"/>
      <c r="AW92" s="407"/>
      <c r="AX92" s="407"/>
      <c r="AY92" s="407"/>
      <c r="AZ92" s="407"/>
      <c r="BA92" s="407"/>
      <c r="BB92" s="407"/>
      <c r="BC92" s="407"/>
      <c r="BD92" s="407"/>
    </row>
    <row r="93" spans="1:56" x14ac:dyDescent="0.2">
      <c r="A93" s="407"/>
      <c r="B93" s="407"/>
      <c r="C93" s="407"/>
      <c r="D93" s="407"/>
      <c r="E93" s="407"/>
      <c r="F93" s="407"/>
      <c r="G93" s="407"/>
      <c r="H93" s="407"/>
      <c r="I93" s="407"/>
      <c r="J93" s="407"/>
      <c r="K93" s="407"/>
      <c r="L93" s="407"/>
      <c r="M93" s="407"/>
      <c r="N93" s="407"/>
      <c r="O93" s="407"/>
      <c r="P93" s="407"/>
      <c r="Q93" s="407"/>
      <c r="R93" s="407"/>
      <c r="S93" s="407"/>
      <c r="T93" s="407"/>
      <c r="U93" s="407"/>
      <c r="V93" s="407"/>
      <c r="W93" s="407"/>
      <c r="X93" s="407"/>
      <c r="Y93" s="407"/>
      <c r="Z93" s="407"/>
      <c r="AA93" s="407"/>
      <c r="AB93" s="407"/>
      <c r="AC93" s="407"/>
      <c r="AD93" s="407"/>
      <c r="AE93" s="407"/>
      <c r="AF93" s="407"/>
      <c r="AG93" s="407"/>
      <c r="AH93" s="407"/>
      <c r="AI93" s="407"/>
      <c r="AJ93" s="407"/>
      <c r="AK93" s="407"/>
      <c r="AL93" s="407"/>
      <c r="AM93" s="407"/>
      <c r="AN93" s="407"/>
      <c r="AO93" s="407"/>
      <c r="AP93" s="407"/>
      <c r="AQ93" s="407"/>
      <c r="AR93" s="407"/>
      <c r="AS93" s="407"/>
      <c r="AT93" s="407"/>
      <c r="AU93" s="407"/>
      <c r="AV93" s="407"/>
      <c r="AW93" s="407"/>
      <c r="AX93" s="407"/>
      <c r="AY93" s="407"/>
      <c r="AZ93" s="407"/>
      <c r="BA93" s="407"/>
      <c r="BB93" s="407"/>
      <c r="BC93" s="407"/>
      <c r="BD93" s="407"/>
    </row>
    <row r="94" spans="1:56" x14ac:dyDescent="0.2">
      <c r="A94" s="407"/>
      <c r="B94" s="407"/>
      <c r="C94" s="407"/>
      <c r="D94" s="407"/>
      <c r="E94" s="407"/>
      <c r="F94" s="407"/>
      <c r="G94" s="407"/>
      <c r="H94" s="407"/>
      <c r="I94" s="407"/>
      <c r="J94" s="407"/>
      <c r="K94" s="407"/>
      <c r="L94" s="407"/>
      <c r="M94" s="407"/>
      <c r="N94" s="407"/>
      <c r="O94" s="407"/>
      <c r="P94" s="407"/>
      <c r="Q94" s="407"/>
      <c r="R94" s="407"/>
      <c r="S94" s="407"/>
      <c r="T94" s="407"/>
      <c r="U94" s="407"/>
      <c r="V94" s="407"/>
      <c r="W94" s="407"/>
      <c r="X94" s="407"/>
      <c r="Y94" s="407"/>
      <c r="Z94" s="407"/>
      <c r="AA94" s="407"/>
      <c r="AB94" s="407"/>
      <c r="AC94" s="407"/>
      <c r="AD94" s="407"/>
      <c r="AE94" s="407"/>
      <c r="AF94" s="407"/>
      <c r="AG94" s="407"/>
      <c r="AH94" s="407"/>
      <c r="AI94" s="407"/>
      <c r="AJ94" s="407"/>
      <c r="AK94" s="407"/>
      <c r="AL94" s="407"/>
      <c r="AM94" s="407"/>
      <c r="AN94" s="407"/>
      <c r="AO94" s="407"/>
      <c r="AP94" s="407"/>
      <c r="AQ94" s="407"/>
      <c r="AR94" s="407"/>
      <c r="AS94" s="407"/>
      <c r="AT94" s="407"/>
      <c r="AU94" s="407"/>
      <c r="AV94" s="407"/>
      <c r="AW94" s="407"/>
      <c r="AX94" s="407"/>
      <c r="AY94" s="407"/>
      <c r="AZ94" s="407"/>
      <c r="BA94" s="407"/>
      <c r="BB94" s="407"/>
      <c r="BC94" s="407"/>
      <c r="BD94" s="407"/>
    </row>
    <row r="95" spans="1:56" x14ac:dyDescent="0.2">
      <c r="A95" s="407"/>
      <c r="B95" s="407"/>
      <c r="C95" s="407"/>
      <c r="D95" s="407"/>
      <c r="E95" s="407"/>
      <c r="F95" s="407"/>
      <c r="G95" s="407"/>
      <c r="H95" s="407"/>
      <c r="I95" s="407"/>
      <c r="J95" s="407"/>
      <c r="K95" s="407"/>
      <c r="L95" s="407"/>
      <c r="M95" s="407"/>
      <c r="N95" s="407"/>
      <c r="O95" s="407"/>
      <c r="P95" s="407"/>
      <c r="Q95" s="407"/>
      <c r="R95" s="407"/>
      <c r="S95" s="407"/>
      <c r="T95" s="407"/>
      <c r="U95" s="407"/>
      <c r="V95" s="407"/>
      <c r="W95" s="407"/>
      <c r="X95" s="407"/>
      <c r="Y95" s="407"/>
      <c r="Z95" s="407"/>
      <c r="AA95" s="407"/>
      <c r="AB95" s="407"/>
      <c r="AC95" s="407"/>
      <c r="AD95" s="407"/>
      <c r="AE95" s="407"/>
      <c r="AF95" s="407"/>
      <c r="AG95" s="407"/>
      <c r="AH95" s="407"/>
      <c r="AI95" s="407"/>
      <c r="AJ95" s="407"/>
      <c r="AK95" s="407"/>
      <c r="AL95" s="407"/>
      <c r="AM95" s="407"/>
      <c r="AN95" s="407"/>
      <c r="AO95" s="407"/>
      <c r="AP95" s="407"/>
      <c r="AQ95" s="407"/>
      <c r="AR95" s="407"/>
      <c r="AS95" s="407"/>
      <c r="AT95" s="407"/>
      <c r="AU95" s="407"/>
      <c r="AV95" s="407"/>
      <c r="AW95" s="407"/>
      <c r="AX95" s="407"/>
      <c r="AY95" s="407"/>
      <c r="AZ95" s="407"/>
      <c r="BA95" s="407"/>
      <c r="BB95" s="407"/>
      <c r="BC95" s="407"/>
      <c r="BD95" s="407"/>
    </row>
    <row r="96" spans="1:56" ht="15" x14ac:dyDescent="0.2">
      <c r="AE96" s="19"/>
      <c r="AF96" s="19"/>
    </row>
  </sheetData>
  <mergeCells count="42">
    <mergeCell ref="A1:T1"/>
    <mergeCell ref="AE5:AF5"/>
    <mergeCell ref="P4:P6"/>
    <mergeCell ref="V50:AD50"/>
    <mergeCell ref="G4:H4"/>
    <mergeCell ref="D4:E4"/>
    <mergeCell ref="F4:F7"/>
    <mergeCell ref="Q4:Q6"/>
    <mergeCell ref="E5:E7"/>
    <mergeCell ref="G5:G7"/>
    <mergeCell ref="K5:K6"/>
    <mergeCell ref="D5:D7"/>
    <mergeCell ref="H5:H7"/>
    <mergeCell ref="I4:O4"/>
    <mergeCell ref="V2:AD2"/>
    <mergeCell ref="X5:Y5"/>
    <mergeCell ref="Z5:AA5"/>
    <mergeCell ref="N5:N6"/>
    <mergeCell ref="X51:Y51"/>
    <mergeCell ref="C50:T50"/>
    <mergeCell ref="AB5:AC5"/>
    <mergeCell ref="AU4:AV4"/>
    <mergeCell ref="I5:I6"/>
    <mergeCell ref="J5:J6"/>
    <mergeCell ref="O5:O6"/>
    <mergeCell ref="L5:L6"/>
    <mergeCell ref="AX4:AY4"/>
    <mergeCell ref="AX5:AY5"/>
    <mergeCell ref="AG5:AK5"/>
    <mergeCell ref="M5:M6"/>
    <mergeCell ref="AL5:AR5"/>
    <mergeCell ref="AU5:AV5"/>
    <mergeCell ref="AS5:AS6"/>
    <mergeCell ref="R4:R6"/>
    <mergeCell ref="AS1:AT4"/>
    <mergeCell ref="B2:T2"/>
    <mergeCell ref="B3:S3"/>
    <mergeCell ref="B4:B7"/>
    <mergeCell ref="C4:C7"/>
    <mergeCell ref="S4:S6"/>
    <mergeCell ref="V1:AJ1"/>
    <mergeCell ref="V3:Z3"/>
  </mergeCells>
  <conditionalFormatting sqref="P49">
    <cfRule type="expression" dxfId="15" priority="1" stopIfTrue="1">
      <formula>$AE$50&gt;0</formula>
    </cfRule>
  </conditionalFormatting>
  <dataValidations disablePrompts="1" count="6">
    <dataValidation type="list" showInputMessage="1" showErrorMessage="1" sqref="AF4 H8:H47 D8:D47 AF2">
      <formula1>$AX$52:$AX$54</formula1>
    </dataValidation>
    <dataValidation type="list" showInputMessage="1" showErrorMessage="1" sqref="AD3">
      <formula1>$AT$52:$AT$54</formula1>
    </dataValidation>
    <dataValidation type="list" showInputMessage="1" showErrorMessage="1" sqref="AD4">
      <formula1>$AW$52:$AW$55</formula1>
    </dataValidation>
    <dataValidation type="list" showInputMessage="1" showErrorMessage="1" sqref="F8:F47">
      <formula1>$AV$52:$AV$62</formula1>
    </dataValidation>
    <dataValidation type="list" showInputMessage="1" showErrorMessage="1" sqref="X51">
      <formula1>$AY$52:$AY$58</formula1>
    </dataValidation>
    <dataValidation type="list" showInputMessage="1" showErrorMessage="1" sqref="E8:E47 G8:G47">
      <formula1>$AU$52:$AU$79</formula1>
    </dataValidation>
  </dataValidations>
  <printOptions horizontalCentered="1"/>
  <pageMargins left="0.38200000000000001" right="0.38200000000000001" top="0.35" bottom="0.35" header="0.5" footer="0.5"/>
  <pageSetup scale="78" firstPageNumber="31" orientation="landscape" useFirstPageNumber="1" r:id="rId1"/>
  <headerFooter alignWithMargins="0"/>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8"/>
  <dimension ref="A1:AV100"/>
  <sheetViews>
    <sheetView showGridLines="0" showZeros="0" zoomScale="75" zoomScaleNormal="75" workbookViewId="0">
      <pane xSplit="11" ySplit="6" topLeftCell="L7" activePane="bottomRight" state="frozen"/>
      <selection pane="topRight" activeCell="L1" sqref="L1"/>
      <selection pane="bottomLeft" activeCell="A7" sqref="A7"/>
      <selection pane="bottomRight" activeCell="O1" sqref="O1:AA1"/>
    </sheetView>
  </sheetViews>
  <sheetFormatPr defaultRowHeight="12.75" x14ac:dyDescent="0.2"/>
  <cols>
    <col min="1" max="1" width="1.7109375" customWidth="1"/>
    <col min="2" max="3" width="11.42578125" customWidth="1"/>
    <col min="4" max="5" width="9.28515625" customWidth="1"/>
    <col min="6" max="8" width="11.140625" customWidth="1"/>
    <col min="9" max="9" width="8.85546875" bestFit="1" customWidth="1"/>
    <col min="10" max="11" width="7.7109375" customWidth="1"/>
    <col min="12" max="12" width="35.5703125" customWidth="1"/>
    <col min="13" max="13" width="1.7109375" customWidth="1"/>
    <col min="14" max="14" width="6.7109375" customWidth="1"/>
    <col min="15" max="16" width="10.7109375" customWidth="1"/>
    <col min="17" max="17" width="12.140625" customWidth="1"/>
    <col min="18" max="18" width="18.7109375" customWidth="1"/>
    <col min="19" max="19" width="10.7109375" customWidth="1"/>
    <col min="20" max="20" width="11.7109375" customWidth="1"/>
    <col min="21" max="21" width="10.5703125" customWidth="1"/>
    <col min="22" max="23" width="11.28515625" customWidth="1"/>
    <col min="24" max="24" width="11.5703125" customWidth="1"/>
    <col min="25" max="25" width="10.85546875" customWidth="1"/>
    <col min="26" max="26" width="9.5703125" customWidth="1"/>
    <col min="27" max="27" width="9" customWidth="1"/>
    <col min="28" max="28" width="13.28515625" customWidth="1"/>
    <col min="29" max="29" width="11.28515625" customWidth="1"/>
    <col min="30" max="30" width="12.85546875" customWidth="1"/>
    <col min="31" max="31" width="11.42578125" customWidth="1"/>
    <col min="32" max="32" width="12.7109375" customWidth="1"/>
    <col min="33" max="33" width="18" customWidth="1"/>
    <col min="34" max="34" width="12.7109375" customWidth="1"/>
    <col min="35" max="37" width="7" customWidth="1"/>
    <col min="38" max="38" width="10.42578125" customWidth="1"/>
    <col min="39" max="39" width="17.28515625" customWidth="1"/>
    <col min="40" max="40" width="17.85546875" customWidth="1"/>
    <col min="41" max="42" width="9.28515625" bestFit="1" customWidth="1"/>
    <col min="43" max="44" width="13.140625" bestFit="1" customWidth="1"/>
    <col min="45" max="45" width="18.140625" bestFit="1" customWidth="1"/>
    <col min="46" max="47" width="15.140625" bestFit="1" customWidth="1"/>
  </cols>
  <sheetData>
    <row r="1" spans="1:48" ht="18" x14ac:dyDescent="0.25">
      <c r="A1" s="1224" t="str">
        <f>UPPER("Pavement Markings Summary Table")</f>
        <v>PAVEMENT MARKINGS SUMMARY TABLE</v>
      </c>
      <c r="B1" s="1225"/>
      <c r="C1" s="1225"/>
      <c r="D1" s="1225"/>
      <c r="E1" s="1225"/>
      <c r="F1" s="1225"/>
      <c r="G1" s="1225"/>
      <c r="H1" s="1225"/>
      <c r="I1" s="1225"/>
      <c r="J1" s="1225"/>
      <c r="K1" s="1225"/>
      <c r="L1" s="1225"/>
      <c r="M1" s="1225"/>
      <c r="N1" s="82"/>
      <c r="O1" s="1616" t="s">
        <v>479</v>
      </c>
      <c r="P1" s="1616"/>
      <c r="Q1" s="1616"/>
      <c r="R1" s="1616"/>
      <c r="S1" s="1616"/>
      <c r="T1" s="1616"/>
      <c r="U1" s="1616"/>
      <c r="V1" s="1616"/>
      <c r="W1" s="1616"/>
      <c r="X1" s="1616"/>
      <c r="Y1" s="1616"/>
      <c r="Z1" s="1616"/>
      <c r="AA1" s="1616"/>
      <c r="AB1" s="766"/>
      <c r="AC1" s="766"/>
      <c r="AD1" s="766"/>
      <c r="AE1" s="766"/>
      <c r="AF1" s="766"/>
      <c r="AG1" s="766"/>
      <c r="AH1" s="766"/>
      <c r="AI1" s="157"/>
      <c r="AJ1" s="157"/>
      <c r="AK1" s="157"/>
      <c r="AL1" s="157"/>
      <c r="AM1" s="157"/>
      <c r="AN1" s="157"/>
      <c r="AQ1" s="157"/>
      <c r="AR1" s="157"/>
      <c r="AS1" s="157"/>
      <c r="AT1" s="157"/>
      <c r="AU1" s="157"/>
      <c r="AV1" s="11"/>
    </row>
    <row r="2" spans="1:48" ht="13.5" thickBot="1" x14ac:dyDescent="0.25">
      <c r="A2" s="30"/>
      <c r="B2" s="1507"/>
      <c r="C2" s="1507"/>
      <c r="D2" s="1507"/>
      <c r="E2" s="1507"/>
      <c r="F2" s="1507"/>
      <c r="G2" s="1507"/>
      <c r="H2" s="1507"/>
      <c r="I2" s="1507"/>
      <c r="J2" s="1507"/>
      <c r="K2" s="1507"/>
      <c r="L2" s="1507"/>
      <c r="M2" s="1507"/>
      <c r="N2" s="156"/>
      <c r="O2" s="1275" t="s">
        <v>473</v>
      </c>
      <c r="P2" s="1275"/>
      <c r="Q2" s="1275"/>
      <c r="R2" s="1275"/>
      <c r="S2" s="8"/>
      <c r="T2" s="8"/>
      <c r="U2" s="157"/>
      <c r="V2" s="157"/>
      <c r="W2" s="157"/>
      <c r="X2" s="157"/>
      <c r="Y2" s="157"/>
      <c r="Z2" s="157"/>
      <c r="AA2" s="157"/>
      <c r="AB2" s="157"/>
      <c r="AC2" s="157"/>
      <c r="AD2" s="157"/>
      <c r="AE2" s="157"/>
      <c r="AF2" s="157"/>
      <c r="AG2" s="157"/>
      <c r="AH2" s="157"/>
      <c r="AI2" s="157"/>
      <c r="AJ2" s="157"/>
      <c r="AK2" s="157"/>
      <c r="AL2" s="157"/>
      <c r="AM2" s="157"/>
      <c r="AN2" s="157"/>
      <c r="AO2" s="157"/>
      <c r="AP2" s="157"/>
      <c r="AQ2" s="157"/>
      <c r="AR2" s="157"/>
      <c r="AS2" s="157"/>
      <c r="AT2" s="157"/>
      <c r="AU2" s="157"/>
      <c r="AV2" s="11"/>
    </row>
    <row r="3" spans="1:48" ht="13.5" thickBot="1" x14ac:dyDescent="0.25">
      <c r="A3" s="30"/>
      <c r="B3" s="1620" t="s">
        <v>195</v>
      </c>
      <c r="C3" s="1621"/>
      <c r="D3" s="1621"/>
      <c r="E3" s="1621"/>
      <c r="F3" s="1621"/>
      <c r="G3" s="1621"/>
      <c r="H3" s="1621"/>
      <c r="I3" s="1621"/>
      <c r="J3" s="1621"/>
      <c r="K3" s="1621"/>
      <c r="L3" s="1622"/>
      <c r="M3" s="156"/>
      <c r="N3" s="156"/>
      <c r="O3" s="30"/>
      <c r="P3" s="30"/>
      <c r="Q3" s="251" t="s">
        <v>471</v>
      </c>
      <c r="R3" s="684"/>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row>
    <row r="4" spans="1:48" ht="12.75" customHeight="1" thickBot="1" x14ac:dyDescent="0.25">
      <c r="A4" s="30"/>
      <c r="B4" s="1336" t="s">
        <v>576</v>
      </c>
      <c r="C4" s="1223" t="s">
        <v>429</v>
      </c>
      <c r="D4" s="1617" t="str">
        <f>"Transverse Marking, "&amp;R3</f>
        <v xml:space="preserve">Transverse Marking, </v>
      </c>
      <c r="E4" s="1618"/>
      <c r="F4" s="1618"/>
      <c r="G4" s="1618"/>
      <c r="H4" s="1619"/>
      <c r="I4" s="1608" t="str">
        <f>"PMM, "&amp;R3</f>
        <v xml:space="preserve">PMM, </v>
      </c>
      <c r="J4" s="1609"/>
      <c r="K4" s="1610"/>
      <c r="L4" s="1497" t="s">
        <v>87</v>
      </c>
      <c r="M4" s="31"/>
      <c r="O4" s="1613" t="s">
        <v>474</v>
      </c>
      <c r="P4" s="1614"/>
      <c r="Q4" s="1614"/>
      <c r="R4" s="1614"/>
      <c r="S4" s="1614"/>
      <c r="T4" s="1614"/>
      <c r="U4" s="1614"/>
      <c r="V4" s="1614"/>
      <c r="W4" s="1614"/>
      <c r="X4" s="1614"/>
      <c r="Y4" s="1614"/>
      <c r="Z4" s="1614"/>
      <c r="AA4" s="1614"/>
      <c r="AB4" s="1614"/>
      <c r="AC4" s="1614"/>
      <c r="AD4" s="1614"/>
      <c r="AE4" s="1614"/>
      <c r="AF4" s="1614"/>
      <c r="AG4" s="1615"/>
      <c r="AH4" s="30"/>
      <c r="AI4" s="30"/>
      <c r="AJ4" s="30"/>
      <c r="AK4" s="30"/>
      <c r="AL4" s="30"/>
      <c r="AM4" s="30"/>
      <c r="AN4" s="30"/>
      <c r="AO4" s="30"/>
      <c r="AP4" s="30"/>
      <c r="AQ4" s="30"/>
      <c r="AR4" s="30"/>
    </row>
    <row r="5" spans="1:48" ht="38.25" customHeight="1" x14ac:dyDescent="0.2">
      <c r="A5" s="30"/>
      <c r="B5" s="1623"/>
      <c r="C5" s="1200"/>
      <c r="D5" s="685" t="s">
        <v>934</v>
      </c>
      <c r="E5" s="686" t="s">
        <v>935</v>
      </c>
      <c r="F5" s="687" t="s">
        <v>936</v>
      </c>
      <c r="G5" s="687" t="s">
        <v>937</v>
      </c>
      <c r="H5" s="688" t="s">
        <v>938</v>
      </c>
      <c r="I5" s="689" t="s">
        <v>815</v>
      </c>
      <c r="J5" s="690" t="s">
        <v>813</v>
      </c>
      <c r="K5" s="691" t="s">
        <v>814</v>
      </c>
      <c r="L5" s="1607"/>
      <c r="M5" s="31"/>
      <c r="N5" s="36"/>
      <c r="O5" s="370" t="s">
        <v>475</v>
      </c>
      <c r="P5" s="718" t="s">
        <v>482</v>
      </c>
      <c r="Q5" s="718" t="s">
        <v>480</v>
      </c>
      <c r="R5" s="1601" t="s">
        <v>492</v>
      </c>
      <c r="S5" s="1603" t="s">
        <v>477</v>
      </c>
      <c r="T5" s="589" t="s">
        <v>483</v>
      </c>
      <c r="U5" s="1605" t="s">
        <v>484</v>
      </c>
      <c r="V5" s="723" t="s">
        <v>485</v>
      </c>
      <c r="W5" s="1603" t="s">
        <v>486</v>
      </c>
      <c r="X5" s="589" t="s">
        <v>487</v>
      </c>
      <c r="Y5" s="1605" t="s">
        <v>478</v>
      </c>
      <c r="Z5" s="589" t="s">
        <v>488</v>
      </c>
      <c r="AA5" s="752" t="s">
        <v>489</v>
      </c>
      <c r="AB5" s="723" t="s">
        <v>494</v>
      </c>
      <c r="AC5" s="758" t="s">
        <v>496</v>
      </c>
      <c r="AD5" s="589" t="s">
        <v>497</v>
      </c>
      <c r="AE5" s="758" t="s">
        <v>498</v>
      </c>
      <c r="AF5" s="589" t="s">
        <v>499</v>
      </c>
      <c r="AG5" s="727" t="s">
        <v>481</v>
      </c>
      <c r="AH5" s="30"/>
      <c r="AL5" s="30"/>
      <c r="AM5" s="30"/>
      <c r="AN5" s="30"/>
      <c r="AO5" s="30"/>
      <c r="AP5" s="30"/>
      <c r="AQ5" s="30"/>
      <c r="AR5" s="30"/>
    </row>
    <row r="6" spans="1:48" ht="12.75" customHeight="1" thickBot="1" x14ac:dyDescent="0.25">
      <c r="A6" s="30"/>
      <c r="B6" s="1501"/>
      <c r="C6" s="1242"/>
      <c r="D6" s="329" t="s">
        <v>19</v>
      </c>
      <c r="E6" s="479" t="s">
        <v>19</v>
      </c>
      <c r="F6" s="479" t="s">
        <v>19</v>
      </c>
      <c r="G6" s="479" t="s">
        <v>19</v>
      </c>
      <c r="H6" s="709" t="s">
        <v>19</v>
      </c>
      <c r="I6" s="710" t="s">
        <v>20</v>
      </c>
      <c r="J6" s="479" t="s">
        <v>20</v>
      </c>
      <c r="K6" s="709" t="s">
        <v>20</v>
      </c>
      <c r="L6" s="1518"/>
      <c r="M6" s="31"/>
      <c r="O6" s="712" t="s">
        <v>476</v>
      </c>
      <c r="P6" s="719" t="s">
        <v>444</v>
      </c>
      <c r="Q6" s="719" t="s">
        <v>100</v>
      </c>
      <c r="R6" s="1602"/>
      <c r="S6" s="1604"/>
      <c r="T6" s="745" t="s">
        <v>100</v>
      </c>
      <c r="U6" s="1606"/>
      <c r="V6" s="749" t="s">
        <v>100</v>
      </c>
      <c r="W6" s="1604"/>
      <c r="X6" s="745" t="s">
        <v>100</v>
      </c>
      <c r="Y6" s="1606"/>
      <c r="Z6" s="713" t="s">
        <v>100</v>
      </c>
      <c r="AA6" s="719" t="s">
        <v>20</v>
      </c>
      <c r="AB6" s="724" t="s">
        <v>100</v>
      </c>
      <c r="AC6" s="712" t="s">
        <v>20</v>
      </c>
      <c r="AD6" s="713" t="s">
        <v>100</v>
      </c>
      <c r="AE6" s="712" t="s">
        <v>20</v>
      </c>
      <c r="AF6" s="713" t="s">
        <v>100</v>
      </c>
      <c r="AG6" s="728" t="s">
        <v>100</v>
      </c>
      <c r="AH6" s="30"/>
      <c r="AL6" s="30"/>
      <c r="AM6" s="30"/>
      <c r="AN6" s="30"/>
      <c r="AO6" s="30"/>
      <c r="AP6" s="30"/>
      <c r="AQ6" s="30"/>
      <c r="AR6" s="30"/>
    </row>
    <row r="7" spans="1:48" ht="12.75" customHeight="1" x14ac:dyDescent="0.2">
      <c r="A7" s="30"/>
      <c r="B7" s="187"/>
      <c r="C7" s="692"/>
      <c r="D7" s="334"/>
      <c r="E7" s="160"/>
      <c r="F7" s="160"/>
      <c r="G7" s="209"/>
      <c r="H7" s="210"/>
      <c r="I7" s="208"/>
      <c r="J7" s="160"/>
      <c r="K7" s="279"/>
      <c r="L7" s="693"/>
      <c r="M7" s="36"/>
      <c r="O7" s="714"/>
      <c r="P7" s="720">
        <f>IF(O7&gt;45,24,IF(AND(O7&lt;50,O7&gt;0),12,0))</f>
        <v>0</v>
      </c>
      <c r="Q7" s="720">
        <f>IF(O7&gt;45,40,IF(AND(O7&lt;50,O7&gt;0),20,0))</f>
        <v>0</v>
      </c>
      <c r="R7" s="739"/>
      <c r="S7" s="746"/>
      <c r="T7" s="759"/>
      <c r="U7" s="743">
        <f t="shared" ref="U7:U35" si="0">IF(R7=$AB$44,"(Not needed)",0)</f>
        <v>0</v>
      </c>
      <c r="V7" s="762">
        <f t="shared" ref="V7:V35" si="1">IF(R7=$AB$44,"(Not needed)",0)</f>
        <v>0</v>
      </c>
      <c r="W7" s="751">
        <f t="shared" ref="W7:W35" si="2">IF(OR(R7=$AB$44,R7=$AB$45),"(Not needed)",0)</f>
        <v>0</v>
      </c>
      <c r="X7" s="759">
        <f t="shared" ref="X7:X35" si="3">IF(OR(R7=$AB$44,R7=$AB$45),"(Not needed)",0)</f>
        <v>0</v>
      </c>
      <c r="Y7" s="750"/>
      <c r="Z7" s="765"/>
      <c r="AA7" s="377">
        <f t="shared" ref="AA7:AA35" si="4">IF(R7=$AB$44,ROUNDUP((Y7-S7)/Q7,0),IF(OR(R7=$AB$45,R7=$AB$46),ROUNDUP((U7-S7)/Q7,0),0))</f>
        <v>0</v>
      </c>
      <c r="AB7" s="755">
        <f t="shared" ref="AB7:AB35" si="5">IF(R7=$AB$44,ROUNDUP(((T7+Z7)/2)/COS(45*PI()/180),1),IF(OR(R7=$AB$45,R7=$AB$46),ROUNDUP(((T7+V7)/2)/COS(45*PI()/180),1),0))</f>
        <v>0</v>
      </c>
      <c r="AC7" s="355">
        <f t="shared" ref="AC7:AC35" si="6">IF(R7=$AB$44,"(Not needed)",IF(R7=$AB$45,ROUNDUP((Y7-U7)/Q7,0),IF(R7=$AB$46,ROUNDUP((W7-U7)/Q7,0),0)))</f>
        <v>0</v>
      </c>
      <c r="AD7" s="333">
        <f t="shared" ref="AD7:AD35" si="7">IF(R7=$AB$44,"(Not needed)",IF(R7=$AB$45,ROUNDUP(((V7+Z7)/2)/COS(45*PI()/180),1),IF(R7=$AB$46,ROUNDUP(((V7+X7)/2)/COS(45*PI()/180),1),0)))</f>
        <v>0</v>
      </c>
      <c r="AE7" s="755">
        <f t="shared" ref="AE7:AE35" si="8">IF(OR(R7=$AB$44,R7=$AB$45),"(Not needed)",IF(R7=$AB$46,ROUNDUP((Y7-W7)/Q7,0),0))</f>
        <v>0</v>
      </c>
      <c r="AF7" s="387">
        <f t="shared" ref="AF7:AF35" si="9">IF(OR(R7=$AB$44,R7=$AB$45),"(Not needed)",IF(R7=$AB$46,ROUNDUP(((X7+Z7)/2)/COS(45*PI()/180),1),0))</f>
        <v>0</v>
      </c>
      <c r="AG7" s="729">
        <f t="shared" ref="AG7:AG35" si="10">IF(R7=$AB$44,ROUNDUP(AA7*AB7,0),IF(R7=$AB$45,ROUNDUP((AA7*AB7+AC7*AD7),0),IF(R7=$AB$46,ROUNDUP((AA7*AB7+AC7*AD7+AE7*AF7),0),0)))</f>
        <v>0</v>
      </c>
      <c r="AH7" s="30"/>
      <c r="AL7" s="30"/>
      <c r="AM7" s="30"/>
      <c r="AN7" s="30"/>
      <c r="AO7" s="30"/>
      <c r="AP7" s="30"/>
      <c r="AQ7" s="30"/>
      <c r="AR7" s="30"/>
    </row>
    <row r="8" spans="1:48" ht="12.75" customHeight="1" x14ac:dyDescent="0.2">
      <c r="A8" s="30"/>
      <c r="B8" s="56"/>
      <c r="C8" s="694"/>
      <c r="D8" s="695"/>
      <c r="E8" s="35"/>
      <c r="F8" s="35"/>
      <c r="G8" s="35"/>
      <c r="H8" s="151"/>
      <c r="I8" s="34"/>
      <c r="J8" s="35"/>
      <c r="K8" s="218"/>
      <c r="L8" s="696"/>
      <c r="M8" s="30"/>
      <c r="N8" s="30"/>
      <c r="O8" s="715"/>
      <c r="P8" s="721">
        <f t="shared" ref="P8:P35" si="11">IF(O8&gt;45,24,IF(AND(O8&lt;50,O8&gt;0),12,0))</f>
        <v>0</v>
      </c>
      <c r="Q8" s="721">
        <f t="shared" ref="Q8:Q35" si="12">IF(O8&gt;45,40,IF(AND(O8&lt;50,O8&gt;0),20,0))</f>
        <v>0</v>
      </c>
      <c r="R8" s="740"/>
      <c r="S8" s="747"/>
      <c r="T8" s="760"/>
      <c r="U8" s="743">
        <f t="shared" si="0"/>
        <v>0</v>
      </c>
      <c r="V8" s="763">
        <f t="shared" si="1"/>
        <v>0</v>
      </c>
      <c r="W8" s="747">
        <f t="shared" si="2"/>
        <v>0</v>
      </c>
      <c r="X8" s="760">
        <f t="shared" si="3"/>
        <v>0</v>
      </c>
      <c r="Y8" s="743"/>
      <c r="Z8" s="760"/>
      <c r="AA8" s="753">
        <f t="shared" si="4"/>
        <v>0</v>
      </c>
      <c r="AB8" s="756">
        <f t="shared" si="5"/>
        <v>0</v>
      </c>
      <c r="AC8" s="71">
        <f t="shared" si="6"/>
        <v>0</v>
      </c>
      <c r="AD8" s="332">
        <f t="shared" si="7"/>
        <v>0</v>
      </c>
      <c r="AE8" s="756">
        <f t="shared" si="8"/>
        <v>0</v>
      </c>
      <c r="AF8" s="725">
        <f t="shared" si="9"/>
        <v>0</v>
      </c>
      <c r="AG8" s="730">
        <f t="shared" si="10"/>
        <v>0</v>
      </c>
      <c r="AH8" s="30"/>
      <c r="AL8" s="30"/>
      <c r="AM8" s="30"/>
      <c r="AN8" s="30"/>
      <c r="AO8" s="30"/>
      <c r="AP8" s="30"/>
      <c r="AQ8" s="30"/>
      <c r="AR8" s="30"/>
    </row>
    <row r="9" spans="1:48" ht="12.75" customHeight="1" x14ac:dyDescent="0.2">
      <c r="A9" s="30"/>
      <c r="B9" s="56"/>
      <c r="C9" s="694"/>
      <c r="D9" s="695"/>
      <c r="E9" s="35"/>
      <c r="F9" s="35"/>
      <c r="G9" s="35"/>
      <c r="H9" s="151"/>
      <c r="I9" s="34"/>
      <c r="J9" s="35"/>
      <c r="K9" s="218"/>
      <c r="L9" s="696"/>
      <c r="M9" s="30"/>
      <c r="N9" s="30"/>
      <c r="O9" s="715"/>
      <c r="P9" s="721">
        <f t="shared" si="11"/>
        <v>0</v>
      </c>
      <c r="Q9" s="721">
        <f t="shared" si="12"/>
        <v>0</v>
      </c>
      <c r="R9" s="740"/>
      <c r="S9" s="747"/>
      <c r="T9" s="760"/>
      <c r="U9" s="743">
        <f t="shared" si="0"/>
        <v>0</v>
      </c>
      <c r="V9" s="763">
        <f t="shared" si="1"/>
        <v>0</v>
      </c>
      <c r="W9" s="747">
        <f t="shared" si="2"/>
        <v>0</v>
      </c>
      <c r="X9" s="760">
        <f t="shared" si="3"/>
        <v>0</v>
      </c>
      <c r="Y9" s="743"/>
      <c r="Z9" s="760"/>
      <c r="AA9" s="753">
        <f t="shared" si="4"/>
        <v>0</v>
      </c>
      <c r="AB9" s="756">
        <f t="shared" si="5"/>
        <v>0</v>
      </c>
      <c r="AC9" s="71">
        <f t="shared" si="6"/>
        <v>0</v>
      </c>
      <c r="AD9" s="332">
        <f t="shared" si="7"/>
        <v>0</v>
      </c>
      <c r="AE9" s="756">
        <f t="shared" si="8"/>
        <v>0</v>
      </c>
      <c r="AF9" s="725">
        <f t="shared" si="9"/>
        <v>0</v>
      </c>
      <c r="AG9" s="730">
        <f t="shared" si="10"/>
        <v>0</v>
      </c>
      <c r="AH9" s="30"/>
      <c r="AL9" s="30"/>
      <c r="AM9" s="30"/>
      <c r="AN9" s="30"/>
      <c r="AO9" s="30"/>
      <c r="AP9" s="30"/>
      <c r="AQ9" s="30"/>
      <c r="AR9" s="30"/>
    </row>
    <row r="10" spans="1:48" ht="12.75" customHeight="1" x14ac:dyDescent="0.2">
      <c r="A10" s="30"/>
      <c r="B10" s="56"/>
      <c r="C10" s="694"/>
      <c r="D10" s="695"/>
      <c r="E10" s="35"/>
      <c r="F10" s="35"/>
      <c r="G10" s="35"/>
      <c r="H10" s="151"/>
      <c r="I10" s="34"/>
      <c r="J10" s="35"/>
      <c r="K10" s="218"/>
      <c r="L10" s="696"/>
      <c r="M10" s="36"/>
      <c r="N10" s="102"/>
      <c r="O10" s="715"/>
      <c r="P10" s="721">
        <f t="shared" si="11"/>
        <v>0</v>
      </c>
      <c r="Q10" s="721">
        <f t="shared" si="12"/>
        <v>0</v>
      </c>
      <c r="R10" s="741"/>
      <c r="S10" s="747"/>
      <c r="T10" s="760"/>
      <c r="U10" s="743">
        <f t="shared" si="0"/>
        <v>0</v>
      </c>
      <c r="V10" s="763">
        <f t="shared" si="1"/>
        <v>0</v>
      </c>
      <c r="W10" s="747">
        <f t="shared" si="2"/>
        <v>0</v>
      </c>
      <c r="X10" s="760">
        <f t="shared" si="3"/>
        <v>0</v>
      </c>
      <c r="Y10" s="743"/>
      <c r="Z10" s="760"/>
      <c r="AA10" s="753">
        <f t="shared" si="4"/>
        <v>0</v>
      </c>
      <c r="AB10" s="756">
        <f t="shared" si="5"/>
        <v>0</v>
      </c>
      <c r="AC10" s="71">
        <f t="shared" si="6"/>
        <v>0</v>
      </c>
      <c r="AD10" s="332">
        <f t="shared" si="7"/>
        <v>0</v>
      </c>
      <c r="AE10" s="756">
        <f t="shared" si="8"/>
        <v>0</v>
      </c>
      <c r="AF10" s="725">
        <f t="shared" si="9"/>
        <v>0</v>
      </c>
      <c r="AG10" s="730">
        <f t="shared" si="10"/>
        <v>0</v>
      </c>
      <c r="AH10" s="30"/>
      <c r="AL10" s="30"/>
      <c r="AM10" s="30"/>
      <c r="AN10" s="30"/>
      <c r="AO10" s="30"/>
      <c r="AP10" s="30"/>
      <c r="AQ10" s="30"/>
      <c r="AR10" s="30"/>
    </row>
    <row r="11" spans="1:48" ht="12.75" customHeight="1" x14ac:dyDescent="0.2">
      <c r="A11" s="30"/>
      <c r="B11" s="56"/>
      <c r="C11" s="694"/>
      <c r="D11" s="695"/>
      <c r="E11" s="35"/>
      <c r="F11" s="35"/>
      <c r="G11" s="35"/>
      <c r="H11" s="151"/>
      <c r="I11" s="34"/>
      <c r="J11" s="35"/>
      <c r="K11" s="218"/>
      <c r="L11" s="696"/>
      <c r="M11" s="36"/>
      <c r="N11" s="36"/>
      <c r="O11" s="715"/>
      <c r="P11" s="721">
        <f t="shared" si="11"/>
        <v>0</v>
      </c>
      <c r="Q11" s="721">
        <f t="shared" si="12"/>
        <v>0</v>
      </c>
      <c r="R11" s="740"/>
      <c r="S11" s="747"/>
      <c r="T11" s="760"/>
      <c r="U11" s="743">
        <f t="shared" si="0"/>
        <v>0</v>
      </c>
      <c r="V11" s="763">
        <f t="shared" si="1"/>
        <v>0</v>
      </c>
      <c r="W11" s="747">
        <f t="shared" si="2"/>
        <v>0</v>
      </c>
      <c r="X11" s="760">
        <f t="shared" si="3"/>
        <v>0</v>
      </c>
      <c r="Y11" s="743"/>
      <c r="Z11" s="760"/>
      <c r="AA11" s="753">
        <f t="shared" si="4"/>
        <v>0</v>
      </c>
      <c r="AB11" s="756">
        <f t="shared" si="5"/>
        <v>0</v>
      </c>
      <c r="AC11" s="71">
        <f t="shared" si="6"/>
        <v>0</v>
      </c>
      <c r="AD11" s="332">
        <f t="shared" si="7"/>
        <v>0</v>
      </c>
      <c r="AE11" s="756">
        <f t="shared" si="8"/>
        <v>0</v>
      </c>
      <c r="AF11" s="725">
        <f t="shared" si="9"/>
        <v>0</v>
      </c>
      <c r="AG11" s="730">
        <f t="shared" si="10"/>
        <v>0</v>
      </c>
      <c r="AH11" s="30"/>
      <c r="AL11" s="30"/>
      <c r="AM11" s="30"/>
      <c r="AN11" s="30"/>
      <c r="AO11" s="30"/>
      <c r="AP11" s="30"/>
      <c r="AQ11" s="30"/>
      <c r="AR11" s="30"/>
    </row>
    <row r="12" spans="1:48" ht="12.75" customHeight="1" x14ac:dyDescent="0.2">
      <c r="A12" s="30"/>
      <c r="B12" s="56"/>
      <c r="C12" s="694"/>
      <c r="D12" s="695"/>
      <c r="E12" s="35"/>
      <c r="F12" s="35"/>
      <c r="G12" s="35"/>
      <c r="H12" s="151"/>
      <c r="I12" s="34"/>
      <c r="J12" s="35"/>
      <c r="K12" s="218"/>
      <c r="L12" s="696"/>
      <c r="M12" s="36"/>
      <c r="N12" s="36"/>
      <c r="O12" s="715"/>
      <c r="P12" s="721">
        <f t="shared" si="11"/>
        <v>0</v>
      </c>
      <c r="Q12" s="721">
        <f t="shared" si="12"/>
        <v>0</v>
      </c>
      <c r="R12" s="740"/>
      <c r="S12" s="747"/>
      <c r="T12" s="760"/>
      <c r="U12" s="743">
        <f t="shared" si="0"/>
        <v>0</v>
      </c>
      <c r="V12" s="763">
        <f t="shared" si="1"/>
        <v>0</v>
      </c>
      <c r="W12" s="747">
        <f t="shared" si="2"/>
        <v>0</v>
      </c>
      <c r="X12" s="760">
        <f t="shared" si="3"/>
        <v>0</v>
      </c>
      <c r="Y12" s="743"/>
      <c r="Z12" s="760"/>
      <c r="AA12" s="753">
        <f t="shared" si="4"/>
        <v>0</v>
      </c>
      <c r="AB12" s="756">
        <f t="shared" si="5"/>
        <v>0</v>
      </c>
      <c r="AC12" s="71">
        <f t="shared" si="6"/>
        <v>0</v>
      </c>
      <c r="AD12" s="332">
        <f t="shared" si="7"/>
        <v>0</v>
      </c>
      <c r="AE12" s="756">
        <f t="shared" si="8"/>
        <v>0</v>
      </c>
      <c r="AF12" s="725">
        <f t="shared" si="9"/>
        <v>0</v>
      </c>
      <c r="AG12" s="730">
        <f t="shared" si="10"/>
        <v>0</v>
      </c>
      <c r="AH12" s="30"/>
      <c r="AL12" s="30"/>
      <c r="AM12" s="30"/>
      <c r="AN12" s="30"/>
      <c r="AO12" s="30"/>
      <c r="AP12" s="30"/>
      <c r="AQ12" s="30"/>
      <c r="AR12" s="30"/>
    </row>
    <row r="13" spans="1:48" ht="12.75" customHeight="1" x14ac:dyDescent="0.2">
      <c r="A13" s="30"/>
      <c r="B13" s="56"/>
      <c r="C13" s="694"/>
      <c r="D13" s="695"/>
      <c r="E13" s="35"/>
      <c r="F13" s="35"/>
      <c r="G13" s="35"/>
      <c r="H13" s="151"/>
      <c r="I13" s="34"/>
      <c r="J13" s="35"/>
      <c r="K13" s="218"/>
      <c r="L13" s="696"/>
      <c r="M13" s="36"/>
      <c r="N13" s="36"/>
      <c r="O13" s="715"/>
      <c r="P13" s="721">
        <f t="shared" si="11"/>
        <v>0</v>
      </c>
      <c r="Q13" s="721">
        <f t="shared" si="12"/>
        <v>0</v>
      </c>
      <c r="R13" s="740"/>
      <c r="S13" s="747"/>
      <c r="T13" s="760"/>
      <c r="U13" s="743">
        <f t="shared" si="0"/>
        <v>0</v>
      </c>
      <c r="V13" s="763">
        <f t="shared" si="1"/>
        <v>0</v>
      </c>
      <c r="W13" s="747">
        <f t="shared" si="2"/>
        <v>0</v>
      </c>
      <c r="X13" s="760">
        <f t="shared" si="3"/>
        <v>0</v>
      </c>
      <c r="Y13" s="743"/>
      <c r="Z13" s="760"/>
      <c r="AA13" s="753">
        <f t="shared" si="4"/>
        <v>0</v>
      </c>
      <c r="AB13" s="756">
        <f t="shared" si="5"/>
        <v>0</v>
      </c>
      <c r="AC13" s="71">
        <f t="shared" si="6"/>
        <v>0</v>
      </c>
      <c r="AD13" s="332">
        <f t="shared" si="7"/>
        <v>0</v>
      </c>
      <c r="AE13" s="756">
        <f t="shared" si="8"/>
        <v>0</v>
      </c>
      <c r="AF13" s="725">
        <f t="shared" si="9"/>
        <v>0</v>
      </c>
      <c r="AG13" s="730">
        <f t="shared" si="10"/>
        <v>0</v>
      </c>
      <c r="AH13" s="30"/>
      <c r="AI13" s="30"/>
      <c r="AJ13" s="30"/>
      <c r="AK13" s="30"/>
      <c r="AL13" s="30"/>
      <c r="AM13" s="30"/>
      <c r="AN13" s="30"/>
      <c r="AO13" s="30"/>
      <c r="AP13" s="30"/>
      <c r="AQ13" s="30"/>
      <c r="AR13" s="30"/>
    </row>
    <row r="14" spans="1:48" ht="12.75" customHeight="1" x14ac:dyDescent="0.2">
      <c r="A14" s="30"/>
      <c r="B14" s="56"/>
      <c r="C14" s="694"/>
      <c r="D14" s="695"/>
      <c r="E14" s="35"/>
      <c r="F14" s="35"/>
      <c r="G14" s="35"/>
      <c r="H14" s="151"/>
      <c r="I14" s="34"/>
      <c r="J14" s="35"/>
      <c r="K14" s="218"/>
      <c r="L14" s="696"/>
      <c r="M14" s="36"/>
      <c r="N14" s="36"/>
      <c r="O14" s="715"/>
      <c r="P14" s="721">
        <f t="shared" si="11"/>
        <v>0</v>
      </c>
      <c r="Q14" s="721">
        <f t="shared" si="12"/>
        <v>0</v>
      </c>
      <c r="R14" s="740"/>
      <c r="S14" s="747"/>
      <c r="T14" s="760"/>
      <c r="U14" s="743">
        <f t="shared" si="0"/>
        <v>0</v>
      </c>
      <c r="V14" s="763">
        <f t="shared" si="1"/>
        <v>0</v>
      </c>
      <c r="W14" s="747">
        <f t="shared" si="2"/>
        <v>0</v>
      </c>
      <c r="X14" s="760">
        <f t="shared" si="3"/>
        <v>0</v>
      </c>
      <c r="Y14" s="743"/>
      <c r="Z14" s="760"/>
      <c r="AA14" s="753">
        <f t="shared" si="4"/>
        <v>0</v>
      </c>
      <c r="AB14" s="756">
        <f t="shared" si="5"/>
        <v>0</v>
      </c>
      <c r="AC14" s="71">
        <f t="shared" si="6"/>
        <v>0</v>
      </c>
      <c r="AD14" s="332">
        <f t="shared" si="7"/>
        <v>0</v>
      </c>
      <c r="AE14" s="756">
        <f t="shared" si="8"/>
        <v>0</v>
      </c>
      <c r="AF14" s="725">
        <f t="shared" si="9"/>
        <v>0</v>
      </c>
      <c r="AG14" s="730">
        <f t="shared" si="10"/>
        <v>0</v>
      </c>
      <c r="AH14" s="30"/>
      <c r="AI14" s="30"/>
      <c r="AJ14" s="30"/>
      <c r="AK14" s="30"/>
      <c r="AL14" s="30"/>
      <c r="AM14" s="30"/>
      <c r="AN14" s="30"/>
      <c r="AO14" s="30"/>
      <c r="AP14" s="30"/>
      <c r="AQ14" s="30"/>
      <c r="AR14" s="30"/>
    </row>
    <row r="15" spans="1:48" ht="12.75" customHeight="1" x14ac:dyDescent="0.2">
      <c r="A15" s="30"/>
      <c r="B15" s="56"/>
      <c r="C15" s="694"/>
      <c r="D15" s="695"/>
      <c r="E15" s="35"/>
      <c r="F15" s="35"/>
      <c r="G15" s="35"/>
      <c r="H15" s="151"/>
      <c r="I15" s="34"/>
      <c r="J15" s="35"/>
      <c r="K15" s="218"/>
      <c r="L15" s="696"/>
      <c r="M15" s="36"/>
      <c r="N15" s="36"/>
      <c r="O15" s="715"/>
      <c r="P15" s="721">
        <f t="shared" si="11"/>
        <v>0</v>
      </c>
      <c r="Q15" s="721">
        <f t="shared" si="12"/>
        <v>0</v>
      </c>
      <c r="R15" s="740"/>
      <c r="S15" s="747"/>
      <c r="T15" s="760"/>
      <c r="U15" s="743">
        <f t="shared" si="0"/>
        <v>0</v>
      </c>
      <c r="V15" s="763">
        <f t="shared" si="1"/>
        <v>0</v>
      </c>
      <c r="W15" s="747">
        <f t="shared" si="2"/>
        <v>0</v>
      </c>
      <c r="X15" s="760">
        <f t="shared" si="3"/>
        <v>0</v>
      </c>
      <c r="Y15" s="743"/>
      <c r="Z15" s="760"/>
      <c r="AA15" s="753">
        <f t="shared" si="4"/>
        <v>0</v>
      </c>
      <c r="AB15" s="756">
        <f t="shared" si="5"/>
        <v>0</v>
      </c>
      <c r="AC15" s="71">
        <f t="shared" si="6"/>
        <v>0</v>
      </c>
      <c r="AD15" s="332">
        <f t="shared" si="7"/>
        <v>0</v>
      </c>
      <c r="AE15" s="756">
        <f t="shared" si="8"/>
        <v>0</v>
      </c>
      <c r="AF15" s="725">
        <f t="shared" si="9"/>
        <v>0</v>
      </c>
      <c r="AG15" s="730">
        <f t="shared" si="10"/>
        <v>0</v>
      </c>
      <c r="AH15" s="30"/>
      <c r="AI15" s="30"/>
      <c r="AJ15" s="30"/>
      <c r="AK15" s="30"/>
      <c r="AL15" s="30"/>
      <c r="AM15" s="30"/>
      <c r="AN15" s="30"/>
      <c r="AO15" s="30"/>
      <c r="AP15" s="30"/>
      <c r="AQ15" s="30"/>
      <c r="AR15" s="30"/>
    </row>
    <row r="16" spans="1:48" ht="12.75" customHeight="1" x14ac:dyDescent="0.2">
      <c r="A16" s="30"/>
      <c r="B16" s="56"/>
      <c r="C16" s="694"/>
      <c r="D16" s="695"/>
      <c r="E16" s="35"/>
      <c r="F16" s="35"/>
      <c r="G16" s="35"/>
      <c r="H16" s="151"/>
      <c r="I16" s="34"/>
      <c r="J16" s="35"/>
      <c r="K16" s="218"/>
      <c r="L16" s="696"/>
      <c r="M16" s="36"/>
      <c r="N16" s="36"/>
      <c r="O16" s="715"/>
      <c r="P16" s="721">
        <f t="shared" si="11"/>
        <v>0</v>
      </c>
      <c r="Q16" s="721">
        <f t="shared" si="12"/>
        <v>0</v>
      </c>
      <c r="R16" s="740"/>
      <c r="S16" s="747"/>
      <c r="T16" s="760"/>
      <c r="U16" s="743">
        <f t="shared" si="0"/>
        <v>0</v>
      </c>
      <c r="V16" s="763">
        <f t="shared" si="1"/>
        <v>0</v>
      </c>
      <c r="W16" s="747">
        <f t="shared" si="2"/>
        <v>0</v>
      </c>
      <c r="X16" s="760">
        <f t="shared" si="3"/>
        <v>0</v>
      </c>
      <c r="Y16" s="743"/>
      <c r="Z16" s="760"/>
      <c r="AA16" s="753">
        <f t="shared" si="4"/>
        <v>0</v>
      </c>
      <c r="AB16" s="756">
        <f t="shared" si="5"/>
        <v>0</v>
      </c>
      <c r="AC16" s="71">
        <f t="shared" si="6"/>
        <v>0</v>
      </c>
      <c r="AD16" s="332">
        <f t="shared" si="7"/>
        <v>0</v>
      </c>
      <c r="AE16" s="756">
        <f t="shared" si="8"/>
        <v>0</v>
      </c>
      <c r="AF16" s="725">
        <f t="shared" si="9"/>
        <v>0</v>
      </c>
      <c r="AG16" s="730">
        <f t="shared" si="10"/>
        <v>0</v>
      </c>
      <c r="AH16" s="30"/>
      <c r="AI16" s="30"/>
      <c r="AJ16" s="30"/>
      <c r="AK16" s="30"/>
      <c r="AL16" s="30"/>
      <c r="AM16" s="30"/>
      <c r="AN16" s="30"/>
      <c r="AO16" s="30"/>
      <c r="AP16" s="30"/>
      <c r="AQ16" s="30"/>
      <c r="AR16" s="30"/>
    </row>
    <row r="17" spans="1:44" ht="12.75" customHeight="1" x14ac:dyDescent="0.2">
      <c r="A17" s="30"/>
      <c r="B17" s="56"/>
      <c r="C17" s="694"/>
      <c r="D17" s="695"/>
      <c r="E17" s="35"/>
      <c r="F17" s="35"/>
      <c r="G17" s="35"/>
      <c r="H17" s="151"/>
      <c r="I17" s="34"/>
      <c r="J17" s="35"/>
      <c r="K17" s="218"/>
      <c r="L17" s="696"/>
      <c r="M17" s="36"/>
      <c r="N17" s="36"/>
      <c r="O17" s="715"/>
      <c r="P17" s="721">
        <f t="shared" si="11"/>
        <v>0</v>
      </c>
      <c r="Q17" s="721">
        <f t="shared" si="12"/>
        <v>0</v>
      </c>
      <c r="R17" s="740"/>
      <c r="S17" s="747"/>
      <c r="T17" s="760"/>
      <c r="U17" s="743">
        <f t="shared" si="0"/>
        <v>0</v>
      </c>
      <c r="V17" s="763">
        <f t="shared" si="1"/>
        <v>0</v>
      </c>
      <c r="W17" s="747">
        <f t="shared" si="2"/>
        <v>0</v>
      </c>
      <c r="X17" s="760">
        <f t="shared" si="3"/>
        <v>0</v>
      </c>
      <c r="Y17" s="743"/>
      <c r="Z17" s="760"/>
      <c r="AA17" s="753">
        <f t="shared" si="4"/>
        <v>0</v>
      </c>
      <c r="AB17" s="756">
        <f t="shared" si="5"/>
        <v>0</v>
      </c>
      <c r="AC17" s="71">
        <f t="shared" si="6"/>
        <v>0</v>
      </c>
      <c r="AD17" s="332">
        <f t="shared" si="7"/>
        <v>0</v>
      </c>
      <c r="AE17" s="756">
        <f t="shared" si="8"/>
        <v>0</v>
      </c>
      <c r="AF17" s="725">
        <f t="shared" si="9"/>
        <v>0</v>
      </c>
      <c r="AG17" s="730">
        <f t="shared" si="10"/>
        <v>0</v>
      </c>
      <c r="AH17" s="30"/>
      <c r="AI17" s="30"/>
      <c r="AJ17" s="30"/>
      <c r="AK17" s="30"/>
      <c r="AL17" s="30"/>
      <c r="AM17" s="30"/>
      <c r="AN17" s="30"/>
      <c r="AO17" s="30"/>
      <c r="AP17" s="30"/>
      <c r="AQ17" s="30"/>
      <c r="AR17" s="30"/>
    </row>
    <row r="18" spans="1:44" ht="12.75" customHeight="1" x14ac:dyDescent="0.2">
      <c r="A18" s="30"/>
      <c r="B18" s="56"/>
      <c r="C18" s="694"/>
      <c r="D18" s="695"/>
      <c r="E18" s="35"/>
      <c r="F18" s="35"/>
      <c r="G18" s="35"/>
      <c r="H18" s="151"/>
      <c r="I18" s="34"/>
      <c r="J18" s="35"/>
      <c r="K18" s="218"/>
      <c r="L18" s="696"/>
      <c r="M18" s="36"/>
      <c r="N18" s="36"/>
      <c r="O18" s="715"/>
      <c r="P18" s="721">
        <f>IF(O18&gt;45,24,IF(AND(O18&lt;50,O18&gt;0),12,0))</f>
        <v>0</v>
      </c>
      <c r="Q18" s="721">
        <f>IF(O18&gt;45,40,IF(AND(O18&lt;50,O18&gt;0),20,0))</f>
        <v>0</v>
      </c>
      <c r="R18" s="740"/>
      <c r="S18" s="747"/>
      <c r="T18" s="760"/>
      <c r="U18" s="743">
        <f t="shared" si="0"/>
        <v>0</v>
      </c>
      <c r="V18" s="763">
        <f t="shared" si="1"/>
        <v>0</v>
      </c>
      <c r="W18" s="747">
        <f t="shared" si="2"/>
        <v>0</v>
      </c>
      <c r="X18" s="760">
        <f t="shared" si="3"/>
        <v>0</v>
      </c>
      <c r="Y18" s="743"/>
      <c r="Z18" s="760"/>
      <c r="AA18" s="753">
        <f t="shared" si="4"/>
        <v>0</v>
      </c>
      <c r="AB18" s="756">
        <f t="shared" si="5"/>
        <v>0</v>
      </c>
      <c r="AC18" s="71">
        <f t="shared" si="6"/>
        <v>0</v>
      </c>
      <c r="AD18" s="837">
        <f t="shared" si="7"/>
        <v>0</v>
      </c>
      <c r="AE18" s="756">
        <f t="shared" si="8"/>
        <v>0</v>
      </c>
      <c r="AF18" s="725">
        <f t="shared" si="9"/>
        <v>0</v>
      </c>
      <c r="AG18" s="730">
        <f t="shared" si="10"/>
        <v>0</v>
      </c>
      <c r="AH18" s="30"/>
      <c r="AI18" s="30"/>
      <c r="AJ18" s="30"/>
      <c r="AK18" s="30"/>
      <c r="AL18" s="30"/>
      <c r="AM18" s="30"/>
      <c r="AN18" s="30"/>
      <c r="AO18" s="30"/>
      <c r="AP18" s="30"/>
      <c r="AQ18" s="30"/>
      <c r="AR18" s="30"/>
    </row>
    <row r="19" spans="1:44" ht="12.75" customHeight="1" x14ac:dyDescent="0.2">
      <c r="A19" s="30"/>
      <c r="B19" s="56"/>
      <c r="C19" s="694"/>
      <c r="D19" s="695"/>
      <c r="E19" s="35"/>
      <c r="F19" s="35"/>
      <c r="G19" s="35"/>
      <c r="H19" s="151"/>
      <c r="I19" s="34"/>
      <c r="J19" s="35"/>
      <c r="K19" s="218"/>
      <c r="L19" s="696"/>
      <c r="M19" s="36"/>
      <c r="N19" s="36"/>
      <c r="O19" s="715"/>
      <c r="P19" s="721">
        <f>IF(O19&gt;45,24,IF(AND(O19&lt;50,O19&gt;0),12,0))</f>
        <v>0</v>
      </c>
      <c r="Q19" s="721">
        <f>IF(O19&gt;45,40,IF(AND(O19&lt;50,O19&gt;0),20,0))</f>
        <v>0</v>
      </c>
      <c r="R19" s="740"/>
      <c r="S19" s="747"/>
      <c r="T19" s="760"/>
      <c r="U19" s="743">
        <f t="shared" si="0"/>
        <v>0</v>
      </c>
      <c r="V19" s="763">
        <f t="shared" si="1"/>
        <v>0</v>
      </c>
      <c r="W19" s="747">
        <f t="shared" si="2"/>
        <v>0</v>
      </c>
      <c r="X19" s="760">
        <f t="shared" si="3"/>
        <v>0</v>
      </c>
      <c r="Y19" s="743"/>
      <c r="Z19" s="760"/>
      <c r="AA19" s="753">
        <f t="shared" si="4"/>
        <v>0</v>
      </c>
      <c r="AB19" s="756">
        <f t="shared" si="5"/>
        <v>0</v>
      </c>
      <c r="AC19" s="71">
        <f t="shared" si="6"/>
        <v>0</v>
      </c>
      <c r="AD19" s="837">
        <f t="shared" si="7"/>
        <v>0</v>
      </c>
      <c r="AE19" s="756">
        <f t="shared" si="8"/>
        <v>0</v>
      </c>
      <c r="AF19" s="725">
        <f t="shared" si="9"/>
        <v>0</v>
      </c>
      <c r="AG19" s="730">
        <f t="shared" si="10"/>
        <v>0</v>
      </c>
      <c r="AH19" s="30"/>
      <c r="AI19" s="30"/>
      <c r="AJ19" s="30"/>
      <c r="AK19" s="30"/>
      <c r="AL19" s="30"/>
      <c r="AM19" s="30"/>
      <c r="AN19" s="30"/>
      <c r="AO19" s="30"/>
      <c r="AP19" s="30"/>
      <c r="AQ19" s="30"/>
      <c r="AR19" s="30"/>
    </row>
    <row r="20" spans="1:44" ht="12.75" customHeight="1" x14ac:dyDescent="0.2">
      <c r="A20" s="30"/>
      <c r="B20" s="56"/>
      <c r="C20" s="694"/>
      <c r="D20" s="695"/>
      <c r="E20" s="35"/>
      <c r="F20" s="35"/>
      <c r="G20" s="35"/>
      <c r="H20" s="151"/>
      <c r="I20" s="34"/>
      <c r="J20" s="35"/>
      <c r="K20" s="218"/>
      <c r="L20" s="696"/>
      <c r="M20" s="36"/>
      <c r="N20" s="36"/>
      <c r="O20" s="715"/>
      <c r="P20" s="721">
        <f>IF(O20&gt;45,24,IF(AND(O20&lt;50,O20&gt;0),12,0))</f>
        <v>0</v>
      </c>
      <c r="Q20" s="721">
        <f>IF(O20&gt;45,40,IF(AND(O20&lt;50,O20&gt;0),20,0))</f>
        <v>0</v>
      </c>
      <c r="R20" s="740"/>
      <c r="S20" s="747"/>
      <c r="T20" s="760"/>
      <c r="U20" s="743">
        <f t="shared" si="0"/>
        <v>0</v>
      </c>
      <c r="V20" s="763">
        <f t="shared" si="1"/>
        <v>0</v>
      </c>
      <c r="W20" s="747">
        <f t="shared" si="2"/>
        <v>0</v>
      </c>
      <c r="X20" s="760">
        <f t="shared" si="3"/>
        <v>0</v>
      </c>
      <c r="Y20" s="743"/>
      <c r="Z20" s="760"/>
      <c r="AA20" s="753">
        <f t="shared" si="4"/>
        <v>0</v>
      </c>
      <c r="AB20" s="756">
        <f t="shared" si="5"/>
        <v>0</v>
      </c>
      <c r="AC20" s="71">
        <f t="shared" si="6"/>
        <v>0</v>
      </c>
      <c r="AD20" s="837">
        <f t="shared" si="7"/>
        <v>0</v>
      </c>
      <c r="AE20" s="756">
        <f t="shared" si="8"/>
        <v>0</v>
      </c>
      <c r="AF20" s="725">
        <f t="shared" si="9"/>
        <v>0</v>
      </c>
      <c r="AG20" s="730">
        <f t="shared" si="10"/>
        <v>0</v>
      </c>
      <c r="AH20" s="30"/>
      <c r="AI20" s="30"/>
      <c r="AJ20" s="30"/>
      <c r="AK20" s="30"/>
      <c r="AL20" s="30"/>
      <c r="AM20" s="30"/>
      <c r="AN20" s="30"/>
      <c r="AO20" s="30"/>
      <c r="AP20" s="30"/>
      <c r="AQ20" s="30"/>
      <c r="AR20" s="30"/>
    </row>
    <row r="21" spans="1:44" ht="12.75" customHeight="1" x14ac:dyDescent="0.2">
      <c r="A21" s="30"/>
      <c r="B21" s="56"/>
      <c r="C21" s="694"/>
      <c r="D21" s="695"/>
      <c r="E21" s="35"/>
      <c r="F21" s="35"/>
      <c r="G21" s="63"/>
      <c r="H21" s="64"/>
      <c r="I21" s="34"/>
      <c r="J21" s="35"/>
      <c r="K21" s="218"/>
      <c r="L21" s="696"/>
      <c r="M21" s="36"/>
      <c r="N21" s="36"/>
      <c r="O21" s="715"/>
      <c r="P21" s="721">
        <f t="shared" si="11"/>
        <v>0</v>
      </c>
      <c r="Q21" s="721">
        <f t="shared" si="12"/>
        <v>0</v>
      </c>
      <c r="R21" s="740"/>
      <c r="S21" s="747"/>
      <c r="T21" s="760"/>
      <c r="U21" s="743">
        <f t="shared" si="0"/>
        <v>0</v>
      </c>
      <c r="V21" s="763">
        <f t="shared" si="1"/>
        <v>0</v>
      </c>
      <c r="W21" s="747">
        <f t="shared" si="2"/>
        <v>0</v>
      </c>
      <c r="X21" s="760">
        <f t="shared" si="3"/>
        <v>0</v>
      </c>
      <c r="Y21" s="743"/>
      <c r="Z21" s="760"/>
      <c r="AA21" s="753">
        <f t="shared" si="4"/>
        <v>0</v>
      </c>
      <c r="AB21" s="756">
        <f t="shared" si="5"/>
        <v>0</v>
      </c>
      <c r="AC21" s="71">
        <f t="shared" si="6"/>
        <v>0</v>
      </c>
      <c r="AD21" s="332">
        <f t="shared" si="7"/>
        <v>0</v>
      </c>
      <c r="AE21" s="756">
        <f t="shared" si="8"/>
        <v>0</v>
      </c>
      <c r="AF21" s="725">
        <f t="shared" si="9"/>
        <v>0</v>
      </c>
      <c r="AG21" s="730">
        <f t="shared" si="10"/>
        <v>0</v>
      </c>
      <c r="AH21" s="30"/>
      <c r="AI21" s="30"/>
      <c r="AJ21" s="30"/>
      <c r="AK21" s="30"/>
      <c r="AL21" s="30"/>
      <c r="AM21" s="30"/>
      <c r="AN21" s="30"/>
      <c r="AO21" s="30"/>
      <c r="AP21" s="30"/>
      <c r="AQ21" s="30"/>
      <c r="AR21" s="30"/>
    </row>
    <row r="22" spans="1:44" ht="12.75" customHeight="1" x14ac:dyDescent="0.2">
      <c r="A22" s="30"/>
      <c r="B22" s="56"/>
      <c r="C22" s="694"/>
      <c r="D22" s="695"/>
      <c r="E22" s="35"/>
      <c r="F22" s="35"/>
      <c r="G22" s="35"/>
      <c r="H22" s="151"/>
      <c r="I22" s="34"/>
      <c r="J22" s="35"/>
      <c r="K22" s="218"/>
      <c r="L22" s="696"/>
      <c r="M22" s="36"/>
      <c r="N22" s="36"/>
      <c r="O22" s="715"/>
      <c r="P22" s="721">
        <f t="shared" si="11"/>
        <v>0</v>
      </c>
      <c r="Q22" s="721">
        <f t="shared" si="12"/>
        <v>0</v>
      </c>
      <c r="R22" s="740"/>
      <c r="S22" s="747"/>
      <c r="T22" s="760"/>
      <c r="U22" s="743">
        <f t="shared" si="0"/>
        <v>0</v>
      </c>
      <c r="V22" s="763">
        <f t="shared" si="1"/>
        <v>0</v>
      </c>
      <c r="W22" s="747">
        <f t="shared" si="2"/>
        <v>0</v>
      </c>
      <c r="X22" s="760">
        <f t="shared" si="3"/>
        <v>0</v>
      </c>
      <c r="Y22" s="743"/>
      <c r="Z22" s="760"/>
      <c r="AA22" s="753">
        <f t="shared" si="4"/>
        <v>0</v>
      </c>
      <c r="AB22" s="756">
        <f t="shared" si="5"/>
        <v>0</v>
      </c>
      <c r="AC22" s="71">
        <f t="shared" si="6"/>
        <v>0</v>
      </c>
      <c r="AD22" s="332">
        <f t="shared" si="7"/>
        <v>0</v>
      </c>
      <c r="AE22" s="756">
        <f t="shared" si="8"/>
        <v>0</v>
      </c>
      <c r="AF22" s="725">
        <f t="shared" si="9"/>
        <v>0</v>
      </c>
      <c r="AG22" s="730">
        <f t="shared" si="10"/>
        <v>0</v>
      </c>
      <c r="AH22" s="30"/>
      <c r="AI22" s="30"/>
      <c r="AJ22" s="30"/>
      <c r="AK22" s="30"/>
      <c r="AL22" s="30"/>
      <c r="AM22" s="30"/>
      <c r="AN22" s="30"/>
      <c r="AO22" s="30"/>
      <c r="AP22" s="30"/>
      <c r="AQ22" s="30"/>
      <c r="AR22" s="30"/>
    </row>
    <row r="23" spans="1:44" ht="12.75" customHeight="1" x14ac:dyDescent="0.2">
      <c r="A23" s="30"/>
      <c r="B23" s="56"/>
      <c r="C23" s="694"/>
      <c r="D23" s="695"/>
      <c r="E23" s="35"/>
      <c r="F23" s="35"/>
      <c r="G23" s="35"/>
      <c r="H23" s="151"/>
      <c r="I23" s="34"/>
      <c r="J23" s="35"/>
      <c r="K23" s="218"/>
      <c r="L23" s="696"/>
      <c r="M23" s="36"/>
      <c r="N23" s="36"/>
      <c r="O23" s="716"/>
      <c r="P23" s="721">
        <f t="shared" si="11"/>
        <v>0</v>
      </c>
      <c r="Q23" s="721">
        <f t="shared" si="12"/>
        <v>0</v>
      </c>
      <c r="R23" s="740"/>
      <c r="S23" s="747"/>
      <c r="T23" s="760"/>
      <c r="U23" s="743">
        <f t="shared" si="0"/>
        <v>0</v>
      </c>
      <c r="V23" s="763">
        <f t="shared" si="1"/>
        <v>0</v>
      </c>
      <c r="W23" s="747">
        <f t="shared" si="2"/>
        <v>0</v>
      </c>
      <c r="X23" s="760">
        <f t="shared" si="3"/>
        <v>0</v>
      </c>
      <c r="Y23" s="743"/>
      <c r="Z23" s="760"/>
      <c r="AA23" s="753">
        <f t="shared" si="4"/>
        <v>0</v>
      </c>
      <c r="AB23" s="756">
        <f t="shared" si="5"/>
        <v>0</v>
      </c>
      <c r="AC23" s="71">
        <f t="shared" si="6"/>
        <v>0</v>
      </c>
      <c r="AD23" s="332">
        <f t="shared" si="7"/>
        <v>0</v>
      </c>
      <c r="AE23" s="756">
        <f t="shared" si="8"/>
        <v>0</v>
      </c>
      <c r="AF23" s="725">
        <f t="shared" si="9"/>
        <v>0</v>
      </c>
      <c r="AG23" s="730">
        <f t="shared" si="10"/>
        <v>0</v>
      </c>
      <c r="AH23" s="30"/>
      <c r="AI23" s="30"/>
      <c r="AJ23" s="30"/>
      <c r="AK23" s="30"/>
      <c r="AL23" s="30"/>
      <c r="AM23" s="30"/>
      <c r="AN23" s="30"/>
      <c r="AO23" s="30"/>
      <c r="AP23" s="30"/>
      <c r="AQ23" s="30"/>
      <c r="AR23" s="30"/>
    </row>
    <row r="24" spans="1:44" ht="12.75" customHeight="1" x14ac:dyDescent="0.2">
      <c r="A24" s="30"/>
      <c r="B24" s="56"/>
      <c r="C24" s="694"/>
      <c r="D24" s="695"/>
      <c r="E24" s="35"/>
      <c r="F24" s="35"/>
      <c r="G24" s="35"/>
      <c r="H24" s="151"/>
      <c r="I24" s="34"/>
      <c r="J24" s="35"/>
      <c r="K24" s="218"/>
      <c r="L24" s="696"/>
      <c r="M24" s="36"/>
      <c r="N24" s="36"/>
      <c r="O24" s="715"/>
      <c r="P24" s="721">
        <f t="shared" si="11"/>
        <v>0</v>
      </c>
      <c r="Q24" s="721">
        <f t="shared" si="12"/>
        <v>0</v>
      </c>
      <c r="R24" s="740"/>
      <c r="S24" s="747"/>
      <c r="T24" s="760"/>
      <c r="U24" s="743">
        <f t="shared" si="0"/>
        <v>0</v>
      </c>
      <c r="V24" s="763">
        <f t="shared" si="1"/>
        <v>0</v>
      </c>
      <c r="W24" s="747">
        <f t="shared" si="2"/>
        <v>0</v>
      </c>
      <c r="X24" s="760">
        <f t="shared" si="3"/>
        <v>0</v>
      </c>
      <c r="Y24" s="743"/>
      <c r="Z24" s="760"/>
      <c r="AA24" s="753">
        <f t="shared" si="4"/>
        <v>0</v>
      </c>
      <c r="AB24" s="756">
        <f t="shared" si="5"/>
        <v>0</v>
      </c>
      <c r="AC24" s="71">
        <f t="shared" si="6"/>
        <v>0</v>
      </c>
      <c r="AD24" s="332">
        <f t="shared" si="7"/>
        <v>0</v>
      </c>
      <c r="AE24" s="756">
        <f t="shared" si="8"/>
        <v>0</v>
      </c>
      <c r="AF24" s="725">
        <f t="shared" si="9"/>
        <v>0</v>
      </c>
      <c r="AG24" s="730">
        <f t="shared" si="10"/>
        <v>0</v>
      </c>
      <c r="AH24" s="30"/>
      <c r="AI24" s="30"/>
      <c r="AJ24" s="30"/>
      <c r="AK24" s="30"/>
      <c r="AL24" s="30"/>
      <c r="AM24" s="30"/>
      <c r="AN24" s="30"/>
      <c r="AO24" s="30"/>
      <c r="AP24" s="30"/>
      <c r="AQ24" s="30"/>
      <c r="AR24" s="30"/>
    </row>
    <row r="25" spans="1:44" ht="12.75" customHeight="1" x14ac:dyDescent="0.2">
      <c r="A25" s="30"/>
      <c r="B25" s="349"/>
      <c r="C25" s="694"/>
      <c r="D25" s="695"/>
      <c r="E25" s="35"/>
      <c r="F25" s="35"/>
      <c r="G25" s="35"/>
      <c r="H25" s="151"/>
      <c r="I25" s="34"/>
      <c r="J25" s="35"/>
      <c r="K25" s="218"/>
      <c r="L25" s="696"/>
      <c r="M25" s="36"/>
      <c r="N25" s="36"/>
      <c r="O25" s="715"/>
      <c r="P25" s="721">
        <f t="shared" si="11"/>
        <v>0</v>
      </c>
      <c r="Q25" s="721">
        <f t="shared" si="12"/>
        <v>0</v>
      </c>
      <c r="R25" s="740"/>
      <c r="S25" s="747"/>
      <c r="T25" s="760"/>
      <c r="U25" s="743">
        <f t="shared" si="0"/>
        <v>0</v>
      </c>
      <c r="V25" s="763">
        <f t="shared" si="1"/>
        <v>0</v>
      </c>
      <c r="W25" s="747">
        <f t="shared" si="2"/>
        <v>0</v>
      </c>
      <c r="X25" s="760">
        <f t="shared" si="3"/>
        <v>0</v>
      </c>
      <c r="Y25" s="743"/>
      <c r="Z25" s="760"/>
      <c r="AA25" s="753">
        <f t="shared" si="4"/>
        <v>0</v>
      </c>
      <c r="AB25" s="756">
        <f t="shared" si="5"/>
        <v>0</v>
      </c>
      <c r="AC25" s="71">
        <f t="shared" si="6"/>
        <v>0</v>
      </c>
      <c r="AD25" s="332">
        <f t="shared" si="7"/>
        <v>0</v>
      </c>
      <c r="AE25" s="756">
        <f t="shared" si="8"/>
        <v>0</v>
      </c>
      <c r="AF25" s="725">
        <f t="shared" si="9"/>
        <v>0</v>
      </c>
      <c r="AG25" s="730">
        <f t="shared" si="10"/>
        <v>0</v>
      </c>
      <c r="AH25" s="30"/>
      <c r="AI25" s="30"/>
      <c r="AJ25" s="30"/>
      <c r="AK25" s="30"/>
      <c r="AL25" s="30"/>
      <c r="AM25" s="30"/>
      <c r="AN25" s="30"/>
      <c r="AO25" s="30"/>
      <c r="AP25" s="30"/>
      <c r="AQ25" s="30"/>
      <c r="AR25" s="30"/>
    </row>
    <row r="26" spans="1:44" ht="12.75" customHeight="1" x14ac:dyDescent="0.2">
      <c r="A26" s="30"/>
      <c r="B26" s="349"/>
      <c r="C26" s="694"/>
      <c r="D26" s="695"/>
      <c r="E26" s="35"/>
      <c r="F26" s="35"/>
      <c r="G26" s="35"/>
      <c r="H26" s="151"/>
      <c r="I26" s="34"/>
      <c r="J26" s="35"/>
      <c r="K26" s="218"/>
      <c r="L26" s="696"/>
      <c r="M26" s="36"/>
      <c r="N26" s="36"/>
      <c r="O26" s="715"/>
      <c r="P26" s="721">
        <f t="shared" si="11"/>
        <v>0</v>
      </c>
      <c r="Q26" s="721">
        <f t="shared" si="12"/>
        <v>0</v>
      </c>
      <c r="R26" s="740"/>
      <c r="S26" s="747"/>
      <c r="T26" s="760"/>
      <c r="U26" s="743">
        <f t="shared" si="0"/>
        <v>0</v>
      </c>
      <c r="V26" s="763">
        <f t="shared" si="1"/>
        <v>0</v>
      </c>
      <c r="W26" s="747">
        <f t="shared" si="2"/>
        <v>0</v>
      </c>
      <c r="X26" s="760">
        <f t="shared" si="3"/>
        <v>0</v>
      </c>
      <c r="Y26" s="743"/>
      <c r="Z26" s="760"/>
      <c r="AA26" s="753">
        <f t="shared" si="4"/>
        <v>0</v>
      </c>
      <c r="AB26" s="756">
        <f t="shared" si="5"/>
        <v>0</v>
      </c>
      <c r="AC26" s="71">
        <f t="shared" si="6"/>
        <v>0</v>
      </c>
      <c r="AD26" s="332">
        <f t="shared" si="7"/>
        <v>0</v>
      </c>
      <c r="AE26" s="756">
        <f t="shared" si="8"/>
        <v>0</v>
      </c>
      <c r="AF26" s="725">
        <f t="shared" si="9"/>
        <v>0</v>
      </c>
      <c r="AG26" s="730">
        <f t="shared" si="10"/>
        <v>0</v>
      </c>
      <c r="AH26" s="30"/>
      <c r="AI26" s="30"/>
      <c r="AJ26" s="30"/>
      <c r="AK26" s="30"/>
      <c r="AL26" s="30"/>
      <c r="AM26" s="30"/>
      <c r="AN26" s="30"/>
      <c r="AO26" s="30"/>
      <c r="AP26" s="30"/>
      <c r="AQ26" s="30"/>
      <c r="AR26" s="30"/>
    </row>
    <row r="27" spans="1:44" ht="12.75" customHeight="1" x14ac:dyDescent="0.2">
      <c r="A27" s="30"/>
      <c r="B27" s="56"/>
      <c r="C27" s="694"/>
      <c r="D27" s="695"/>
      <c r="E27" s="35"/>
      <c r="F27" s="35"/>
      <c r="G27" s="35"/>
      <c r="H27" s="151"/>
      <c r="I27" s="34"/>
      <c r="J27" s="35"/>
      <c r="K27" s="218"/>
      <c r="L27" s="696"/>
      <c r="M27" s="36"/>
      <c r="N27" s="36"/>
      <c r="O27" s="715"/>
      <c r="P27" s="721">
        <f t="shared" si="11"/>
        <v>0</v>
      </c>
      <c r="Q27" s="721">
        <f t="shared" si="12"/>
        <v>0</v>
      </c>
      <c r="R27" s="740"/>
      <c r="S27" s="747"/>
      <c r="T27" s="760"/>
      <c r="U27" s="743">
        <f t="shared" si="0"/>
        <v>0</v>
      </c>
      <c r="V27" s="763">
        <f t="shared" si="1"/>
        <v>0</v>
      </c>
      <c r="W27" s="747">
        <f t="shared" si="2"/>
        <v>0</v>
      </c>
      <c r="X27" s="760">
        <f t="shared" si="3"/>
        <v>0</v>
      </c>
      <c r="Y27" s="743"/>
      <c r="Z27" s="760"/>
      <c r="AA27" s="753">
        <f t="shared" si="4"/>
        <v>0</v>
      </c>
      <c r="AB27" s="756">
        <f t="shared" si="5"/>
        <v>0</v>
      </c>
      <c r="AC27" s="71">
        <f t="shared" si="6"/>
        <v>0</v>
      </c>
      <c r="AD27" s="332">
        <f t="shared" si="7"/>
        <v>0</v>
      </c>
      <c r="AE27" s="756">
        <f t="shared" si="8"/>
        <v>0</v>
      </c>
      <c r="AF27" s="725">
        <f t="shared" si="9"/>
        <v>0</v>
      </c>
      <c r="AG27" s="730">
        <f t="shared" si="10"/>
        <v>0</v>
      </c>
      <c r="AH27" s="30"/>
      <c r="AI27" s="30"/>
      <c r="AJ27" s="30"/>
      <c r="AK27" s="30"/>
      <c r="AL27" s="30"/>
      <c r="AM27" s="30"/>
      <c r="AN27" s="30"/>
      <c r="AO27" s="30"/>
      <c r="AP27" s="30"/>
      <c r="AQ27" s="30"/>
      <c r="AR27" s="30"/>
    </row>
    <row r="28" spans="1:44" ht="12.75" customHeight="1" x14ac:dyDescent="0.2">
      <c r="A28" s="30"/>
      <c r="B28" s="56"/>
      <c r="C28" s="694"/>
      <c r="D28" s="695"/>
      <c r="E28" s="35"/>
      <c r="F28" s="35"/>
      <c r="G28" s="35"/>
      <c r="H28" s="151"/>
      <c r="I28" s="34"/>
      <c r="J28" s="35"/>
      <c r="K28" s="218"/>
      <c r="L28" s="696"/>
      <c r="M28" s="36"/>
      <c r="N28" s="36"/>
      <c r="O28" s="715"/>
      <c r="P28" s="721">
        <f t="shared" si="11"/>
        <v>0</v>
      </c>
      <c r="Q28" s="721">
        <f t="shared" si="12"/>
        <v>0</v>
      </c>
      <c r="R28" s="740"/>
      <c r="S28" s="747"/>
      <c r="T28" s="760"/>
      <c r="U28" s="743">
        <f t="shared" si="0"/>
        <v>0</v>
      </c>
      <c r="V28" s="763">
        <f t="shared" si="1"/>
        <v>0</v>
      </c>
      <c r="W28" s="747">
        <f t="shared" si="2"/>
        <v>0</v>
      </c>
      <c r="X28" s="760">
        <f t="shared" si="3"/>
        <v>0</v>
      </c>
      <c r="Y28" s="743"/>
      <c r="Z28" s="760"/>
      <c r="AA28" s="753">
        <f t="shared" si="4"/>
        <v>0</v>
      </c>
      <c r="AB28" s="756">
        <f t="shared" si="5"/>
        <v>0</v>
      </c>
      <c r="AC28" s="71">
        <f t="shared" si="6"/>
        <v>0</v>
      </c>
      <c r="AD28" s="332">
        <f t="shared" si="7"/>
        <v>0</v>
      </c>
      <c r="AE28" s="756">
        <f t="shared" si="8"/>
        <v>0</v>
      </c>
      <c r="AF28" s="725">
        <f t="shared" si="9"/>
        <v>0</v>
      </c>
      <c r="AG28" s="730">
        <f t="shared" si="10"/>
        <v>0</v>
      </c>
      <c r="AH28" s="30"/>
      <c r="AI28" s="30"/>
      <c r="AJ28" s="30"/>
      <c r="AK28" s="30"/>
      <c r="AL28" s="30"/>
      <c r="AM28" s="30"/>
      <c r="AN28" s="30"/>
      <c r="AO28" s="30"/>
      <c r="AP28" s="30"/>
      <c r="AQ28" s="30"/>
      <c r="AR28" s="30"/>
    </row>
    <row r="29" spans="1:44" ht="12.75" customHeight="1" x14ac:dyDescent="0.2">
      <c r="A29" s="30"/>
      <c r="B29" s="56"/>
      <c r="C29" s="694"/>
      <c r="D29" s="698"/>
      <c r="E29" s="35"/>
      <c r="F29" s="35"/>
      <c r="G29" s="35"/>
      <c r="H29" s="151"/>
      <c r="I29" s="34"/>
      <c r="J29" s="35"/>
      <c r="K29" s="218"/>
      <c r="L29" s="696"/>
      <c r="M29" s="36"/>
      <c r="N29" s="36"/>
      <c r="O29" s="715"/>
      <c r="P29" s="721">
        <f t="shared" si="11"/>
        <v>0</v>
      </c>
      <c r="Q29" s="721">
        <f t="shared" si="12"/>
        <v>0</v>
      </c>
      <c r="R29" s="740"/>
      <c r="S29" s="747"/>
      <c r="T29" s="760"/>
      <c r="U29" s="743">
        <f t="shared" si="0"/>
        <v>0</v>
      </c>
      <c r="V29" s="763">
        <f t="shared" si="1"/>
        <v>0</v>
      </c>
      <c r="W29" s="747">
        <f t="shared" si="2"/>
        <v>0</v>
      </c>
      <c r="X29" s="760">
        <f t="shared" si="3"/>
        <v>0</v>
      </c>
      <c r="Y29" s="743"/>
      <c r="Z29" s="760"/>
      <c r="AA29" s="753">
        <f t="shared" si="4"/>
        <v>0</v>
      </c>
      <c r="AB29" s="756">
        <f t="shared" si="5"/>
        <v>0</v>
      </c>
      <c r="AC29" s="71">
        <f t="shared" si="6"/>
        <v>0</v>
      </c>
      <c r="AD29" s="332">
        <f t="shared" si="7"/>
        <v>0</v>
      </c>
      <c r="AE29" s="756">
        <f t="shared" si="8"/>
        <v>0</v>
      </c>
      <c r="AF29" s="725">
        <f t="shared" si="9"/>
        <v>0</v>
      </c>
      <c r="AG29" s="730">
        <f t="shared" si="10"/>
        <v>0</v>
      </c>
      <c r="AH29" s="30"/>
      <c r="AI29" s="30"/>
      <c r="AJ29" s="30"/>
      <c r="AK29" s="30"/>
      <c r="AL29" s="30"/>
      <c r="AM29" s="30"/>
      <c r="AN29" s="30"/>
      <c r="AO29" s="30"/>
      <c r="AP29" s="30"/>
      <c r="AQ29" s="30"/>
      <c r="AR29" s="30"/>
    </row>
    <row r="30" spans="1:44" ht="12.75" customHeight="1" x14ac:dyDescent="0.2">
      <c r="A30" s="30"/>
      <c r="B30" s="56"/>
      <c r="C30" s="694"/>
      <c r="D30" s="698"/>
      <c r="E30" s="35"/>
      <c r="F30" s="35"/>
      <c r="G30" s="35"/>
      <c r="H30" s="151"/>
      <c r="I30" s="34"/>
      <c r="J30" s="35"/>
      <c r="K30" s="218"/>
      <c r="L30" s="696"/>
      <c r="M30" s="36"/>
      <c r="N30" s="36"/>
      <c r="O30" s="715"/>
      <c r="P30" s="721">
        <f t="shared" si="11"/>
        <v>0</v>
      </c>
      <c r="Q30" s="721">
        <f t="shared" si="12"/>
        <v>0</v>
      </c>
      <c r="R30" s="740"/>
      <c r="S30" s="747"/>
      <c r="T30" s="760"/>
      <c r="U30" s="743">
        <f t="shared" si="0"/>
        <v>0</v>
      </c>
      <c r="V30" s="763">
        <f t="shared" si="1"/>
        <v>0</v>
      </c>
      <c r="W30" s="747">
        <f t="shared" si="2"/>
        <v>0</v>
      </c>
      <c r="X30" s="760">
        <f t="shared" si="3"/>
        <v>0</v>
      </c>
      <c r="Y30" s="743"/>
      <c r="Z30" s="760"/>
      <c r="AA30" s="753">
        <f t="shared" si="4"/>
        <v>0</v>
      </c>
      <c r="AB30" s="756">
        <f t="shared" si="5"/>
        <v>0</v>
      </c>
      <c r="AC30" s="71">
        <f t="shared" si="6"/>
        <v>0</v>
      </c>
      <c r="AD30" s="332">
        <f t="shared" si="7"/>
        <v>0</v>
      </c>
      <c r="AE30" s="756">
        <f t="shared" si="8"/>
        <v>0</v>
      </c>
      <c r="AF30" s="725">
        <f t="shared" si="9"/>
        <v>0</v>
      </c>
      <c r="AG30" s="730">
        <f t="shared" si="10"/>
        <v>0</v>
      </c>
      <c r="AH30" s="30"/>
      <c r="AI30" s="30"/>
      <c r="AJ30" s="30"/>
      <c r="AK30" s="30"/>
      <c r="AL30" s="30"/>
      <c r="AM30" s="30"/>
      <c r="AN30" s="30"/>
      <c r="AO30" s="30"/>
      <c r="AP30" s="30"/>
      <c r="AQ30" s="30"/>
      <c r="AR30" s="30"/>
    </row>
    <row r="31" spans="1:44" ht="12.75" customHeight="1" x14ac:dyDescent="0.2">
      <c r="A31" s="30"/>
      <c r="B31" s="56"/>
      <c r="C31" s="694"/>
      <c r="D31" s="698"/>
      <c r="E31" s="35"/>
      <c r="F31" s="35"/>
      <c r="G31" s="35"/>
      <c r="H31" s="151"/>
      <c r="I31" s="34"/>
      <c r="J31" s="35"/>
      <c r="K31" s="218"/>
      <c r="L31" s="696"/>
      <c r="M31" s="36"/>
      <c r="N31" s="36"/>
      <c r="O31" s="715"/>
      <c r="P31" s="721">
        <f t="shared" si="11"/>
        <v>0</v>
      </c>
      <c r="Q31" s="721">
        <f t="shared" si="12"/>
        <v>0</v>
      </c>
      <c r="R31" s="740"/>
      <c r="S31" s="747"/>
      <c r="T31" s="760"/>
      <c r="U31" s="743">
        <f t="shared" si="0"/>
        <v>0</v>
      </c>
      <c r="V31" s="763">
        <f t="shared" si="1"/>
        <v>0</v>
      </c>
      <c r="W31" s="747">
        <f t="shared" si="2"/>
        <v>0</v>
      </c>
      <c r="X31" s="760">
        <f t="shared" si="3"/>
        <v>0</v>
      </c>
      <c r="Y31" s="743"/>
      <c r="Z31" s="760"/>
      <c r="AA31" s="753">
        <f t="shared" si="4"/>
        <v>0</v>
      </c>
      <c r="AB31" s="756">
        <f t="shared" si="5"/>
        <v>0</v>
      </c>
      <c r="AC31" s="71">
        <f t="shared" si="6"/>
        <v>0</v>
      </c>
      <c r="AD31" s="332">
        <f t="shared" si="7"/>
        <v>0</v>
      </c>
      <c r="AE31" s="756">
        <f t="shared" si="8"/>
        <v>0</v>
      </c>
      <c r="AF31" s="725">
        <f t="shared" si="9"/>
        <v>0</v>
      </c>
      <c r="AG31" s="730">
        <f t="shared" si="10"/>
        <v>0</v>
      </c>
      <c r="AH31" s="30"/>
      <c r="AI31" s="30"/>
      <c r="AJ31" s="30"/>
      <c r="AK31" s="30"/>
      <c r="AL31" s="30"/>
      <c r="AM31" s="30"/>
      <c r="AN31" s="30"/>
      <c r="AO31" s="30"/>
      <c r="AP31" s="30"/>
      <c r="AQ31" s="30"/>
      <c r="AR31" s="30"/>
    </row>
    <row r="32" spans="1:44" ht="12.75" customHeight="1" x14ac:dyDescent="0.2">
      <c r="A32" s="30"/>
      <c r="B32" s="56"/>
      <c r="C32" s="694"/>
      <c r="D32" s="698"/>
      <c r="E32" s="35"/>
      <c r="F32" s="35"/>
      <c r="G32" s="35"/>
      <c r="H32" s="151"/>
      <c r="I32" s="34"/>
      <c r="J32" s="35"/>
      <c r="K32" s="218"/>
      <c r="L32" s="696"/>
      <c r="M32" s="36"/>
      <c r="N32" s="36"/>
      <c r="O32" s="715"/>
      <c r="P32" s="721">
        <f t="shared" si="11"/>
        <v>0</v>
      </c>
      <c r="Q32" s="721">
        <f t="shared" si="12"/>
        <v>0</v>
      </c>
      <c r="R32" s="740"/>
      <c r="S32" s="747"/>
      <c r="T32" s="760"/>
      <c r="U32" s="743">
        <f t="shared" si="0"/>
        <v>0</v>
      </c>
      <c r="V32" s="763">
        <f t="shared" si="1"/>
        <v>0</v>
      </c>
      <c r="W32" s="747">
        <f t="shared" si="2"/>
        <v>0</v>
      </c>
      <c r="X32" s="760">
        <f t="shared" si="3"/>
        <v>0</v>
      </c>
      <c r="Y32" s="743"/>
      <c r="Z32" s="760"/>
      <c r="AA32" s="753">
        <f t="shared" si="4"/>
        <v>0</v>
      </c>
      <c r="AB32" s="756">
        <f t="shared" si="5"/>
        <v>0</v>
      </c>
      <c r="AC32" s="71">
        <f t="shared" si="6"/>
        <v>0</v>
      </c>
      <c r="AD32" s="332">
        <f t="shared" si="7"/>
        <v>0</v>
      </c>
      <c r="AE32" s="756">
        <f t="shared" si="8"/>
        <v>0</v>
      </c>
      <c r="AF32" s="725">
        <f t="shared" si="9"/>
        <v>0</v>
      </c>
      <c r="AG32" s="730">
        <f t="shared" si="10"/>
        <v>0</v>
      </c>
      <c r="AH32" s="30"/>
      <c r="AI32" s="30"/>
      <c r="AJ32" s="30"/>
      <c r="AK32" s="30"/>
      <c r="AL32" s="30"/>
      <c r="AM32" s="30"/>
      <c r="AN32" s="30"/>
      <c r="AO32" s="30"/>
      <c r="AP32" s="30"/>
      <c r="AQ32" s="30"/>
      <c r="AR32" s="30"/>
    </row>
    <row r="33" spans="1:47" ht="12.75" customHeight="1" x14ac:dyDescent="0.2">
      <c r="A33" s="30"/>
      <c r="B33" s="56"/>
      <c r="C33" s="694"/>
      <c r="D33" s="695"/>
      <c r="E33" s="35"/>
      <c r="F33" s="35"/>
      <c r="G33" s="35"/>
      <c r="H33" s="151"/>
      <c r="I33" s="34"/>
      <c r="J33" s="35"/>
      <c r="K33" s="218"/>
      <c r="L33" s="696"/>
      <c r="M33" s="36"/>
      <c r="N33" s="36"/>
      <c r="O33" s="715"/>
      <c r="P33" s="721">
        <f t="shared" si="11"/>
        <v>0</v>
      </c>
      <c r="Q33" s="721">
        <f t="shared" si="12"/>
        <v>0</v>
      </c>
      <c r="R33" s="740"/>
      <c r="S33" s="747"/>
      <c r="T33" s="760"/>
      <c r="U33" s="743">
        <f t="shared" si="0"/>
        <v>0</v>
      </c>
      <c r="V33" s="763">
        <f t="shared" si="1"/>
        <v>0</v>
      </c>
      <c r="W33" s="747">
        <f t="shared" si="2"/>
        <v>0</v>
      </c>
      <c r="X33" s="760">
        <f t="shared" si="3"/>
        <v>0</v>
      </c>
      <c r="Y33" s="743"/>
      <c r="Z33" s="760"/>
      <c r="AA33" s="753">
        <f t="shared" si="4"/>
        <v>0</v>
      </c>
      <c r="AB33" s="756">
        <f t="shared" si="5"/>
        <v>0</v>
      </c>
      <c r="AC33" s="71">
        <f t="shared" si="6"/>
        <v>0</v>
      </c>
      <c r="AD33" s="332">
        <f t="shared" si="7"/>
        <v>0</v>
      </c>
      <c r="AE33" s="756">
        <f t="shared" si="8"/>
        <v>0</v>
      </c>
      <c r="AF33" s="725">
        <f t="shared" si="9"/>
        <v>0</v>
      </c>
      <c r="AG33" s="730">
        <f t="shared" si="10"/>
        <v>0</v>
      </c>
      <c r="AH33" s="30"/>
      <c r="AI33" s="30"/>
      <c r="AJ33" s="30"/>
      <c r="AK33" s="30"/>
      <c r="AL33" s="30"/>
      <c r="AM33" s="30"/>
      <c r="AN33" s="30"/>
      <c r="AO33" s="30"/>
      <c r="AP33" s="30"/>
      <c r="AQ33" s="30"/>
      <c r="AR33" s="30"/>
    </row>
    <row r="34" spans="1:47" ht="12.75" customHeight="1" x14ac:dyDescent="0.2">
      <c r="A34" s="30"/>
      <c r="B34" s="56"/>
      <c r="C34" s="694"/>
      <c r="D34" s="698"/>
      <c r="E34" s="35"/>
      <c r="F34" s="35"/>
      <c r="G34" s="35"/>
      <c r="H34" s="151"/>
      <c r="I34" s="34"/>
      <c r="J34" s="35"/>
      <c r="K34" s="218"/>
      <c r="L34" s="696"/>
      <c r="M34" s="36"/>
      <c r="N34" s="36"/>
      <c r="O34" s="715"/>
      <c r="P34" s="721">
        <f t="shared" si="11"/>
        <v>0</v>
      </c>
      <c r="Q34" s="721">
        <f t="shared" si="12"/>
        <v>0</v>
      </c>
      <c r="R34" s="740"/>
      <c r="S34" s="747"/>
      <c r="T34" s="760"/>
      <c r="U34" s="743">
        <f t="shared" si="0"/>
        <v>0</v>
      </c>
      <c r="V34" s="763">
        <f t="shared" si="1"/>
        <v>0</v>
      </c>
      <c r="W34" s="747">
        <f t="shared" si="2"/>
        <v>0</v>
      </c>
      <c r="X34" s="760">
        <f t="shared" si="3"/>
        <v>0</v>
      </c>
      <c r="Y34" s="743"/>
      <c r="Z34" s="760"/>
      <c r="AA34" s="753">
        <f t="shared" si="4"/>
        <v>0</v>
      </c>
      <c r="AB34" s="756">
        <f t="shared" si="5"/>
        <v>0</v>
      </c>
      <c r="AC34" s="71">
        <f t="shared" si="6"/>
        <v>0</v>
      </c>
      <c r="AD34" s="332">
        <f t="shared" si="7"/>
        <v>0</v>
      </c>
      <c r="AE34" s="756">
        <f t="shared" si="8"/>
        <v>0</v>
      </c>
      <c r="AF34" s="725">
        <f t="shared" si="9"/>
        <v>0</v>
      </c>
      <c r="AG34" s="730">
        <f t="shared" si="10"/>
        <v>0</v>
      </c>
      <c r="AH34" s="30"/>
      <c r="AI34" s="30"/>
      <c r="AJ34" s="30"/>
      <c r="AK34" s="30"/>
      <c r="AL34" s="30"/>
      <c r="AM34" s="30"/>
      <c r="AN34" s="30"/>
      <c r="AO34" s="30"/>
      <c r="AP34" s="30"/>
      <c r="AQ34" s="30"/>
      <c r="AR34" s="30"/>
    </row>
    <row r="35" spans="1:47" ht="12.75" customHeight="1" thickBot="1" x14ac:dyDescent="0.25">
      <c r="A35" s="30"/>
      <c r="B35" s="56"/>
      <c r="C35" s="694"/>
      <c r="D35" s="698"/>
      <c r="E35" s="35"/>
      <c r="F35" s="35"/>
      <c r="G35" s="24"/>
      <c r="H35" s="151"/>
      <c r="I35" s="34"/>
      <c r="J35" s="35"/>
      <c r="K35" s="218"/>
      <c r="L35" s="699"/>
      <c r="M35" s="36"/>
      <c r="N35" s="36"/>
      <c r="O35" s="717"/>
      <c r="P35" s="722">
        <f t="shared" si="11"/>
        <v>0</v>
      </c>
      <c r="Q35" s="722">
        <f t="shared" si="12"/>
        <v>0</v>
      </c>
      <c r="R35" s="742"/>
      <c r="S35" s="748"/>
      <c r="T35" s="761"/>
      <c r="U35" s="744">
        <f t="shared" si="0"/>
        <v>0</v>
      </c>
      <c r="V35" s="764">
        <f t="shared" si="1"/>
        <v>0</v>
      </c>
      <c r="W35" s="748">
        <f t="shared" si="2"/>
        <v>0</v>
      </c>
      <c r="X35" s="761">
        <f t="shared" si="3"/>
        <v>0</v>
      </c>
      <c r="Y35" s="744"/>
      <c r="Z35" s="761"/>
      <c r="AA35" s="754">
        <f t="shared" si="4"/>
        <v>0</v>
      </c>
      <c r="AB35" s="757">
        <f t="shared" si="5"/>
        <v>0</v>
      </c>
      <c r="AC35" s="41">
        <f t="shared" si="6"/>
        <v>0</v>
      </c>
      <c r="AD35" s="43">
        <f t="shared" si="7"/>
        <v>0</v>
      </c>
      <c r="AE35" s="757">
        <f t="shared" si="8"/>
        <v>0</v>
      </c>
      <c r="AF35" s="726">
        <f t="shared" si="9"/>
        <v>0</v>
      </c>
      <c r="AG35" s="731">
        <f t="shared" si="10"/>
        <v>0</v>
      </c>
      <c r="AH35" s="30"/>
      <c r="AI35" s="30"/>
      <c r="AJ35" s="30"/>
      <c r="AK35" s="30"/>
      <c r="AL35" s="30"/>
      <c r="AM35" s="30"/>
      <c r="AN35" s="30"/>
      <c r="AO35" s="30"/>
      <c r="AP35" s="30"/>
      <c r="AQ35" s="30"/>
      <c r="AR35" s="30"/>
    </row>
    <row r="36" spans="1:47" ht="12.75" customHeight="1" thickBot="1" x14ac:dyDescent="0.25">
      <c r="A36" s="30"/>
      <c r="B36" s="700"/>
      <c r="C36" s="701" t="s">
        <v>34</v>
      </c>
      <c r="D36" s="702">
        <f>SUM(D7:D35)</f>
        <v>0</v>
      </c>
      <c r="E36" s="703">
        <f t="shared" ref="E36:K36" si="13">SUM(E7:E35)</f>
        <v>0</v>
      </c>
      <c r="F36" s="703">
        <f t="shared" si="13"/>
        <v>0</v>
      </c>
      <c r="G36" s="703">
        <f t="shared" si="13"/>
        <v>0</v>
      </c>
      <c r="H36" s="704">
        <f t="shared" si="13"/>
        <v>0</v>
      </c>
      <c r="I36" s="705">
        <f t="shared" si="13"/>
        <v>0</v>
      </c>
      <c r="J36" s="703">
        <f t="shared" si="13"/>
        <v>0</v>
      </c>
      <c r="K36" s="704">
        <f t="shared" si="13"/>
        <v>0</v>
      </c>
      <c r="L36" s="706"/>
      <c r="M36" s="36"/>
      <c r="N36" s="36"/>
      <c r="O36" s="82"/>
      <c r="P36" s="82"/>
      <c r="Q36" s="82"/>
      <c r="R36" s="82"/>
      <c r="S36" s="82"/>
      <c r="T36" s="82"/>
      <c r="U36" s="82"/>
      <c r="V36" s="82"/>
      <c r="W36" s="82"/>
      <c r="X36" s="82"/>
      <c r="Y36" s="82"/>
      <c r="Z36" s="82"/>
      <c r="AA36" s="82"/>
      <c r="AB36" s="82"/>
      <c r="AC36" s="82"/>
      <c r="AD36" s="82"/>
      <c r="AE36" s="82"/>
      <c r="AF36" s="82"/>
      <c r="AG36" s="82"/>
      <c r="AH36" s="82"/>
      <c r="AI36" s="30"/>
      <c r="AJ36" s="30"/>
      <c r="AK36" s="30"/>
      <c r="AL36" s="30"/>
      <c r="AM36" s="30"/>
      <c r="AN36" s="30"/>
      <c r="AO36" s="30"/>
      <c r="AP36" s="30"/>
      <c r="AQ36" s="30"/>
      <c r="AR36" s="30"/>
      <c r="AS36" s="30"/>
      <c r="AT36" s="30"/>
      <c r="AU36" s="30"/>
    </row>
    <row r="37" spans="1:47" ht="12.75" customHeight="1" x14ac:dyDescent="0.2">
      <c r="A37" s="30"/>
      <c r="B37" s="30"/>
      <c r="C37" s="30"/>
      <c r="D37" s="30"/>
      <c r="E37" s="30"/>
      <c r="F37" s="30"/>
      <c r="G37" s="30"/>
      <c r="H37" s="30"/>
      <c r="I37" s="30"/>
      <c r="J37" s="30"/>
      <c r="K37" s="30"/>
      <c r="L37" s="30"/>
      <c r="M37" s="36"/>
      <c r="N37" s="36"/>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row>
    <row r="38" spans="1:47" ht="25.5" customHeight="1" x14ac:dyDescent="0.2">
      <c r="A38" s="30"/>
      <c r="B38" s="707" t="s">
        <v>337</v>
      </c>
      <c r="C38" s="1611" t="s">
        <v>933</v>
      </c>
      <c r="D38" s="1612"/>
      <c r="E38" s="1612"/>
      <c r="F38" s="1612"/>
      <c r="G38" s="1612"/>
      <c r="H38" s="1612"/>
      <c r="I38" s="1612"/>
      <c r="J38" s="1612"/>
      <c r="K38" s="1612"/>
      <c r="L38" s="1612"/>
      <c r="M38" s="36"/>
      <c r="N38" s="36"/>
      <c r="O38" s="708"/>
      <c r="P38" s="708"/>
      <c r="Q38" s="401"/>
      <c r="R38" s="401"/>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row>
    <row r="39" spans="1:47" ht="25.5" customHeight="1" x14ac:dyDescent="0.2">
      <c r="A39" s="30"/>
      <c r="B39" s="708"/>
      <c r="C39" s="1600">
        <f>IF(OR(Q41=AC45,Q41=AC47),"- The Contractor shall follow requirements of the ''Documentation, Removal, and Reinstallation of Existing Pavement Markings and Traffic Signal Loops'' special provision.",0)</f>
        <v>0</v>
      </c>
      <c r="D39" s="1600"/>
      <c r="E39" s="1600"/>
      <c r="F39" s="1600"/>
      <c r="G39" s="1600"/>
      <c r="H39" s="1600"/>
      <c r="I39" s="1600"/>
      <c r="J39" s="1600"/>
      <c r="K39" s="1600"/>
      <c r="L39" s="1600"/>
      <c r="M39" s="30"/>
      <c r="N39" s="30"/>
      <c r="O39" s="708"/>
      <c r="P39" s="708"/>
      <c r="Q39" s="401"/>
      <c r="R39" s="401"/>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row>
    <row r="40" spans="1:47" ht="6.75" customHeight="1" x14ac:dyDescent="0.2">
      <c r="A40" s="30"/>
      <c r="B40" s="708"/>
      <c r="C40" s="708"/>
      <c r="D40" s="708"/>
      <c r="E40" s="708"/>
      <c r="F40" s="708"/>
      <c r="G40" s="708"/>
      <c r="H40" s="708"/>
      <c r="I40" s="708"/>
      <c r="J40" s="708"/>
      <c r="K40" s="708"/>
      <c r="L40" s="708"/>
      <c r="M40" s="708"/>
      <c r="N40" s="708"/>
      <c r="O40" s="708"/>
      <c r="P40" s="708"/>
      <c r="Q40" s="401"/>
      <c r="R40" s="401"/>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697"/>
      <c r="AT40" s="30"/>
      <c r="AU40" s="697"/>
    </row>
    <row r="41" spans="1:47" x14ac:dyDescent="0.2">
      <c r="A41" s="30"/>
      <c r="B41" s="708"/>
      <c r="C41" s="708"/>
      <c r="D41" s="708"/>
      <c r="E41" s="708"/>
      <c r="F41" s="708"/>
      <c r="G41" s="708"/>
      <c r="H41" s="708"/>
      <c r="I41" s="708"/>
      <c r="J41" s="708"/>
      <c r="K41" s="708"/>
      <c r="L41" s="708"/>
      <c r="M41" s="708"/>
      <c r="N41" s="708"/>
      <c r="P41" s="251" t="s">
        <v>373</v>
      </c>
      <c r="Q41" s="194"/>
      <c r="R41" s="1022" t="s">
        <v>869</v>
      </c>
      <c r="S41" s="1022"/>
      <c r="T41" s="1022"/>
      <c r="U41" s="399"/>
      <c r="V41" s="399"/>
      <c r="W41" s="399"/>
      <c r="X41" s="399"/>
      <c r="Y41" s="30"/>
      <c r="Z41" s="543" t="s">
        <v>95</v>
      </c>
      <c r="AC41" s="30"/>
      <c r="AD41" s="30"/>
      <c r="AE41" s="30"/>
      <c r="AF41" s="30"/>
      <c r="AG41" s="30"/>
      <c r="AH41" s="30"/>
      <c r="AI41" s="30"/>
      <c r="AJ41" s="30"/>
      <c r="AK41" s="30"/>
      <c r="AL41" s="30"/>
      <c r="AM41" s="30"/>
      <c r="AN41" s="30"/>
      <c r="AO41" s="30"/>
      <c r="AP41" s="697"/>
      <c r="AQ41" s="697"/>
      <c r="AR41" s="697"/>
      <c r="AS41" s="697"/>
      <c r="AT41" s="30"/>
      <c r="AU41" s="697"/>
    </row>
    <row r="42" spans="1:47" x14ac:dyDescent="0.2">
      <c r="A42" s="30"/>
      <c r="B42" s="708"/>
      <c r="C42" s="708"/>
      <c r="D42" s="708"/>
      <c r="E42" s="708"/>
      <c r="F42" s="708"/>
      <c r="G42" s="708"/>
      <c r="H42" s="708"/>
      <c r="I42" s="708"/>
      <c r="J42" s="708"/>
      <c r="K42" s="708"/>
      <c r="L42" s="708"/>
      <c r="M42" s="708"/>
      <c r="N42" s="708"/>
      <c r="O42" s="708"/>
      <c r="P42" s="708"/>
      <c r="Q42" s="401"/>
      <c r="R42" s="401"/>
      <c r="S42" s="30"/>
      <c r="T42" s="30"/>
      <c r="U42" s="30"/>
      <c r="V42" s="30"/>
      <c r="W42" s="30"/>
      <c r="X42" s="30"/>
      <c r="Y42" s="30"/>
      <c r="Z42" s="711"/>
      <c r="AA42" s="174" t="s">
        <v>96</v>
      </c>
      <c r="AB42" s="1021" t="s">
        <v>495</v>
      </c>
      <c r="AC42" s="517" t="s">
        <v>373</v>
      </c>
      <c r="AD42" s="40"/>
      <c r="AE42" s="40"/>
      <c r="AF42" s="30"/>
      <c r="AG42" s="30"/>
      <c r="AH42" s="30"/>
      <c r="AI42" s="30"/>
      <c r="AJ42" s="30"/>
      <c r="AK42" s="30"/>
      <c r="AL42" s="30"/>
      <c r="AM42" s="697"/>
      <c r="AN42" s="697"/>
      <c r="AO42" s="697"/>
      <c r="AP42" s="697"/>
      <c r="AQ42" s="697"/>
      <c r="AR42" s="697"/>
    </row>
    <row r="43" spans="1:47" x14ac:dyDescent="0.2">
      <c r="A43" s="30"/>
      <c r="B43" s="708"/>
      <c r="C43" s="708"/>
      <c r="D43" s="708"/>
      <c r="E43" s="708"/>
      <c r="F43" s="708"/>
      <c r="G43" s="708"/>
      <c r="H43" s="708"/>
      <c r="I43" s="708"/>
      <c r="J43" s="708"/>
      <c r="K43" s="708"/>
      <c r="L43" s="708"/>
      <c r="M43" s="708"/>
      <c r="N43" s="708"/>
      <c r="O43" s="708"/>
      <c r="P43" s="708"/>
      <c r="Q43" s="401"/>
      <c r="R43" s="401"/>
      <c r="S43" s="30"/>
      <c r="T43" s="30"/>
      <c r="U43" s="30"/>
      <c r="V43" s="30"/>
      <c r="W43" s="30"/>
      <c r="X43" s="30"/>
      <c r="Y43" s="30"/>
      <c r="Z43" s="711" t="s">
        <v>370</v>
      </c>
      <c r="AA43" s="220"/>
      <c r="AB43" s="972"/>
      <c r="AC43" s="291"/>
      <c r="AD43" s="40"/>
      <c r="AE43" s="40"/>
      <c r="AF43" s="30"/>
      <c r="AG43" s="30"/>
      <c r="AH43" s="30"/>
      <c r="AI43" s="30"/>
      <c r="AJ43" s="30"/>
      <c r="AK43" s="30"/>
      <c r="AL43" s="30"/>
      <c r="AM43" s="697"/>
      <c r="AN43" s="697"/>
      <c r="AO43" s="697"/>
      <c r="AP43" s="697"/>
      <c r="AQ43" s="697"/>
      <c r="AR43" s="697"/>
    </row>
    <row r="44" spans="1:47" x14ac:dyDescent="0.2">
      <c r="A44" s="30"/>
      <c r="B44" s="708"/>
      <c r="C44" s="708"/>
      <c r="D44" s="708"/>
      <c r="E44" s="708"/>
      <c r="F44" s="708"/>
      <c r="G44" s="708"/>
      <c r="H44" s="708"/>
      <c r="I44" s="708"/>
      <c r="J44" s="708"/>
      <c r="K44" s="708"/>
      <c r="L44" s="708"/>
      <c r="M44" s="708"/>
      <c r="N44" s="708"/>
      <c r="O44" s="708"/>
      <c r="P44" s="708"/>
      <c r="Q44" s="401"/>
      <c r="R44" s="401"/>
      <c r="S44" s="30"/>
      <c r="T44" s="30"/>
      <c r="U44" s="30"/>
      <c r="V44" s="30"/>
      <c r="W44" s="30"/>
      <c r="X44" s="30"/>
      <c r="Y44" s="30"/>
      <c r="Z44" s="711" t="s">
        <v>371</v>
      </c>
      <c r="AA44" s="220" t="s">
        <v>810</v>
      </c>
      <c r="AB44" s="972" t="s">
        <v>493</v>
      </c>
      <c r="AC44" s="220" t="s">
        <v>374</v>
      </c>
      <c r="AD44" s="40"/>
      <c r="AE44" s="40"/>
      <c r="AF44" s="30"/>
      <c r="AG44" s="30"/>
      <c r="AH44" s="30"/>
      <c r="AI44" s="30"/>
      <c r="AJ44" s="30"/>
      <c r="AK44" s="30"/>
      <c r="AL44" s="30"/>
      <c r="AM44" s="697"/>
      <c r="AN44" s="697"/>
      <c r="AO44" s="697"/>
      <c r="AP44" s="222"/>
      <c r="AQ44" s="697"/>
      <c r="AR44" s="697"/>
    </row>
    <row r="45" spans="1:47" x14ac:dyDescent="0.2">
      <c r="A45" s="30"/>
      <c r="B45" s="708"/>
      <c r="C45" s="708"/>
      <c r="D45" s="708"/>
      <c r="E45" s="708"/>
      <c r="F45" s="708"/>
      <c r="G45" s="708"/>
      <c r="H45" s="708"/>
      <c r="I45" s="708"/>
      <c r="J45" s="708"/>
      <c r="K45" s="708"/>
      <c r="L45" s="708"/>
      <c r="M45" s="708"/>
      <c r="N45" s="708"/>
      <c r="O45" s="708"/>
      <c r="P45" s="708"/>
      <c r="Q45" s="401"/>
      <c r="R45" s="401"/>
      <c r="S45" s="30"/>
      <c r="T45" s="30"/>
      <c r="U45" s="30"/>
      <c r="V45" s="30"/>
      <c r="W45" s="30"/>
      <c r="X45" s="30"/>
      <c r="Y45" s="30"/>
      <c r="Z45" s="30"/>
      <c r="AA45" s="220" t="s">
        <v>811</v>
      </c>
      <c r="AB45" s="972" t="s">
        <v>490</v>
      </c>
      <c r="AC45" s="220" t="s">
        <v>375</v>
      </c>
      <c r="AD45" s="40"/>
      <c r="AE45" s="40"/>
      <c r="AF45" s="30"/>
      <c r="AG45" s="30"/>
      <c r="AH45" s="30"/>
      <c r="AI45" s="30"/>
      <c r="AJ45" s="30"/>
      <c r="AK45" s="30"/>
      <c r="AL45" s="30"/>
      <c r="AM45" s="222"/>
      <c r="AN45" s="222"/>
      <c r="AO45" s="222"/>
      <c r="AP45" s="222"/>
      <c r="AQ45" s="697"/>
      <c r="AR45" s="697"/>
    </row>
    <row r="46" spans="1:47" x14ac:dyDescent="0.2">
      <c r="A46" s="30"/>
      <c r="B46" s="708"/>
      <c r="C46" s="708"/>
      <c r="D46" s="708"/>
      <c r="E46" s="708"/>
      <c r="F46" s="708"/>
      <c r="G46" s="708"/>
      <c r="H46" s="708"/>
      <c r="I46" s="708"/>
      <c r="J46" s="708"/>
      <c r="K46" s="708"/>
      <c r="L46" s="708"/>
      <c r="M46" s="708"/>
      <c r="N46" s="708"/>
      <c r="O46" s="708"/>
      <c r="P46" s="708"/>
      <c r="Q46" s="30"/>
      <c r="R46" s="30"/>
      <c r="S46" s="30"/>
      <c r="T46" s="30"/>
      <c r="U46" s="30"/>
      <c r="V46" s="30"/>
      <c r="W46" s="30"/>
      <c r="X46" s="30"/>
      <c r="Y46" s="30"/>
      <c r="Z46" s="30"/>
      <c r="AA46" s="220" t="s">
        <v>812</v>
      </c>
      <c r="AB46" s="972" t="s">
        <v>491</v>
      </c>
      <c r="AC46" s="220" t="s">
        <v>376</v>
      </c>
      <c r="AD46" s="30"/>
      <c r="AE46" s="30"/>
      <c r="AF46" s="30"/>
      <c r="AG46" s="30"/>
      <c r="AH46" s="30"/>
      <c r="AI46" s="30"/>
      <c r="AJ46" s="30"/>
      <c r="AK46" s="30"/>
      <c r="AL46" s="30"/>
      <c r="AM46" s="222"/>
      <c r="AN46" s="222"/>
      <c r="AO46" s="222"/>
      <c r="AP46" s="30"/>
      <c r="AQ46" s="222"/>
      <c r="AR46" s="30"/>
    </row>
    <row r="47" spans="1:47" x14ac:dyDescent="0.2">
      <c r="A47" s="30"/>
      <c r="B47" s="708"/>
      <c r="C47" s="708"/>
      <c r="D47" s="708"/>
      <c r="E47" s="708"/>
      <c r="F47" s="708"/>
      <c r="G47" s="708"/>
      <c r="H47" s="708"/>
      <c r="I47" s="708"/>
      <c r="J47" s="708"/>
      <c r="K47" s="708"/>
      <c r="L47" s="708"/>
      <c r="M47" s="708"/>
      <c r="N47" s="708"/>
      <c r="O47" s="708"/>
      <c r="P47" s="708"/>
      <c r="Q47" s="30"/>
      <c r="R47" s="30"/>
      <c r="S47" s="30"/>
      <c r="T47" s="30"/>
      <c r="U47" s="30"/>
      <c r="V47" s="30"/>
      <c r="W47" s="30"/>
      <c r="X47" s="30"/>
      <c r="Y47" s="30"/>
      <c r="Z47" s="30"/>
      <c r="AA47" s="30"/>
      <c r="AB47" s="30"/>
      <c r="AC47" s="220" t="s">
        <v>377</v>
      </c>
      <c r="AD47" s="30"/>
      <c r="AE47" s="30"/>
      <c r="AF47" s="30"/>
      <c r="AG47" s="30"/>
      <c r="AH47" s="30"/>
      <c r="AI47" s="30"/>
      <c r="AJ47" s="30"/>
      <c r="AK47" s="30"/>
      <c r="AL47" s="30"/>
      <c r="AM47" s="30"/>
      <c r="AN47" s="30"/>
      <c r="AO47" s="30"/>
      <c r="AP47" s="30"/>
      <c r="AQ47" s="222"/>
      <c r="AR47" s="30"/>
    </row>
    <row r="48" spans="1:47" x14ac:dyDescent="0.2">
      <c r="A48" s="30"/>
      <c r="B48" s="708"/>
      <c r="C48" s="708"/>
      <c r="D48" s="708"/>
      <c r="E48" s="708"/>
      <c r="F48" s="708"/>
      <c r="G48" s="708"/>
      <c r="H48" s="708"/>
      <c r="I48" s="708"/>
      <c r="J48" s="708"/>
      <c r="K48" s="708"/>
      <c r="L48" s="708"/>
      <c r="M48" s="708"/>
      <c r="N48" s="708"/>
      <c r="O48" s="708"/>
      <c r="P48" s="708"/>
      <c r="Q48" s="30"/>
      <c r="R48" s="30"/>
      <c r="S48" s="30"/>
      <c r="T48" s="30"/>
      <c r="U48" s="30"/>
      <c r="V48" s="30"/>
      <c r="W48" s="30"/>
      <c r="X48" s="30"/>
      <c r="Y48" s="30"/>
      <c r="Z48" s="30"/>
      <c r="AA48" s="30"/>
      <c r="AB48" s="30"/>
      <c r="AC48" s="220" t="s">
        <v>378</v>
      </c>
      <c r="AD48" s="30"/>
      <c r="AE48" s="30"/>
      <c r="AF48" s="30"/>
      <c r="AG48" s="30"/>
      <c r="AH48" s="30"/>
      <c r="AI48" s="30"/>
      <c r="AJ48" s="30"/>
      <c r="AK48" s="30"/>
      <c r="AL48" s="30"/>
      <c r="AM48" s="30"/>
      <c r="AN48" s="30"/>
      <c r="AO48" s="30"/>
      <c r="AP48" s="30"/>
      <c r="AQ48" s="30"/>
      <c r="AR48" s="30"/>
    </row>
    <row r="49" spans="1:47" x14ac:dyDescent="0.2">
      <c r="A49" s="30"/>
      <c r="B49" s="30"/>
      <c r="C49" s="30"/>
      <c r="D49" s="30"/>
      <c r="E49" s="30"/>
      <c r="F49" s="30"/>
      <c r="G49" s="30"/>
      <c r="H49" s="30"/>
      <c r="I49" s="30"/>
      <c r="J49" s="30"/>
      <c r="K49" s="30"/>
      <c r="L49" s="30"/>
      <c r="M49" s="708"/>
      <c r="N49" s="708"/>
      <c r="O49" s="30"/>
      <c r="P49" s="30"/>
      <c r="Q49" s="30"/>
      <c r="R49" s="30"/>
      <c r="S49" s="30"/>
      <c r="T49" s="30"/>
      <c r="U49" s="30"/>
      <c r="V49" s="30"/>
      <c r="W49" s="30"/>
      <c r="X49" s="30"/>
      <c r="Y49" s="30"/>
      <c r="Z49" s="30"/>
      <c r="AA49" s="30"/>
      <c r="AB49" s="30"/>
      <c r="AC49" s="220" t="s">
        <v>379</v>
      </c>
      <c r="AD49" s="30"/>
      <c r="AE49" s="30"/>
      <c r="AF49" s="30"/>
      <c r="AG49" s="30"/>
      <c r="AH49" s="30"/>
      <c r="AI49" s="30"/>
      <c r="AJ49" s="30"/>
      <c r="AK49" s="30"/>
      <c r="AL49" s="30"/>
      <c r="AM49" s="30"/>
      <c r="AN49" s="30"/>
      <c r="AO49" s="30"/>
      <c r="AP49" s="30"/>
      <c r="AQ49" s="30"/>
      <c r="AR49" s="30"/>
    </row>
    <row r="50" spans="1:47" x14ac:dyDescent="0.2">
      <c r="A50" s="30"/>
      <c r="B50" s="30"/>
      <c r="C50" s="30"/>
      <c r="D50" s="30"/>
      <c r="E50" s="30"/>
      <c r="F50" s="30"/>
      <c r="G50" s="30"/>
      <c r="H50" s="30"/>
      <c r="I50" s="30"/>
      <c r="J50" s="30"/>
      <c r="K50" s="30"/>
      <c r="L50" s="30"/>
      <c r="M50" s="708"/>
      <c r="N50" s="708"/>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row>
    <row r="51" spans="1:47" x14ac:dyDescent="0.2">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row>
    <row r="52" spans="1:47" x14ac:dyDescent="0.2">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row>
    <row r="53" spans="1:47" x14ac:dyDescent="0.2">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row>
    <row r="54" spans="1:47" x14ac:dyDescent="0.2">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row>
    <row r="55" spans="1:47" x14ac:dyDescent="0.2">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row>
    <row r="56" spans="1:47" x14ac:dyDescent="0.2">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row>
    <row r="57" spans="1:47" x14ac:dyDescent="0.2">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row>
    <row r="58" spans="1:47" x14ac:dyDescent="0.2">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row>
    <row r="59" spans="1:47" x14ac:dyDescent="0.2">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row>
    <row r="60" spans="1:47" x14ac:dyDescent="0.2">
      <c r="A60" s="30"/>
      <c r="B60" s="30"/>
      <c r="C60" s="30"/>
      <c r="D60" s="30"/>
      <c r="E60" s="30"/>
      <c r="F60" s="30"/>
      <c r="G60" s="30"/>
      <c r="H60" s="30"/>
      <c r="I60" s="30"/>
      <c r="J60" s="30"/>
      <c r="K60" s="30"/>
      <c r="L60" s="30"/>
      <c r="M60" s="30"/>
      <c r="N60" s="3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row>
    <row r="61" spans="1:47" x14ac:dyDescent="0.2">
      <c r="A61" s="30"/>
      <c r="B61" s="30"/>
      <c r="C61" s="30"/>
      <c r="D61" s="30"/>
      <c r="E61" s="30"/>
      <c r="F61" s="30"/>
      <c r="G61" s="30"/>
      <c r="H61" s="30"/>
      <c r="I61" s="30"/>
      <c r="J61" s="30"/>
      <c r="K61" s="30"/>
      <c r="L61" s="30"/>
      <c r="M61" s="30"/>
      <c r="N61" s="3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row>
    <row r="62" spans="1:47" x14ac:dyDescent="0.2">
      <c r="A62" s="30"/>
      <c r="B62" s="30"/>
      <c r="C62" s="30"/>
      <c r="D62" s="30"/>
      <c r="E62" s="30"/>
      <c r="F62" s="30"/>
      <c r="G62" s="30"/>
      <c r="H62" s="30"/>
      <c r="I62" s="30"/>
      <c r="J62" s="30"/>
      <c r="K62" s="30"/>
      <c r="L62" s="30"/>
      <c r="M62" s="30"/>
      <c r="N62" s="3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row>
    <row r="63" spans="1:47" x14ac:dyDescent="0.2">
      <c r="A63" s="30"/>
      <c r="B63" s="30"/>
      <c r="C63" s="30"/>
      <c r="D63" s="30"/>
      <c r="E63" s="30"/>
      <c r="F63" s="30"/>
      <c r="G63" s="30"/>
      <c r="H63" s="30"/>
      <c r="I63" s="30"/>
      <c r="J63" s="30"/>
      <c r="K63" s="30"/>
      <c r="L63" s="30"/>
      <c r="M63" s="30"/>
      <c r="N63" s="3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row>
    <row r="64" spans="1:47" x14ac:dyDescent="0.2">
      <c r="A64" s="30"/>
      <c r="B64" s="30"/>
      <c r="C64" s="30"/>
      <c r="D64" s="30"/>
      <c r="E64" s="30"/>
      <c r="F64" s="30"/>
      <c r="G64" s="30"/>
      <c r="H64" s="30"/>
      <c r="I64" s="30"/>
      <c r="J64" s="30"/>
      <c r="K64" s="30"/>
      <c r="L64" s="30"/>
      <c r="M64" s="30"/>
      <c r="N64" s="3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row>
    <row r="65" spans="1:47" x14ac:dyDescent="0.2">
      <c r="A65" s="30"/>
      <c r="B65" s="30"/>
      <c r="C65" s="30"/>
      <c r="D65" s="30"/>
      <c r="E65" s="30"/>
      <c r="F65" s="30"/>
      <c r="G65" s="30"/>
      <c r="H65" s="30"/>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row>
    <row r="66" spans="1:47" x14ac:dyDescent="0.2">
      <c r="A66" s="30"/>
      <c r="B66" s="30"/>
      <c r="C66" s="30"/>
      <c r="D66" s="30"/>
      <c r="E66" s="30"/>
      <c r="F66" s="30"/>
      <c r="G66" s="30"/>
      <c r="H66" s="30"/>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row>
    <row r="67" spans="1:47" x14ac:dyDescent="0.2">
      <c r="A67" s="30"/>
      <c r="B67" s="30"/>
      <c r="C67" s="30"/>
      <c r="D67" s="30"/>
      <c r="E67" s="30"/>
      <c r="F67" s="30"/>
      <c r="G67" s="30"/>
      <c r="H67" s="30"/>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row>
    <row r="68" spans="1:47" x14ac:dyDescent="0.2">
      <c r="A68" s="30"/>
      <c r="B68" s="30"/>
      <c r="C68" s="30"/>
      <c r="D68" s="30"/>
      <c r="E68" s="30"/>
      <c r="F68" s="30"/>
      <c r="G68" s="30"/>
      <c r="H68" s="30"/>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row>
    <row r="69" spans="1:47" x14ac:dyDescent="0.2">
      <c r="A69" s="30"/>
      <c r="B69" s="30"/>
      <c r="C69" s="30"/>
      <c r="D69" s="30"/>
      <c r="E69" s="30"/>
      <c r="F69" s="30"/>
      <c r="G69" s="30"/>
      <c r="H69" s="30"/>
      <c r="I69" s="30"/>
      <c r="J69" s="30"/>
      <c r="K69" s="30"/>
      <c r="L69" s="30"/>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row>
    <row r="70" spans="1:47" x14ac:dyDescent="0.2">
      <c r="A70" s="30"/>
      <c r="B70" s="30"/>
      <c r="C70" s="30"/>
      <c r="D70" s="30"/>
      <c r="E70" s="30"/>
      <c r="F70" s="30"/>
      <c r="G70" s="30"/>
      <c r="H70" s="30"/>
      <c r="I70" s="30"/>
      <c r="J70" s="30"/>
      <c r="K70" s="30"/>
      <c r="L70" s="3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row>
    <row r="71" spans="1:47" x14ac:dyDescent="0.2">
      <c r="A71" s="30"/>
      <c r="B71" s="30"/>
      <c r="C71" s="30"/>
      <c r="D71" s="30"/>
      <c r="E71" s="30"/>
      <c r="F71" s="30"/>
      <c r="G71" s="30"/>
      <c r="H71" s="30"/>
      <c r="I71" s="30"/>
      <c r="J71" s="30"/>
      <c r="K71" s="30"/>
      <c r="L71" s="30"/>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row>
    <row r="72" spans="1:47" x14ac:dyDescent="0.2">
      <c r="A72" s="30"/>
      <c r="B72" s="30"/>
      <c r="C72" s="30"/>
      <c r="D72" s="30"/>
      <c r="E72" s="30"/>
      <c r="F72" s="30"/>
      <c r="G72" s="30"/>
      <c r="H72" s="30"/>
      <c r="I72" s="30"/>
      <c r="J72" s="30"/>
      <c r="K72" s="30"/>
      <c r="L72" s="30"/>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row>
    <row r="73" spans="1:47" x14ac:dyDescent="0.2">
      <c r="A73" s="30"/>
      <c r="B73" s="30"/>
      <c r="C73" s="30"/>
      <c r="D73" s="30"/>
      <c r="E73" s="30"/>
      <c r="F73" s="30"/>
      <c r="G73" s="30"/>
      <c r="H73" s="30"/>
      <c r="I73" s="30"/>
      <c r="J73" s="30"/>
      <c r="K73" s="30"/>
      <c r="L73" s="30"/>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row>
    <row r="74" spans="1:47" x14ac:dyDescent="0.2">
      <c r="A74" s="30"/>
      <c r="B74" s="30"/>
      <c r="C74" s="30"/>
      <c r="D74" s="30"/>
      <c r="E74" s="30"/>
      <c r="F74" s="30"/>
      <c r="G74" s="30"/>
      <c r="H74" s="30"/>
      <c r="I74" s="30"/>
      <c r="J74" s="30"/>
      <c r="K74" s="30"/>
      <c r="L74" s="30"/>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row>
    <row r="75" spans="1:47" x14ac:dyDescent="0.2">
      <c r="A75" s="30"/>
      <c r="B75" s="30"/>
      <c r="C75" s="30"/>
      <c r="D75" s="30"/>
      <c r="E75" s="30"/>
      <c r="F75" s="30"/>
      <c r="G75" s="30"/>
      <c r="H75" s="30"/>
      <c r="I75" s="30"/>
      <c r="J75" s="30"/>
      <c r="K75" s="30"/>
      <c r="L75" s="30"/>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row>
    <row r="76" spans="1:47" x14ac:dyDescent="0.2">
      <c r="A76" s="30"/>
      <c r="B76" s="30"/>
      <c r="C76" s="30"/>
      <c r="D76" s="30"/>
      <c r="E76" s="30"/>
      <c r="F76" s="30"/>
      <c r="G76" s="30"/>
      <c r="H76" s="30"/>
      <c r="I76" s="30"/>
      <c r="J76" s="30"/>
      <c r="K76" s="30"/>
      <c r="L76" s="30"/>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row>
    <row r="77" spans="1:47" x14ac:dyDescent="0.2">
      <c r="A77" s="30"/>
      <c r="B77" s="30"/>
      <c r="C77" s="30"/>
      <c r="D77" s="30"/>
      <c r="E77" s="30"/>
      <c r="F77" s="30"/>
      <c r="G77" s="30"/>
      <c r="H77" s="30"/>
      <c r="I77" s="30"/>
      <c r="J77" s="30"/>
      <c r="K77" s="30"/>
      <c r="L77" s="30"/>
      <c r="M77" s="30"/>
      <c r="N77" s="30"/>
      <c r="O77" s="30"/>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c r="AQ77" s="30"/>
      <c r="AR77" s="30"/>
      <c r="AS77" s="30"/>
      <c r="AT77" s="30"/>
      <c r="AU77" s="30"/>
    </row>
    <row r="78" spans="1:47" x14ac:dyDescent="0.2">
      <c r="A78" s="30"/>
      <c r="B78" s="30"/>
      <c r="C78" s="30"/>
      <c r="D78" s="30"/>
      <c r="E78" s="30"/>
      <c r="F78" s="30"/>
      <c r="G78" s="30"/>
      <c r="H78" s="30"/>
      <c r="I78" s="30"/>
      <c r="J78" s="30"/>
      <c r="K78" s="30"/>
      <c r="L78" s="30"/>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row>
    <row r="79" spans="1:47" x14ac:dyDescent="0.2">
      <c r="A79" s="30"/>
      <c r="B79" s="30"/>
      <c r="C79" s="30"/>
      <c r="D79" s="30"/>
      <c r="E79" s="30"/>
      <c r="F79" s="30"/>
      <c r="G79" s="30"/>
      <c r="H79" s="30"/>
      <c r="I79" s="30"/>
      <c r="J79" s="30"/>
      <c r="K79" s="30"/>
      <c r="L79" s="30"/>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0"/>
      <c r="AM79" s="30"/>
      <c r="AN79" s="30"/>
      <c r="AO79" s="30"/>
      <c r="AP79" s="30"/>
      <c r="AQ79" s="30"/>
      <c r="AR79" s="30"/>
      <c r="AS79" s="30"/>
      <c r="AT79" s="30"/>
      <c r="AU79" s="30"/>
    </row>
    <row r="80" spans="1:47" x14ac:dyDescent="0.2">
      <c r="A80" s="30"/>
      <c r="B80" s="30"/>
      <c r="C80" s="30"/>
      <c r="D80" s="30"/>
      <c r="E80" s="30"/>
      <c r="F80" s="30"/>
      <c r="G80" s="30"/>
      <c r="H80" s="30"/>
      <c r="I80" s="30"/>
      <c r="J80" s="30"/>
      <c r="K80" s="30"/>
      <c r="L80" s="30"/>
      <c r="M80" s="30"/>
      <c r="N80" s="30"/>
      <c r="O80" s="30"/>
      <c r="P80" s="30"/>
      <c r="Q80" s="30"/>
      <c r="R80" s="30"/>
      <c r="S80" s="30"/>
      <c r="T80" s="30"/>
      <c r="U80" s="30"/>
      <c r="V80" s="30"/>
      <c r="W80" s="30"/>
      <c r="X80" s="30"/>
      <c r="Y80" s="30"/>
      <c r="Z80" s="30"/>
      <c r="AA80" s="30"/>
      <c r="AB80" s="30"/>
      <c r="AC80" s="30"/>
      <c r="AD80" s="30"/>
      <c r="AE80" s="30"/>
      <c r="AF80" s="30"/>
      <c r="AG80" s="30"/>
      <c r="AH80" s="30"/>
      <c r="AI80" s="30"/>
      <c r="AJ80" s="30"/>
      <c r="AK80" s="30"/>
      <c r="AL80" s="30"/>
      <c r="AM80" s="30"/>
      <c r="AN80" s="30"/>
      <c r="AO80" s="30"/>
      <c r="AP80" s="30"/>
      <c r="AQ80" s="30"/>
      <c r="AR80" s="30"/>
      <c r="AS80" s="30"/>
      <c r="AT80" s="30"/>
      <c r="AU80" s="30"/>
    </row>
    <row r="81" spans="1:47" x14ac:dyDescent="0.2">
      <c r="A81" s="30"/>
      <c r="B81" s="30"/>
      <c r="C81" s="30"/>
      <c r="D81" s="30"/>
      <c r="E81" s="30"/>
      <c r="F81" s="30"/>
      <c r="G81" s="30"/>
      <c r="H81" s="30"/>
      <c r="I81" s="30"/>
      <c r="J81" s="30"/>
      <c r="K81" s="30"/>
      <c r="L81" s="30"/>
      <c r="M81" s="30"/>
      <c r="N81" s="30"/>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row>
    <row r="82" spans="1:47" x14ac:dyDescent="0.2">
      <c r="A82" s="30"/>
      <c r="B82" s="30"/>
      <c r="C82" s="30"/>
      <c r="D82" s="30"/>
      <c r="E82" s="30"/>
      <c r="F82" s="30"/>
      <c r="G82" s="30"/>
      <c r="H82" s="30"/>
      <c r="I82" s="30"/>
      <c r="J82" s="30"/>
      <c r="K82" s="30"/>
      <c r="L82" s="30"/>
      <c r="M82" s="30"/>
      <c r="N82" s="30"/>
      <c r="O82" s="30"/>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c r="AT82" s="30"/>
      <c r="AU82" s="30"/>
    </row>
    <row r="83" spans="1:47" x14ac:dyDescent="0.2">
      <c r="A83" s="30"/>
      <c r="B83" s="30"/>
      <c r="C83" s="30"/>
      <c r="D83" s="30"/>
      <c r="E83" s="30"/>
      <c r="F83" s="30"/>
      <c r="G83" s="30"/>
      <c r="H83" s="30"/>
      <c r="I83" s="30"/>
      <c r="J83" s="30"/>
      <c r="K83" s="30"/>
      <c r="L83" s="30"/>
      <c r="M83" s="30"/>
      <c r="N83" s="30"/>
      <c r="O83" s="30"/>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c r="AQ83" s="30"/>
      <c r="AR83" s="30"/>
      <c r="AS83" s="30"/>
      <c r="AT83" s="30"/>
      <c r="AU83" s="30"/>
    </row>
    <row r="84" spans="1:47" x14ac:dyDescent="0.2">
      <c r="A84" s="30"/>
      <c r="B84" s="30"/>
      <c r="C84" s="30"/>
      <c r="D84" s="30"/>
      <c r="E84" s="30"/>
      <c r="F84" s="30"/>
      <c r="G84" s="30"/>
      <c r="H84" s="30"/>
      <c r="I84" s="30"/>
      <c r="J84" s="30"/>
      <c r="K84" s="30"/>
      <c r="L84" s="30"/>
      <c r="M84" s="30"/>
      <c r="N84" s="30"/>
      <c r="O84" s="30"/>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row>
    <row r="85" spans="1:47" x14ac:dyDescent="0.2">
      <c r="A85" s="30"/>
      <c r="B85" s="30"/>
      <c r="C85" s="30"/>
      <c r="D85" s="30"/>
      <c r="E85" s="30"/>
      <c r="F85" s="30"/>
      <c r="G85" s="30"/>
      <c r="H85" s="30"/>
      <c r="I85" s="30"/>
      <c r="J85" s="30"/>
      <c r="K85" s="30"/>
      <c r="L85" s="30"/>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row>
    <row r="86" spans="1:47" x14ac:dyDescent="0.2">
      <c r="A86" s="30"/>
      <c r="B86" s="30"/>
      <c r="C86" s="30"/>
      <c r="D86" s="30"/>
      <c r="E86" s="30"/>
      <c r="F86" s="30"/>
      <c r="G86" s="30"/>
      <c r="H86" s="30"/>
      <c r="I86" s="30"/>
      <c r="J86" s="30"/>
      <c r="K86" s="30"/>
      <c r="L86" s="30"/>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c r="AT86" s="30"/>
      <c r="AU86" s="30"/>
    </row>
    <row r="87" spans="1:47" x14ac:dyDescent="0.2">
      <c r="A87" s="30"/>
      <c r="B87" s="30"/>
      <c r="C87" s="30"/>
      <c r="D87" s="30"/>
      <c r="E87" s="30"/>
      <c r="F87" s="30"/>
      <c r="G87" s="30"/>
      <c r="H87" s="30"/>
      <c r="I87" s="30"/>
      <c r="J87" s="30"/>
      <c r="K87" s="30"/>
      <c r="L87" s="30"/>
      <c r="M87" s="30"/>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row>
    <row r="88" spans="1:47" x14ac:dyDescent="0.2">
      <c r="A88" s="30"/>
      <c r="B88" s="30"/>
      <c r="C88" s="30"/>
      <c r="D88" s="30"/>
      <c r="E88" s="30"/>
      <c r="F88" s="30"/>
      <c r="G88" s="30"/>
      <c r="H88" s="30"/>
      <c r="I88" s="30"/>
      <c r="J88" s="30"/>
      <c r="K88" s="30"/>
      <c r="L88" s="30"/>
      <c r="M88" s="30"/>
      <c r="N88" s="30"/>
      <c r="O88" s="30"/>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c r="AQ88" s="30"/>
      <c r="AR88" s="30"/>
      <c r="AS88" s="30"/>
      <c r="AT88" s="30"/>
      <c r="AU88" s="30"/>
    </row>
    <row r="89" spans="1:47" x14ac:dyDescent="0.2">
      <c r="A89" s="30"/>
      <c r="B89" s="30"/>
      <c r="C89" s="30"/>
      <c r="D89" s="30"/>
      <c r="E89" s="30"/>
      <c r="F89" s="30"/>
      <c r="G89" s="30"/>
      <c r="H89" s="30"/>
      <c r="I89" s="30"/>
      <c r="J89" s="30"/>
      <c r="K89" s="30"/>
      <c r="L89" s="30"/>
      <c r="M89" s="30"/>
      <c r="N89" s="30"/>
      <c r="AF89" s="30"/>
      <c r="AG89" s="30"/>
      <c r="AH89" s="30"/>
      <c r="AI89" s="30"/>
      <c r="AJ89" s="30"/>
      <c r="AK89" s="30"/>
      <c r="AL89" s="30"/>
      <c r="AM89" s="30"/>
      <c r="AN89" s="30"/>
      <c r="AO89" s="30"/>
      <c r="AP89" s="30"/>
      <c r="AQ89" s="30"/>
      <c r="AR89" s="30"/>
      <c r="AS89" s="30"/>
      <c r="AT89" s="30"/>
      <c r="AU89" s="30"/>
    </row>
    <row r="90" spans="1:47" x14ac:dyDescent="0.2">
      <c r="A90" s="30"/>
      <c r="B90" s="30"/>
      <c r="C90" s="30"/>
      <c r="D90" s="30"/>
      <c r="E90" s="30"/>
      <c r="F90" s="30"/>
      <c r="G90" s="30"/>
      <c r="H90" s="30"/>
      <c r="I90" s="30"/>
      <c r="J90" s="30"/>
      <c r="K90" s="30"/>
      <c r="L90" s="30"/>
      <c r="M90" s="30"/>
      <c r="N90" s="30"/>
      <c r="AF90" s="30"/>
      <c r="AG90" s="30"/>
      <c r="AH90" s="30"/>
      <c r="AI90" s="30"/>
      <c r="AJ90" s="30"/>
      <c r="AK90" s="30"/>
      <c r="AL90" s="30"/>
      <c r="AM90" s="30"/>
      <c r="AN90" s="30"/>
      <c r="AO90" s="30"/>
      <c r="AP90" s="30"/>
      <c r="AQ90" s="30"/>
      <c r="AR90" s="30"/>
      <c r="AS90" s="30"/>
      <c r="AT90" s="30"/>
      <c r="AU90" s="30"/>
    </row>
    <row r="91" spans="1:47" ht="15" x14ac:dyDescent="0.2">
      <c r="AK91" s="1"/>
      <c r="AL91" s="1"/>
    </row>
    <row r="92" spans="1:47" ht="15" x14ac:dyDescent="0.2">
      <c r="AK92" s="1"/>
      <c r="AL92" s="1"/>
    </row>
    <row r="93" spans="1:47" ht="15" x14ac:dyDescent="0.2">
      <c r="AK93" s="1"/>
      <c r="AL93" s="1"/>
    </row>
    <row r="94" spans="1:47" ht="15" x14ac:dyDescent="0.2">
      <c r="AK94" s="1"/>
      <c r="AL94" s="1"/>
    </row>
    <row r="95" spans="1:47" ht="15" x14ac:dyDescent="0.2">
      <c r="AK95" s="1"/>
      <c r="AL95" s="1"/>
    </row>
    <row r="96" spans="1:47" ht="15" x14ac:dyDescent="0.2">
      <c r="AK96" s="1"/>
      <c r="AL96" s="1"/>
    </row>
    <row r="97" spans="37:38" ht="15" x14ac:dyDescent="0.2">
      <c r="AK97" s="1"/>
      <c r="AL97" s="1"/>
    </row>
    <row r="98" spans="37:38" ht="15" x14ac:dyDescent="0.2">
      <c r="AK98" s="1"/>
      <c r="AL98" s="1"/>
    </row>
    <row r="99" spans="37:38" ht="15" x14ac:dyDescent="0.2">
      <c r="AK99" s="1"/>
      <c r="AL99" s="1"/>
    </row>
    <row r="100" spans="37:38" ht="15" x14ac:dyDescent="0.2">
      <c r="AK100" s="1"/>
      <c r="AL100" s="1"/>
    </row>
  </sheetData>
  <mergeCells count="18">
    <mergeCell ref="Y5:Y6"/>
    <mergeCell ref="W5:W6"/>
    <mergeCell ref="O4:AG4"/>
    <mergeCell ref="O1:AA1"/>
    <mergeCell ref="A1:M1"/>
    <mergeCell ref="B2:M2"/>
    <mergeCell ref="D4:H4"/>
    <mergeCell ref="B3:L3"/>
    <mergeCell ref="B4:B6"/>
    <mergeCell ref="O2:R2"/>
    <mergeCell ref="C39:L39"/>
    <mergeCell ref="R5:R6"/>
    <mergeCell ref="S5:S6"/>
    <mergeCell ref="U5:U6"/>
    <mergeCell ref="C4:C6"/>
    <mergeCell ref="L4:L6"/>
    <mergeCell ref="I4:K4"/>
    <mergeCell ref="C38:L38"/>
  </mergeCells>
  <dataValidations count="3">
    <dataValidation type="list" showInputMessage="1" showErrorMessage="1" sqref="Q41">
      <formula1>$AC$43:$AC$49</formula1>
    </dataValidation>
    <dataValidation type="list" showInputMessage="1" showErrorMessage="1" sqref="R3">
      <formula1>$AA$43:$AA$46</formula1>
    </dataValidation>
    <dataValidation type="list" showInputMessage="1" showErrorMessage="1" sqref="R7:R35">
      <formula1>$AB$43:$AB$46</formula1>
    </dataValidation>
  </dataValidations>
  <printOptions horizontalCentered="1"/>
  <pageMargins left="0.38199912510936102" right="0.38199912510936102" top="0.35" bottom="0.35" header="0.5" footer="0.5"/>
  <pageSetup firstPageNumber="31" orientation="landscape" useFirstPageNumber="1" r:id="rId1"/>
  <headerFooter alignWithMargins="0"/>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9"/>
  <dimension ref="A1:AA59"/>
  <sheetViews>
    <sheetView showGridLines="0" showZeros="0" zoomScale="75" zoomScaleNormal="75" workbookViewId="0">
      <selection activeCell="M1" sqref="M1:N1"/>
    </sheetView>
  </sheetViews>
  <sheetFormatPr defaultRowHeight="12.75" x14ac:dyDescent="0.2"/>
  <cols>
    <col min="1" max="1" width="1.5703125" customWidth="1"/>
    <col min="2" max="2" width="7.85546875" customWidth="1"/>
    <col min="3" max="3" width="8.85546875" bestFit="1" customWidth="1"/>
    <col min="4" max="4" width="8.5703125" bestFit="1" customWidth="1"/>
    <col min="5" max="5" width="8" bestFit="1" customWidth="1"/>
    <col min="6" max="6" width="9.42578125" customWidth="1"/>
    <col min="7" max="7" width="8.7109375" bestFit="1" customWidth="1"/>
    <col min="8" max="9" width="8.7109375" customWidth="1"/>
    <col min="10" max="10" width="29.5703125" customWidth="1"/>
    <col min="11" max="11" width="1.5703125" customWidth="1"/>
    <col min="13" max="13" width="11.28515625" customWidth="1"/>
    <col min="16" max="16" width="27" customWidth="1"/>
    <col min="17" max="17" width="29.7109375" bestFit="1" customWidth="1"/>
  </cols>
  <sheetData>
    <row r="1" spans="1:27" ht="18" x14ac:dyDescent="0.25">
      <c r="A1" s="1224" t="str">
        <f>UPPER("Pavement Core Summary Table")</f>
        <v>PAVEMENT CORE SUMMARY TABLE</v>
      </c>
      <c r="B1" s="1225"/>
      <c r="C1" s="1225"/>
      <c r="D1" s="1225"/>
      <c r="E1" s="1225"/>
      <c r="F1" s="1225"/>
      <c r="G1" s="1225"/>
      <c r="H1" s="1225"/>
      <c r="I1" s="1225"/>
      <c r="J1" s="1225"/>
      <c r="K1" s="1225"/>
      <c r="L1" s="30"/>
      <c r="M1" s="1321" t="s">
        <v>110</v>
      </c>
      <c r="N1" s="1321"/>
      <c r="O1" s="101"/>
      <c r="P1" s="30"/>
      <c r="Q1" s="30"/>
      <c r="R1" s="30"/>
      <c r="S1" s="30"/>
      <c r="T1" s="30"/>
      <c r="U1" s="30"/>
      <c r="V1" s="30"/>
      <c r="W1" s="30"/>
      <c r="X1" s="30"/>
      <c r="Y1" s="30"/>
      <c r="Z1" s="30"/>
      <c r="AA1" s="30"/>
    </row>
    <row r="2" spans="1:27" ht="12.75" customHeight="1" thickBot="1" x14ac:dyDescent="0.25">
      <c r="A2" s="30"/>
      <c r="B2" s="1356"/>
      <c r="C2" s="1356"/>
      <c r="D2" s="1356"/>
      <c r="E2" s="1356"/>
      <c r="F2" s="1356"/>
      <c r="G2" s="1356"/>
      <c r="H2" s="1356"/>
      <c r="I2" s="1356"/>
      <c r="J2" s="1356"/>
      <c r="K2" s="156"/>
      <c r="L2" s="30"/>
      <c r="M2" s="1624" t="s">
        <v>238</v>
      </c>
      <c r="N2" s="30"/>
      <c r="O2" s="30"/>
      <c r="P2" s="30"/>
      <c r="Q2" s="30"/>
      <c r="R2" s="30"/>
      <c r="S2" s="30"/>
      <c r="T2" s="30"/>
      <c r="U2" s="30"/>
      <c r="V2" s="30"/>
      <c r="W2" s="30"/>
      <c r="X2" s="30"/>
      <c r="Y2" s="30"/>
      <c r="Z2" s="30"/>
      <c r="AA2" s="30"/>
    </row>
    <row r="3" spans="1:27" ht="12.75" customHeight="1" x14ac:dyDescent="0.2">
      <c r="A3" s="30"/>
      <c r="B3" s="1509" t="s">
        <v>104</v>
      </c>
      <c r="C3" s="1394" t="s">
        <v>105</v>
      </c>
      <c r="D3" s="1394" t="s">
        <v>39</v>
      </c>
      <c r="E3" s="1394" t="s">
        <v>4</v>
      </c>
      <c r="F3" s="1394" t="s">
        <v>108</v>
      </c>
      <c r="G3" s="1221" t="s">
        <v>107</v>
      </c>
      <c r="H3" s="1221"/>
      <c r="I3" s="1221"/>
      <c r="J3" s="1628" t="s">
        <v>87</v>
      </c>
      <c r="K3" s="530"/>
      <c r="L3" s="30"/>
      <c r="M3" s="1624"/>
      <c r="N3" s="30"/>
      <c r="R3" s="30"/>
      <c r="S3" s="30"/>
      <c r="T3" s="30"/>
      <c r="U3" s="30"/>
      <c r="V3" s="30"/>
      <c r="W3" s="30"/>
      <c r="X3" s="30"/>
      <c r="Y3" s="30"/>
      <c r="Z3" s="30"/>
      <c r="AA3" s="30"/>
    </row>
    <row r="4" spans="1:27" ht="12.75" customHeight="1" thickBot="1" x14ac:dyDescent="0.25">
      <c r="A4" s="30"/>
      <c r="B4" s="1510"/>
      <c r="C4" s="1424"/>
      <c r="D4" s="1424"/>
      <c r="E4" s="1424"/>
      <c r="F4" s="1424"/>
      <c r="G4" s="24" t="s">
        <v>24</v>
      </c>
      <c r="H4" s="24" t="s">
        <v>106</v>
      </c>
      <c r="I4" s="24" t="s">
        <v>500</v>
      </c>
      <c r="J4" s="1629"/>
      <c r="K4" s="530"/>
      <c r="L4" s="30"/>
      <c r="M4" s="1625"/>
      <c r="N4" s="30"/>
      <c r="R4" s="30"/>
      <c r="S4" s="30"/>
      <c r="T4" s="30"/>
      <c r="U4" s="30"/>
      <c r="V4" s="30"/>
      <c r="W4" s="30"/>
      <c r="X4" s="30"/>
      <c r="Y4" s="30"/>
      <c r="Z4" s="30"/>
      <c r="AA4" s="30"/>
    </row>
    <row r="5" spans="1:27" ht="12.75" customHeight="1" x14ac:dyDescent="0.2">
      <c r="A5" s="30"/>
      <c r="B5" s="769"/>
      <c r="C5" s="545"/>
      <c r="D5" s="770"/>
      <c r="E5" s="160"/>
      <c r="F5" s="771"/>
      <c r="G5" s="45"/>
      <c r="H5" s="45"/>
      <c r="I5" s="45"/>
      <c r="J5" s="772"/>
      <c r="K5" s="33"/>
      <c r="L5" s="30"/>
      <c r="M5" s="780">
        <f>SUM(G5:I5)</f>
        <v>0</v>
      </c>
      <c r="N5" s="30"/>
      <c r="R5" s="30"/>
      <c r="S5" s="30"/>
      <c r="T5" s="30"/>
      <c r="U5" s="30"/>
      <c r="V5" s="30"/>
      <c r="W5" s="30"/>
      <c r="X5" s="30"/>
      <c r="Y5" s="30"/>
      <c r="Z5" s="30"/>
      <c r="AA5" s="30"/>
    </row>
    <row r="6" spans="1:27" ht="12.75" customHeight="1" x14ac:dyDescent="0.2">
      <c r="A6" s="30"/>
      <c r="B6" s="34"/>
      <c r="C6" s="546"/>
      <c r="D6" s="773"/>
      <c r="E6" s="35"/>
      <c r="F6" s="774"/>
      <c r="G6" s="58"/>
      <c r="H6" s="58"/>
      <c r="I6" s="58"/>
      <c r="J6" s="775"/>
      <c r="K6" s="33"/>
      <c r="L6" s="30"/>
      <c r="M6" s="780">
        <f>SUM(G6:I6)</f>
        <v>0</v>
      </c>
      <c r="N6" s="30"/>
      <c r="R6" s="30"/>
      <c r="S6" s="30"/>
      <c r="T6" s="30"/>
      <c r="U6" s="30"/>
      <c r="V6" s="30"/>
      <c r="W6" s="30"/>
      <c r="X6" s="30"/>
      <c r="Y6" s="30"/>
      <c r="Z6" s="30"/>
      <c r="AA6" s="30"/>
    </row>
    <row r="7" spans="1:27" ht="12.75" customHeight="1" x14ac:dyDescent="0.2">
      <c r="A7" s="30"/>
      <c r="B7" s="34"/>
      <c r="C7" s="546"/>
      <c r="D7" s="773"/>
      <c r="E7" s="35"/>
      <c r="F7" s="774"/>
      <c r="G7" s="58"/>
      <c r="H7" s="58"/>
      <c r="I7" s="58"/>
      <c r="J7" s="775"/>
      <c r="K7" s="33"/>
      <c r="L7" s="30"/>
      <c r="M7" s="780">
        <f t="shared" ref="M7:M25" si="0">SUM(G7:I7)</f>
        <v>0</v>
      </c>
      <c r="N7" s="30"/>
      <c r="R7" s="30"/>
      <c r="S7" s="30"/>
      <c r="T7" s="30"/>
      <c r="U7" s="30"/>
      <c r="V7" s="30"/>
      <c r="W7" s="30"/>
      <c r="X7" s="30"/>
      <c r="Y7" s="30"/>
      <c r="Z7" s="30"/>
      <c r="AA7" s="30"/>
    </row>
    <row r="8" spans="1:27" ht="12.75" customHeight="1" x14ac:dyDescent="0.2">
      <c r="A8" s="30"/>
      <c r="B8" s="34"/>
      <c r="C8" s="546"/>
      <c r="D8" s="773"/>
      <c r="E8" s="35"/>
      <c r="F8" s="774"/>
      <c r="G8" s="58"/>
      <c r="H8" s="58"/>
      <c r="I8" s="58"/>
      <c r="J8" s="775"/>
      <c r="K8" s="33"/>
      <c r="L8" s="30"/>
      <c r="M8" s="780">
        <f t="shared" si="0"/>
        <v>0</v>
      </c>
      <c r="N8" s="30"/>
      <c r="R8" s="30"/>
      <c r="S8" s="30"/>
      <c r="T8" s="30"/>
      <c r="U8" s="30"/>
      <c r="V8" s="30"/>
      <c r="W8" s="30"/>
      <c r="X8" s="30"/>
      <c r="Y8" s="30"/>
      <c r="Z8" s="30"/>
      <c r="AA8" s="30"/>
    </row>
    <row r="9" spans="1:27" ht="12.75" customHeight="1" x14ac:dyDescent="0.2">
      <c r="A9" s="30"/>
      <c r="B9" s="34"/>
      <c r="C9" s="546"/>
      <c r="D9" s="773"/>
      <c r="E9" s="35"/>
      <c r="F9" s="774"/>
      <c r="G9" s="58"/>
      <c r="H9" s="58"/>
      <c r="I9" s="58"/>
      <c r="J9" s="775"/>
      <c r="K9" s="33"/>
      <c r="L9" s="30"/>
      <c r="M9" s="780">
        <f t="shared" si="0"/>
        <v>0</v>
      </c>
      <c r="N9" s="30"/>
      <c r="R9" s="30"/>
      <c r="S9" s="30"/>
      <c r="T9" s="30"/>
      <c r="U9" s="30"/>
      <c r="V9" s="30"/>
      <c r="W9" s="30"/>
      <c r="X9" s="30"/>
      <c r="Y9" s="30"/>
      <c r="Z9" s="30"/>
      <c r="AA9" s="30"/>
    </row>
    <row r="10" spans="1:27" ht="12.75" customHeight="1" x14ac:dyDescent="0.2">
      <c r="A10" s="30"/>
      <c r="B10" s="34"/>
      <c r="C10" s="546"/>
      <c r="D10" s="773"/>
      <c r="E10" s="35"/>
      <c r="F10" s="774"/>
      <c r="G10" s="58"/>
      <c r="H10" s="58"/>
      <c r="I10" s="58"/>
      <c r="J10" s="775"/>
      <c r="K10" s="33"/>
      <c r="L10" s="30"/>
      <c r="M10" s="780">
        <f t="shared" si="0"/>
        <v>0</v>
      </c>
      <c r="N10" s="30"/>
      <c r="R10" s="30"/>
      <c r="S10" s="30"/>
      <c r="T10" s="30"/>
      <c r="U10" s="30"/>
      <c r="V10" s="30"/>
      <c r="W10" s="30"/>
      <c r="X10" s="30"/>
      <c r="Y10" s="30"/>
      <c r="Z10" s="30"/>
      <c r="AA10" s="30"/>
    </row>
    <row r="11" spans="1:27" ht="12.75" customHeight="1" x14ac:dyDescent="0.2">
      <c r="A11" s="30"/>
      <c r="B11" s="34"/>
      <c r="C11" s="546"/>
      <c r="D11" s="773"/>
      <c r="E11" s="35"/>
      <c r="F11" s="774"/>
      <c r="G11" s="58"/>
      <c r="H11" s="58"/>
      <c r="I11" s="58"/>
      <c r="J11" s="775"/>
      <c r="K11" s="33"/>
      <c r="L11" s="30"/>
      <c r="M11" s="780">
        <f t="shared" si="0"/>
        <v>0</v>
      </c>
      <c r="N11" s="30"/>
      <c r="R11" s="30"/>
      <c r="S11" s="30"/>
      <c r="T11" s="30"/>
      <c r="U11" s="30"/>
      <c r="V11" s="30"/>
      <c r="W11" s="30"/>
      <c r="X11" s="30"/>
      <c r="Y11" s="30"/>
      <c r="Z11" s="30"/>
      <c r="AA11" s="30"/>
    </row>
    <row r="12" spans="1:27" ht="12.75" customHeight="1" x14ac:dyDescent="0.2">
      <c r="A12" s="30"/>
      <c r="B12" s="34"/>
      <c r="C12" s="546"/>
      <c r="D12" s="773"/>
      <c r="E12" s="35"/>
      <c r="F12" s="774"/>
      <c r="G12" s="58"/>
      <c r="H12" s="58"/>
      <c r="I12" s="58"/>
      <c r="J12" s="775"/>
      <c r="K12" s="33"/>
      <c r="L12" s="30"/>
      <c r="M12" s="780">
        <f t="shared" si="0"/>
        <v>0</v>
      </c>
      <c r="N12" s="30"/>
      <c r="R12" s="30"/>
      <c r="S12" s="30"/>
      <c r="T12" s="30"/>
      <c r="U12" s="30"/>
      <c r="V12" s="30"/>
      <c r="W12" s="30"/>
      <c r="X12" s="30"/>
      <c r="Y12" s="30"/>
      <c r="Z12" s="30"/>
      <c r="AA12" s="30"/>
    </row>
    <row r="13" spans="1:27" ht="12.75" customHeight="1" x14ac:dyDescent="0.2">
      <c r="A13" s="30"/>
      <c r="B13" s="34"/>
      <c r="C13" s="546"/>
      <c r="D13" s="773"/>
      <c r="E13" s="35"/>
      <c r="F13" s="774"/>
      <c r="G13" s="58"/>
      <c r="H13" s="58"/>
      <c r="I13" s="58"/>
      <c r="J13" s="775"/>
      <c r="K13" s="33"/>
      <c r="L13" s="30"/>
      <c r="M13" s="780">
        <f t="shared" si="0"/>
        <v>0</v>
      </c>
      <c r="N13" s="30"/>
      <c r="R13" s="30"/>
      <c r="S13" s="30"/>
      <c r="T13" s="30"/>
      <c r="U13" s="30"/>
      <c r="V13" s="30"/>
      <c r="W13" s="30"/>
      <c r="X13" s="30"/>
      <c r="Y13" s="30"/>
      <c r="Z13" s="30"/>
      <c r="AA13" s="30"/>
    </row>
    <row r="14" spans="1:27" ht="12.75" customHeight="1" x14ac:dyDescent="0.2">
      <c r="A14" s="30"/>
      <c r="B14" s="34"/>
      <c r="C14" s="546"/>
      <c r="D14" s="773"/>
      <c r="E14" s="35"/>
      <c r="F14" s="774"/>
      <c r="G14" s="58"/>
      <c r="H14" s="58"/>
      <c r="I14" s="58"/>
      <c r="J14" s="775"/>
      <c r="K14" s="33"/>
      <c r="L14" s="30"/>
      <c r="M14" s="780">
        <f t="shared" si="0"/>
        <v>0</v>
      </c>
      <c r="N14" s="30"/>
      <c r="R14" s="30"/>
      <c r="S14" s="30"/>
      <c r="T14" s="30"/>
      <c r="U14" s="30"/>
      <c r="V14" s="30"/>
      <c r="W14" s="30"/>
      <c r="X14" s="30"/>
      <c r="Y14" s="30"/>
      <c r="Z14" s="30"/>
      <c r="AA14" s="30"/>
    </row>
    <row r="15" spans="1:27" ht="12.75" customHeight="1" x14ac:dyDescent="0.2">
      <c r="A15" s="30"/>
      <c r="B15" s="34"/>
      <c r="C15" s="546"/>
      <c r="D15" s="773"/>
      <c r="E15" s="35"/>
      <c r="F15" s="774"/>
      <c r="G15" s="58"/>
      <c r="H15" s="58"/>
      <c r="I15" s="58"/>
      <c r="J15" s="775"/>
      <c r="K15" s="33"/>
      <c r="L15" s="30"/>
      <c r="M15" s="780">
        <f t="shared" si="0"/>
        <v>0</v>
      </c>
      <c r="N15" s="30"/>
      <c r="R15" s="30"/>
      <c r="S15" s="30"/>
      <c r="T15" s="30"/>
      <c r="U15" s="30"/>
      <c r="V15" s="30"/>
      <c r="W15" s="30"/>
      <c r="X15" s="30"/>
      <c r="Y15" s="30"/>
      <c r="Z15" s="30"/>
      <c r="AA15" s="30"/>
    </row>
    <row r="16" spans="1:27" ht="12.75" customHeight="1" x14ac:dyDescent="0.2">
      <c r="A16" s="30"/>
      <c r="B16" s="34"/>
      <c r="C16" s="546"/>
      <c r="D16" s="773"/>
      <c r="E16" s="35"/>
      <c r="F16" s="774"/>
      <c r="G16" s="58"/>
      <c r="H16" s="58"/>
      <c r="I16" s="58"/>
      <c r="J16" s="775"/>
      <c r="K16" s="33"/>
      <c r="L16" s="30"/>
      <c r="M16" s="780">
        <f t="shared" si="0"/>
        <v>0</v>
      </c>
      <c r="N16" s="30"/>
      <c r="R16" s="30"/>
      <c r="S16" s="30"/>
      <c r="T16" s="30"/>
      <c r="U16" s="30"/>
      <c r="V16" s="30"/>
      <c r="W16" s="30"/>
      <c r="X16" s="30"/>
      <c r="Y16" s="30"/>
      <c r="Z16" s="30"/>
      <c r="AA16" s="30"/>
    </row>
    <row r="17" spans="1:27" ht="12.75" customHeight="1" x14ac:dyDescent="0.2">
      <c r="A17" s="30"/>
      <c r="B17" s="34"/>
      <c r="C17" s="546"/>
      <c r="D17" s="773"/>
      <c r="E17" s="35"/>
      <c r="F17" s="774"/>
      <c r="G17" s="58"/>
      <c r="H17" s="58"/>
      <c r="I17" s="58"/>
      <c r="J17" s="775"/>
      <c r="K17" s="33"/>
      <c r="L17" s="30"/>
      <c r="M17" s="780">
        <f t="shared" si="0"/>
        <v>0</v>
      </c>
      <c r="N17" s="30"/>
      <c r="R17" s="30"/>
      <c r="S17" s="30"/>
      <c r="T17" s="30"/>
      <c r="U17" s="30"/>
      <c r="V17" s="30"/>
      <c r="W17" s="30"/>
      <c r="X17" s="30"/>
      <c r="Y17" s="30"/>
      <c r="Z17" s="30"/>
      <c r="AA17" s="30"/>
    </row>
    <row r="18" spans="1:27" ht="12.75" customHeight="1" x14ac:dyDescent="0.2">
      <c r="A18" s="30"/>
      <c r="B18" s="34"/>
      <c r="C18" s="546"/>
      <c r="D18" s="773"/>
      <c r="E18" s="35"/>
      <c r="F18" s="774"/>
      <c r="G18" s="58"/>
      <c r="H18" s="58"/>
      <c r="I18" s="58"/>
      <c r="J18" s="775"/>
      <c r="K18" s="33"/>
      <c r="L18" s="30"/>
      <c r="M18" s="780">
        <f t="shared" si="0"/>
        <v>0</v>
      </c>
      <c r="N18" s="30"/>
      <c r="R18" s="30"/>
      <c r="S18" s="30"/>
      <c r="T18" s="30"/>
      <c r="U18" s="30"/>
      <c r="V18" s="30"/>
      <c r="W18" s="30"/>
      <c r="X18" s="30"/>
      <c r="Y18" s="30"/>
      <c r="Z18" s="30"/>
      <c r="AA18" s="30"/>
    </row>
    <row r="19" spans="1:27" ht="12.75" customHeight="1" x14ac:dyDescent="0.2">
      <c r="A19" s="30"/>
      <c r="B19" s="34"/>
      <c r="C19" s="546"/>
      <c r="D19" s="773"/>
      <c r="E19" s="35"/>
      <c r="F19" s="774"/>
      <c r="G19" s="58"/>
      <c r="H19" s="58"/>
      <c r="I19" s="58"/>
      <c r="J19" s="775"/>
      <c r="K19" s="33"/>
      <c r="L19" s="30"/>
      <c r="M19" s="780">
        <f t="shared" si="0"/>
        <v>0</v>
      </c>
      <c r="N19" s="30"/>
      <c r="R19" s="30"/>
      <c r="S19" s="30"/>
      <c r="T19" s="30"/>
      <c r="U19" s="30"/>
      <c r="V19" s="30"/>
      <c r="W19" s="30"/>
      <c r="X19" s="30"/>
      <c r="Y19" s="30"/>
      <c r="Z19" s="30"/>
      <c r="AA19" s="30"/>
    </row>
    <row r="20" spans="1:27" ht="12.75" customHeight="1" x14ac:dyDescent="0.2">
      <c r="A20" s="30"/>
      <c r="B20" s="34"/>
      <c r="C20" s="546"/>
      <c r="D20" s="773"/>
      <c r="E20" s="35"/>
      <c r="F20" s="774"/>
      <c r="G20" s="58"/>
      <c r="H20" s="58"/>
      <c r="I20" s="58"/>
      <c r="J20" s="775"/>
      <c r="K20" s="33"/>
      <c r="L20" s="30"/>
      <c r="M20" s="780">
        <f t="shared" si="0"/>
        <v>0</v>
      </c>
      <c r="N20" s="30"/>
      <c r="R20" s="30"/>
      <c r="S20" s="30"/>
      <c r="T20" s="30"/>
      <c r="U20" s="30"/>
      <c r="V20" s="30"/>
      <c r="W20" s="30"/>
      <c r="X20" s="30"/>
      <c r="Y20" s="30"/>
      <c r="Z20" s="30"/>
      <c r="AA20" s="30"/>
    </row>
    <row r="21" spans="1:27" ht="12.75" customHeight="1" x14ac:dyDescent="0.2">
      <c r="A21" s="30"/>
      <c r="B21" s="34"/>
      <c r="C21" s="546"/>
      <c r="D21" s="773"/>
      <c r="E21" s="35"/>
      <c r="F21" s="774"/>
      <c r="G21" s="58"/>
      <c r="H21" s="58"/>
      <c r="I21" s="58"/>
      <c r="J21" s="775"/>
      <c r="K21" s="33"/>
      <c r="L21" s="30"/>
      <c r="M21" s="780">
        <f t="shared" si="0"/>
        <v>0</v>
      </c>
      <c r="N21" s="30"/>
      <c r="O21" s="30"/>
      <c r="R21" s="30"/>
      <c r="S21" s="30"/>
      <c r="T21" s="30"/>
      <c r="U21" s="30"/>
      <c r="V21" s="30"/>
      <c r="W21" s="30"/>
      <c r="X21" s="30"/>
      <c r="Y21" s="30"/>
      <c r="Z21" s="30"/>
      <c r="AA21" s="30"/>
    </row>
    <row r="22" spans="1:27" ht="12.75" customHeight="1" x14ac:dyDescent="0.2">
      <c r="A22" s="30"/>
      <c r="B22" s="34"/>
      <c r="C22" s="546"/>
      <c r="D22" s="773"/>
      <c r="E22" s="35"/>
      <c r="F22" s="774"/>
      <c r="G22" s="58"/>
      <c r="H22" s="58"/>
      <c r="I22" s="58"/>
      <c r="J22" s="775"/>
      <c r="K22" s="33"/>
      <c r="L22" s="30"/>
      <c r="M22" s="780">
        <f t="shared" si="0"/>
        <v>0</v>
      </c>
      <c r="N22" s="30"/>
      <c r="O22" s="30"/>
      <c r="R22" s="30"/>
      <c r="S22" s="30"/>
      <c r="T22" s="30"/>
      <c r="U22" s="30"/>
      <c r="V22" s="30"/>
      <c r="W22" s="30"/>
      <c r="X22" s="30"/>
      <c r="Y22" s="30"/>
      <c r="Z22" s="30"/>
      <c r="AA22" s="30"/>
    </row>
    <row r="23" spans="1:27" ht="12.75" customHeight="1" x14ac:dyDescent="0.2">
      <c r="A23" s="30"/>
      <c r="B23" s="34"/>
      <c r="C23" s="546"/>
      <c r="D23" s="773"/>
      <c r="E23" s="35"/>
      <c r="F23" s="774"/>
      <c r="G23" s="58"/>
      <c r="H23" s="58"/>
      <c r="I23" s="58"/>
      <c r="J23" s="775"/>
      <c r="K23" s="33"/>
      <c r="L23" s="30"/>
      <c r="M23" s="780">
        <f t="shared" si="0"/>
        <v>0</v>
      </c>
      <c r="N23" s="30"/>
      <c r="O23" s="30"/>
      <c r="R23" s="30"/>
      <c r="S23" s="30"/>
      <c r="T23" s="30"/>
      <c r="U23" s="30"/>
      <c r="V23" s="30"/>
      <c r="W23" s="30"/>
      <c r="X23" s="30"/>
      <c r="Y23" s="30"/>
      <c r="Z23" s="30"/>
      <c r="AA23" s="30"/>
    </row>
    <row r="24" spans="1:27" ht="12.75" customHeight="1" x14ac:dyDescent="0.2">
      <c r="A24" s="30"/>
      <c r="B24" s="34"/>
      <c r="C24" s="546"/>
      <c r="D24" s="773"/>
      <c r="E24" s="35"/>
      <c r="F24" s="774"/>
      <c r="G24" s="58"/>
      <c r="H24" s="58"/>
      <c r="I24" s="58"/>
      <c r="J24" s="775"/>
      <c r="K24" s="33"/>
      <c r="L24" s="30"/>
      <c r="M24" s="780">
        <f t="shared" si="0"/>
        <v>0</v>
      </c>
      <c r="N24" s="30"/>
      <c r="O24" s="30"/>
      <c r="R24" s="30"/>
      <c r="S24" s="30"/>
      <c r="T24" s="30"/>
      <c r="U24" s="30"/>
      <c r="V24" s="30"/>
      <c r="W24" s="30"/>
      <c r="X24" s="30"/>
      <c r="Y24" s="30"/>
      <c r="Z24" s="30"/>
      <c r="AA24" s="30"/>
    </row>
    <row r="25" spans="1:27" ht="12.75" customHeight="1" x14ac:dyDescent="0.2">
      <c r="A25" s="30"/>
      <c r="B25" s="34"/>
      <c r="C25" s="546"/>
      <c r="D25" s="773"/>
      <c r="E25" s="35"/>
      <c r="F25" s="774"/>
      <c r="G25" s="58"/>
      <c r="H25" s="58"/>
      <c r="I25" s="58"/>
      <c r="J25" s="775"/>
      <c r="K25" s="33"/>
      <c r="L25" s="30"/>
      <c r="M25" s="780">
        <f t="shared" si="0"/>
        <v>0</v>
      </c>
      <c r="N25" s="30"/>
      <c r="O25" s="30"/>
      <c r="R25" s="30"/>
      <c r="S25" s="30"/>
      <c r="T25" s="30"/>
      <c r="U25" s="30"/>
      <c r="V25" s="30"/>
      <c r="W25" s="30"/>
      <c r="X25" s="30"/>
      <c r="Y25" s="30"/>
      <c r="Z25" s="30"/>
      <c r="AA25" s="30"/>
    </row>
    <row r="26" spans="1:27" ht="12.75" customHeight="1" x14ac:dyDescent="0.2">
      <c r="A26" s="30"/>
      <c r="B26" s="34"/>
      <c r="C26" s="546"/>
      <c r="D26" s="773"/>
      <c r="E26" s="35"/>
      <c r="F26" s="776"/>
      <c r="G26" s="58"/>
      <c r="H26" s="58"/>
      <c r="I26" s="58"/>
      <c r="J26" s="775"/>
      <c r="K26" s="33"/>
      <c r="L26" s="30"/>
      <c r="M26" s="780">
        <f t="shared" ref="M26:M34" si="1">SUM(G26:I26)</f>
        <v>0</v>
      </c>
      <c r="N26" s="30"/>
      <c r="O26" s="30"/>
      <c r="R26" s="30"/>
      <c r="S26" s="30"/>
      <c r="T26" s="30"/>
      <c r="U26" s="30"/>
      <c r="V26" s="30"/>
      <c r="W26" s="30"/>
      <c r="X26" s="30"/>
      <c r="Y26" s="30"/>
      <c r="Z26" s="30"/>
      <c r="AA26" s="30"/>
    </row>
    <row r="27" spans="1:27" ht="12.75" customHeight="1" x14ac:dyDescent="0.2">
      <c r="A27" s="30"/>
      <c r="B27" s="34"/>
      <c r="C27" s="546"/>
      <c r="D27" s="773"/>
      <c r="E27" s="35"/>
      <c r="F27" s="776"/>
      <c r="G27" s="58"/>
      <c r="H27" s="58"/>
      <c r="I27" s="58"/>
      <c r="J27" s="775"/>
      <c r="K27" s="33"/>
      <c r="L27" s="30"/>
      <c r="M27" s="780">
        <f t="shared" si="1"/>
        <v>0</v>
      </c>
      <c r="N27" s="30"/>
      <c r="O27" s="30"/>
      <c r="R27" s="30"/>
      <c r="S27" s="30"/>
      <c r="T27" s="30"/>
      <c r="U27" s="30"/>
      <c r="V27" s="30"/>
      <c r="W27" s="30"/>
      <c r="X27" s="30"/>
      <c r="Y27" s="30"/>
      <c r="Z27" s="30"/>
      <c r="AA27" s="30"/>
    </row>
    <row r="28" spans="1:27" ht="12.75" customHeight="1" x14ac:dyDescent="0.2">
      <c r="A28" s="30"/>
      <c r="B28" s="34"/>
      <c r="C28" s="546"/>
      <c r="D28" s="773"/>
      <c r="E28" s="35"/>
      <c r="F28" s="776"/>
      <c r="G28" s="58"/>
      <c r="H28" s="58"/>
      <c r="I28" s="58"/>
      <c r="J28" s="775"/>
      <c r="K28" s="33"/>
      <c r="L28" s="30"/>
      <c r="M28" s="780">
        <f t="shared" si="1"/>
        <v>0</v>
      </c>
      <c r="N28" s="30"/>
      <c r="O28" s="30"/>
      <c r="R28" s="30"/>
      <c r="S28" s="30"/>
      <c r="T28" s="30"/>
      <c r="U28" s="30"/>
      <c r="V28" s="30"/>
      <c r="W28" s="30"/>
      <c r="X28" s="30"/>
      <c r="Y28" s="30"/>
      <c r="Z28" s="30"/>
      <c r="AA28" s="30"/>
    </row>
    <row r="29" spans="1:27" ht="12.75" customHeight="1" x14ac:dyDescent="0.2">
      <c r="A29" s="30"/>
      <c r="B29" s="34"/>
      <c r="C29" s="546"/>
      <c r="D29" s="773"/>
      <c r="E29" s="35"/>
      <c r="F29" s="776"/>
      <c r="G29" s="58"/>
      <c r="H29" s="58"/>
      <c r="I29" s="58"/>
      <c r="J29" s="775"/>
      <c r="K29" s="33"/>
      <c r="L29" s="30"/>
      <c r="M29" s="780">
        <f t="shared" si="1"/>
        <v>0</v>
      </c>
      <c r="N29" s="30"/>
      <c r="O29" s="30"/>
      <c r="R29" s="30"/>
      <c r="S29" s="30"/>
      <c r="T29" s="30"/>
      <c r="U29" s="30"/>
      <c r="V29" s="30"/>
      <c r="W29" s="30"/>
      <c r="X29" s="30"/>
      <c r="Y29" s="30"/>
      <c r="Z29" s="30"/>
      <c r="AA29" s="30"/>
    </row>
    <row r="30" spans="1:27" ht="12.75" customHeight="1" x14ac:dyDescent="0.2">
      <c r="A30" s="30"/>
      <c r="B30" s="34"/>
      <c r="C30" s="546"/>
      <c r="D30" s="773"/>
      <c r="E30" s="35"/>
      <c r="F30" s="776"/>
      <c r="G30" s="58"/>
      <c r="H30" s="58"/>
      <c r="I30" s="58"/>
      <c r="J30" s="775"/>
      <c r="K30" s="33"/>
      <c r="L30" s="30"/>
      <c r="M30" s="780">
        <f t="shared" si="1"/>
        <v>0</v>
      </c>
      <c r="N30" s="30"/>
      <c r="O30" s="30"/>
      <c r="R30" s="30"/>
      <c r="S30" s="30"/>
      <c r="T30" s="30"/>
      <c r="U30" s="30"/>
      <c r="V30" s="30"/>
      <c r="W30" s="30"/>
      <c r="X30" s="30"/>
      <c r="Y30" s="30"/>
      <c r="Z30" s="30"/>
      <c r="AA30" s="30"/>
    </row>
    <row r="31" spans="1:27" ht="12.75" customHeight="1" x14ac:dyDescent="0.2">
      <c r="A31" s="30"/>
      <c r="B31" s="34"/>
      <c r="C31" s="546"/>
      <c r="D31" s="773"/>
      <c r="E31" s="35"/>
      <c r="F31" s="776"/>
      <c r="G31" s="58"/>
      <c r="H31" s="58"/>
      <c r="I31" s="58"/>
      <c r="J31" s="775"/>
      <c r="K31" s="33"/>
      <c r="L31" s="30"/>
      <c r="M31" s="780">
        <f t="shared" si="1"/>
        <v>0</v>
      </c>
      <c r="N31" s="30"/>
      <c r="O31" s="30"/>
      <c r="R31" s="30"/>
      <c r="S31" s="30"/>
      <c r="T31" s="30"/>
      <c r="U31" s="30"/>
      <c r="V31" s="30"/>
      <c r="W31" s="30"/>
      <c r="X31" s="30"/>
      <c r="Y31" s="30"/>
      <c r="Z31" s="30"/>
      <c r="AA31" s="30"/>
    </row>
    <row r="32" spans="1:27" ht="12.75" customHeight="1" x14ac:dyDescent="0.2">
      <c r="A32" s="30"/>
      <c r="B32" s="34"/>
      <c r="C32" s="546"/>
      <c r="D32" s="773"/>
      <c r="E32" s="35"/>
      <c r="F32" s="776"/>
      <c r="G32" s="58"/>
      <c r="H32" s="58"/>
      <c r="I32" s="58"/>
      <c r="J32" s="775"/>
      <c r="K32" s="33"/>
      <c r="L32" s="30"/>
      <c r="M32" s="780">
        <f t="shared" si="1"/>
        <v>0</v>
      </c>
      <c r="N32" s="30"/>
      <c r="O32" s="30"/>
      <c r="R32" s="30"/>
      <c r="S32" s="30"/>
      <c r="T32" s="30"/>
      <c r="U32" s="30"/>
      <c r="V32" s="30"/>
      <c r="W32" s="30"/>
      <c r="X32" s="30"/>
      <c r="Y32" s="30"/>
      <c r="Z32" s="30"/>
      <c r="AA32" s="30"/>
    </row>
    <row r="33" spans="1:27" ht="12.75" customHeight="1" x14ac:dyDescent="0.2">
      <c r="A33" s="30"/>
      <c r="B33" s="34"/>
      <c r="C33" s="546"/>
      <c r="D33" s="773"/>
      <c r="E33" s="35"/>
      <c r="F33" s="776"/>
      <c r="G33" s="58"/>
      <c r="H33" s="58"/>
      <c r="I33" s="58"/>
      <c r="J33" s="775"/>
      <c r="K33" s="33"/>
      <c r="L33" s="30"/>
      <c r="M33" s="780">
        <f t="shared" si="1"/>
        <v>0</v>
      </c>
      <c r="N33" s="30"/>
      <c r="O33" s="30"/>
      <c r="R33" s="30"/>
      <c r="S33" s="30"/>
      <c r="T33" s="30"/>
      <c r="U33" s="30"/>
      <c r="V33" s="30"/>
      <c r="W33" s="30"/>
      <c r="X33" s="30"/>
      <c r="Y33" s="30"/>
      <c r="Z33" s="30"/>
      <c r="AA33" s="30"/>
    </row>
    <row r="34" spans="1:27" ht="12.75" customHeight="1" thickBot="1" x14ac:dyDescent="0.25">
      <c r="A34" s="30"/>
      <c r="B34" s="23"/>
      <c r="C34" s="548"/>
      <c r="D34" s="777"/>
      <c r="E34" s="24"/>
      <c r="F34" s="778"/>
      <c r="G34" s="1020"/>
      <c r="H34" s="1020"/>
      <c r="I34" s="1020"/>
      <c r="J34" s="779"/>
      <c r="K34" s="33"/>
      <c r="L34" s="30"/>
      <c r="M34" s="780">
        <f t="shared" si="1"/>
        <v>0</v>
      </c>
      <c r="N34" s="30"/>
      <c r="O34" s="30"/>
      <c r="R34" s="30"/>
      <c r="S34" s="30"/>
      <c r="T34" s="30"/>
      <c r="U34" s="30"/>
      <c r="V34" s="30"/>
      <c r="W34" s="30"/>
      <c r="X34" s="30"/>
      <c r="Y34" s="30"/>
      <c r="Z34" s="30"/>
      <c r="AA34" s="30"/>
    </row>
    <row r="35" spans="1:27" ht="7.5" customHeight="1" thickBot="1" x14ac:dyDescent="0.25">
      <c r="A35" s="30"/>
      <c r="B35" s="30"/>
      <c r="C35" s="30"/>
      <c r="D35" s="30"/>
      <c r="E35" s="30"/>
      <c r="F35" s="30"/>
      <c r="G35" s="30"/>
      <c r="H35" s="30"/>
      <c r="I35" s="30"/>
      <c r="J35" s="30"/>
      <c r="K35" s="30"/>
      <c r="L35" s="30"/>
      <c r="N35" s="30"/>
      <c r="O35" s="30"/>
      <c r="R35" s="30"/>
      <c r="S35" s="30"/>
      <c r="T35" s="30"/>
      <c r="U35" s="30"/>
      <c r="V35" s="30"/>
      <c r="W35" s="30"/>
      <c r="X35" s="30"/>
      <c r="Y35" s="30"/>
      <c r="Z35" s="30"/>
      <c r="AA35" s="30"/>
    </row>
    <row r="36" spans="1:27" ht="13.5" thickBot="1" x14ac:dyDescent="0.25">
      <c r="A36" s="30"/>
      <c r="B36" s="30"/>
      <c r="C36" s="30"/>
      <c r="D36" s="30"/>
      <c r="E36" s="30"/>
      <c r="F36" s="30"/>
      <c r="G36" s="30"/>
      <c r="H36" s="30"/>
      <c r="I36" s="30"/>
      <c r="J36" s="30"/>
      <c r="K36" s="30"/>
      <c r="L36" s="30"/>
      <c r="M36" s="781" t="e">
        <f>ROUNDUP(AVERAGEIF(M5:M34,"&gt;0"),1)</f>
        <v>#DIV/0!</v>
      </c>
      <c r="N36" s="1626" t="s">
        <v>925</v>
      </c>
      <c r="O36" s="1627"/>
      <c r="P36" s="1627"/>
      <c r="R36" s="30"/>
      <c r="S36" s="30"/>
      <c r="T36" s="30"/>
      <c r="U36" s="30"/>
      <c r="V36" s="30"/>
      <c r="W36" s="30"/>
      <c r="X36" s="30"/>
      <c r="Y36" s="30"/>
      <c r="Z36" s="30"/>
      <c r="AA36" s="30"/>
    </row>
    <row r="37" spans="1:27" x14ac:dyDescent="0.2">
      <c r="A37" s="30"/>
      <c r="B37" s="30"/>
      <c r="C37" s="30"/>
      <c r="D37" s="30"/>
      <c r="E37" s="30"/>
      <c r="F37" s="30"/>
      <c r="G37" s="30"/>
      <c r="H37" s="30"/>
      <c r="I37" s="30"/>
      <c r="J37" s="30"/>
      <c r="K37" s="30"/>
      <c r="L37" s="30"/>
      <c r="M37" s="1113" t="e">
        <f>ROUNDUP(AVERAGEIF(G5:G34,"&gt;0"),1)</f>
        <v>#DIV/0!</v>
      </c>
      <c r="N37" s="1114" t="s">
        <v>923</v>
      </c>
      <c r="O37" s="1074"/>
      <c r="P37" s="1074"/>
      <c r="R37" s="30"/>
      <c r="S37" s="30"/>
      <c r="T37" s="30"/>
      <c r="U37" s="30"/>
      <c r="V37" s="30"/>
      <c r="W37" s="30"/>
      <c r="X37" s="30"/>
      <c r="Y37" s="30"/>
      <c r="Z37" s="30"/>
      <c r="AA37" s="30"/>
    </row>
    <row r="38" spans="1:27" x14ac:dyDescent="0.2">
      <c r="A38" s="30"/>
      <c r="B38" s="30"/>
      <c r="C38" s="30"/>
      <c r="D38" s="30"/>
      <c r="E38" s="30"/>
      <c r="F38" s="30"/>
      <c r="G38" s="30"/>
      <c r="H38" s="30"/>
      <c r="I38" s="30"/>
      <c r="J38" s="30"/>
      <c r="K38" s="30"/>
      <c r="L38" s="30"/>
      <c r="M38" s="1113" t="e">
        <f>ROUNDUP(AVERAGEIF(H5:H34,"&gt;0"),1)</f>
        <v>#DIV/0!</v>
      </c>
      <c r="N38" s="1114" t="s">
        <v>924</v>
      </c>
      <c r="O38" s="1074"/>
      <c r="P38" s="1074"/>
      <c r="R38" s="30"/>
      <c r="S38" s="30"/>
      <c r="T38" s="30"/>
      <c r="U38" s="30"/>
      <c r="V38" s="30"/>
      <c r="W38" s="30"/>
      <c r="X38" s="30"/>
      <c r="Y38" s="30"/>
      <c r="Z38" s="30"/>
      <c r="AA38" s="30"/>
    </row>
    <row r="39" spans="1:27" x14ac:dyDescent="0.2">
      <c r="A39" s="30"/>
      <c r="B39" s="30"/>
      <c r="C39" s="30"/>
      <c r="D39" s="30"/>
      <c r="E39" s="30"/>
      <c r="F39" s="30"/>
      <c r="G39" s="30"/>
      <c r="H39" s="30"/>
      <c r="I39" s="30"/>
      <c r="J39" s="30"/>
      <c r="K39" s="30"/>
      <c r="L39" s="30"/>
      <c r="M39" s="171" t="s">
        <v>95</v>
      </c>
      <c r="N39" s="30"/>
      <c r="O39" s="30"/>
      <c r="P39" s="30"/>
      <c r="Q39" s="30"/>
      <c r="R39" s="30"/>
      <c r="S39" s="30"/>
      <c r="T39" s="30"/>
      <c r="U39" s="30"/>
      <c r="V39" s="30"/>
      <c r="W39" s="30"/>
      <c r="X39" s="30"/>
      <c r="Y39" s="30"/>
      <c r="Z39" s="30"/>
      <c r="AA39" s="30"/>
    </row>
    <row r="40" spans="1:27" x14ac:dyDescent="0.2">
      <c r="A40" s="30"/>
      <c r="B40" s="30"/>
      <c r="C40" s="30"/>
      <c r="D40" s="30"/>
      <c r="E40" s="30"/>
      <c r="F40" s="30"/>
      <c r="G40" s="30"/>
      <c r="H40" s="30"/>
      <c r="I40" s="30"/>
      <c r="J40" s="30"/>
      <c r="K40" s="30"/>
      <c r="L40" s="30"/>
      <c r="M40" s="174" t="s">
        <v>39</v>
      </c>
      <c r="N40" s="184" t="s">
        <v>4</v>
      </c>
      <c r="O40" s="30"/>
      <c r="P40" s="30"/>
      <c r="Q40" s="30"/>
      <c r="R40" s="30"/>
      <c r="S40" s="30"/>
      <c r="T40" s="30"/>
      <c r="U40" s="30"/>
      <c r="V40" s="30"/>
      <c r="W40" s="30"/>
      <c r="X40" s="30"/>
      <c r="Y40" s="30"/>
      <c r="Z40" s="30"/>
      <c r="AA40" s="30"/>
    </row>
    <row r="41" spans="1:27" x14ac:dyDescent="0.2">
      <c r="A41" s="30"/>
      <c r="B41" s="30"/>
      <c r="C41" s="30"/>
      <c r="D41" s="30"/>
      <c r="E41" s="30"/>
      <c r="F41" s="30"/>
      <c r="G41" s="30"/>
      <c r="H41" s="30"/>
      <c r="I41" s="30"/>
      <c r="J41" s="30"/>
      <c r="K41" s="30"/>
      <c r="L41" s="30"/>
      <c r="M41" s="90"/>
      <c r="N41" s="181"/>
      <c r="O41" s="30"/>
      <c r="P41" s="30"/>
      <c r="Q41" s="30"/>
      <c r="R41" s="30"/>
      <c r="S41" s="30"/>
      <c r="T41" s="30"/>
      <c r="U41" s="30"/>
      <c r="V41" s="30"/>
      <c r="W41" s="30"/>
      <c r="X41" s="30"/>
      <c r="Y41" s="30"/>
      <c r="Z41" s="30"/>
      <c r="AA41" s="30"/>
    </row>
    <row r="42" spans="1:27" x14ac:dyDescent="0.2">
      <c r="A42" s="30"/>
      <c r="B42" s="30"/>
      <c r="C42" s="30"/>
      <c r="D42" s="30"/>
      <c r="E42" s="30"/>
      <c r="F42" s="30"/>
      <c r="G42" s="30"/>
      <c r="H42" s="30"/>
      <c r="I42" s="30"/>
      <c r="J42" s="30"/>
      <c r="K42" s="30"/>
      <c r="L42" s="30"/>
      <c r="M42" s="90" t="s">
        <v>40</v>
      </c>
      <c r="N42" s="181" t="s">
        <v>26</v>
      </c>
      <c r="O42" s="30"/>
      <c r="P42" s="30"/>
      <c r="Q42" s="30"/>
      <c r="R42" s="30"/>
      <c r="S42" s="30"/>
      <c r="T42" s="30"/>
      <c r="U42" s="30"/>
      <c r="V42" s="30"/>
      <c r="W42" s="30"/>
      <c r="X42" s="30"/>
      <c r="Y42" s="30"/>
      <c r="Z42" s="30"/>
      <c r="AA42" s="30"/>
    </row>
    <row r="43" spans="1:27" x14ac:dyDescent="0.2">
      <c r="A43" s="30"/>
      <c r="B43" s="30"/>
      <c r="C43" s="30"/>
      <c r="D43" s="30"/>
      <c r="E43" s="30"/>
      <c r="F43" s="30"/>
      <c r="G43" s="30"/>
      <c r="H43" s="30"/>
      <c r="I43" s="30"/>
      <c r="J43" s="30"/>
      <c r="K43" s="30"/>
      <c r="L43" s="30"/>
      <c r="M43" s="90" t="s">
        <v>41</v>
      </c>
      <c r="N43" s="181" t="s">
        <v>109</v>
      </c>
      <c r="O43" s="30"/>
      <c r="P43" s="30"/>
      <c r="Q43" s="30"/>
      <c r="R43" s="30"/>
      <c r="S43" s="30"/>
      <c r="T43" s="30"/>
      <c r="U43" s="30"/>
      <c r="V43" s="30"/>
      <c r="W43" s="30"/>
      <c r="X43" s="30"/>
      <c r="Y43" s="30"/>
      <c r="Z43" s="30"/>
      <c r="AA43" s="30"/>
    </row>
    <row r="44" spans="1:27" x14ac:dyDescent="0.2">
      <c r="A44" s="30"/>
      <c r="B44" s="30"/>
      <c r="C44" s="30"/>
      <c r="D44" s="30"/>
      <c r="E44" s="30"/>
      <c r="F44" s="30"/>
      <c r="G44" s="30"/>
      <c r="H44" s="30"/>
      <c r="I44" s="30"/>
      <c r="J44" s="30"/>
      <c r="K44" s="30"/>
      <c r="L44" s="30"/>
      <c r="M44" s="90" t="s">
        <v>42</v>
      </c>
      <c r="N44" s="91"/>
      <c r="O44" s="30"/>
      <c r="P44" s="30"/>
      <c r="Q44" s="30"/>
      <c r="R44" s="30"/>
      <c r="S44" s="30"/>
      <c r="T44" s="30"/>
      <c r="U44" s="30"/>
      <c r="V44" s="30"/>
      <c r="W44" s="30"/>
      <c r="X44" s="30"/>
      <c r="Y44" s="30"/>
      <c r="Z44" s="30"/>
      <c r="AA44" s="30"/>
    </row>
    <row r="45" spans="1:27" x14ac:dyDescent="0.2">
      <c r="A45" s="30"/>
      <c r="B45" s="30"/>
      <c r="C45" s="30"/>
      <c r="D45" s="30"/>
      <c r="E45" s="30"/>
      <c r="F45" s="30"/>
      <c r="G45" s="30"/>
      <c r="H45" s="30"/>
      <c r="I45" s="30"/>
      <c r="J45" s="30"/>
      <c r="K45" s="30"/>
      <c r="L45" s="30"/>
      <c r="M45" s="90" t="s">
        <v>43</v>
      </c>
      <c r="N45" s="91"/>
      <c r="O45" s="30"/>
      <c r="P45" s="30"/>
      <c r="Q45" s="30"/>
      <c r="R45" s="30"/>
      <c r="S45" s="30"/>
      <c r="T45" s="30"/>
      <c r="U45" s="30"/>
      <c r="V45" s="30"/>
      <c r="W45" s="30"/>
      <c r="X45" s="30"/>
      <c r="Y45" s="30"/>
      <c r="Z45" s="30"/>
      <c r="AA45" s="30"/>
    </row>
    <row r="46" spans="1:27" x14ac:dyDescent="0.2">
      <c r="A46" s="30"/>
      <c r="B46" s="30"/>
      <c r="C46" s="30"/>
      <c r="D46" s="30"/>
      <c r="E46" s="30"/>
      <c r="F46" s="30"/>
      <c r="G46" s="30"/>
      <c r="H46" s="30"/>
      <c r="I46" s="30"/>
      <c r="J46" s="30"/>
      <c r="K46" s="30"/>
      <c r="L46" s="30"/>
      <c r="M46" s="90" t="s">
        <v>171</v>
      </c>
      <c r="N46" s="82"/>
      <c r="O46" s="30"/>
      <c r="P46" s="30"/>
      <c r="Q46" s="30"/>
      <c r="R46" s="30"/>
      <c r="S46" s="30"/>
      <c r="T46" s="30"/>
      <c r="U46" s="30"/>
      <c r="V46" s="30"/>
      <c r="W46" s="30"/>
      <c r="X46" s="30"/>
      <c r="Y46" s="30"/>
      <c r="Z46" s="30"/>
      <c r="AA46" s="30"/>
    </row>
    <row r="47" spans="1:27" x14ac:dyDescent="0.2">
      <c r="A47" s="30"/>
      <c r="B47" s="30"/>
      <c r="C47" s="30"/>
      <c r="D47" s="30"/>
      <c r="E47" s="30"/>
      <c r="F47" s="30"/>
      <c r="G47" s="30"/>
      <c r="H47" s="30"/>
      <c r="I47" s="30"/>
      <c r="J47" s="30"/>
      <c r="K47" s="30"/>
      <c r="L47" s="30"/>
      <c r="M47" s="30"/>
      <c r="N47" s="30"/>
      <c r="O47" s="30"/>
      <c r="P47" s="30"/>
      <c r="Q47" s="30"/>
      <c r="R47" s="30"/>
      <c r="S47" s="30"/>
      <c r="T47" s="30"/>
      <c r="U47" s="30"/>
      <c r="V47" s="30"/>
      <c r="W47" s="30"/>
      <c r="X47" s="30"/>
      <c r="Y47" s="30"/>
      <c r="Z47" s="30"/>
      <c r="AA47" s="30"/>
    </row>
    <row r="48" spans="1:27" x14ac:dyDescent="0.2">
      <c r="A48" s="30"/>
      <c r="B48" s="30"/>
      <c r="C48" s="30"/>
      <c r="D48" s="30"/>
      <c r="E48" s="30"/>
      <c r="F48" s="30"/>
      <c r="G48" s="30"/>
      <c r="H48" s="30"/>
      <c r="I48" s="30"/>
      <c r="J48" s="30"/>
      <c r="K48" s="30"/>
      <c r="L48" s="30"/>
      <c r="M48" s="30"/>
      <c r="N48" s="30"/>
      <c r="O48" s="30"/>
      <c r="P48" s="30"/>
      <c r="Q48" s="30"/>
      <c r="R48" s="30"/>
      <c r="S48" s="30"/>
      <c r="T48" s="30"/>
      <c r="U48" s="30"/>
      <c r="V48" s="30"/>
      <c r="W48" s="30"/>
      <c r="X48" s="30"/>
      <c r="Y48" s="30"/>
      <c r="Z48" s="30"/>
      <c r="AA48" s="30"/>
    </row>
    <row r="49" spans="1:27" x14ac:dyDescent="0.2">
      <c r="A49" s="30"/>
      <c r="B49" s="30"/>
      <c r="C49" s="30"/>
      <c r="D49" s="30"/>
      <c r="E49" s="30"/>
      <c r="F49" s="30"/>
      <c r="G49" s="30"/>
      <c r="H49" s="30"/>
      <c r="I49" s="30"/>
      <c r="J49" s="30"/>
      <c r="K49" s="30"/>
      <c r="L49" s="30"/>
      <c r="M49" s="30"/>
      <c r="N49" s="30"/>
      <c r="O49" s="30"/>
      <c r="P49" s="30"/>
      <c r="Q49" s="30"/>
      <c r="R49" s="30"/>
      <c r="S49" s="30"/>
      <c r="T49" s="30"/>
      <c r="U49" s="30"/>
      <c r="V49" s="30"/>
      <c r="W49" s="30"/>
      <c r="X49" s="30"/>
      <c r="Y49" s="30"/>
      <c r="Z49" s="30"/>
      <c r="AA49" s="30"/>
    </row>
    <row r="50" spans="1:27" x14ac:dyDescent="0.2">
      <c r="A50" s="30"/>
      <c r="B50" s="30"/>
      <c r="C50" s="30"/>
      <c r="D50" s="30"/>
      <c r="E50" s="30"/>
      <c r="F50" s="30"/>
      <c r="G50" s="30"/>
      <c r="H50" s="30"/>
      <c r="I50" s="30"/>
      <c r="J50" s="30"/>
      <c r="K50" s="30"/>
      <c r="L50" s="30"/>
      <c r="M50" s="30"/>
      <c r="N50" s="30"/>
      <c r="O50" s="30"/>
      <c r="P50" s="30"/>
      <c r="Q50" s="30"/>
      <c r="R50" s="30"/>
      <c r="S50" s="30"/>
      <c r="T50" s="30"/>
      <c r="U50" s="30"/>
      <c r="V50" s="30"/>
      <c r="W50" s="30"/>
      <c r="X50" s="30"/>
      <c r="Y50" s="30"/>
      <c r="Z50" s="30"/>
      <c r="AA50" s="30"/>
    </row>
    <row r="51" spans="1:27" x14ac:dyDescent="0.2">
      <c r="A51" s="30"/>
      <c r="B51" s="30"/>
      <c r="C51" s="30"/>
      <c r="D51" s="30"/>
      <c r="E51" s="30"/>
      <c r="F51" s="30"/>
      <c r="G51" s="30"/>
      <c r="H51" s="30"/>
      <c r="I51" s="30"/>
      <c r="J51" s="30"/>
      <c r="K51" s="30"/>
      <c r="L51" s="30"/>
      <c r="M51" s="30"/>
      <c r="N51" s="30"/>
      <c r="O51" s="30"/>
      <c r="P51" s="30"/>
      <c r="Q51" s="30"/>
      <c r="R51" s="30"/>
      <c r="S51" s="30"/>
      <c r="T51" s="30"/>
      <c r="U51" s="30"/>
      <c r="V51" s="30"/>
      <c r="W51" s="30"/>
      <c r="X51" s="30"/>
      <c r="Y51" s="30"/>
      <c r="Z51" s="30"/>
      <c r="AA51" s="30"/>
    </row>
    <row r="52" spans="1:27" x14ac:dyDescent="0.2">
      <c r="A52" s="30"/>
      <c r="B52" s="30"/>
      <c r="C52" s="30"/>
      <c r="D52" s="30"/>
      <c r="E52" s="30"/>
      <c r="F52" s="30"/>
      <c r="G52" s="30"/>
      <c r="H52" s="30"/>
      <c r="I52" s="30"/>
      <c r="J52" s="30"/>
      <c r="K52" s="30"/>
      <c r="L52" s="30"/>
      <c r="M52" s="30"/>
      <c r="N52" s="30"/>
      <c r="O52" s="30"/>
      <c r="P52" s="30"/>
      <c r="Q52" s="30"/>
      <c r="R52" s="30"/>
      <c r="S52" s="30"/>
      <c r="T52" s="30"/>
      <c r="U52" s="30"/>
      <c r="V52" s="30"/>
      <c r="W52" s="30"/>
      <c r="X52" s="30"/>
      <c r="Y52" s="30"/>
      <c r="Z52" s="30"/>
      <c r="AA52" s="30"/>
    </row>
    <row r="53" spans="1:27" x14ac:dyDescent="0.2">
      <c r="A53" s="30"/>
      <c r="B53" s="30"/>
      <c r="C53" s="30"/>
      <c r="D53" s="30"/>
      <c r="E53" s="30"/>
      <c r="F53" s="30"/>
      <c r="G53" s="30"/>
      <c r="H53" s="30"/>
      <c r="I53" s="30"/>
      <c r="J53" s="30"/>
      <c r="K53" s="30"/>
      <c r="L53" s="30"/>
      <c r="M53" s="30"/>
      <c r="N53" s="30"/>
      <c r="O53" s="30"/>
      <c r="P53" s="30"/>
      <c r="Q53" s="30"/>
      <c r="R53" s="30"/>
      <c r="S53" s="30"/>
      <c r="T53" s="30"/>
      <c r="U53" s="30"/>
      <c r="V53" s="30"/>
      <c r="W53" s="30"/>
      <c r="X53" s="30"/>
      <c r="Y53" s="30"/>
      <c r="Z53" s="30"/>
      <c r="AA53" s="30"/>
    </row>
    <row r="54" spans="1:27" x14ac:dyDescent="0.2">
      <c r="A54" s="30"/>
      <c r="B54" s="30"/>
      <c r="C54" s="30"/>
      <c r="D54" s="30"/>
      <c r="E54" s="30"/>
      <c r="F54" s="30"/>
      <c r="G54" s="30"/>
      <c r="H54" s="30"/>
      <c r="I54" s="30"/>
      <c r="J54" s="30"/>
      <c r="K54" s="30"/>
      <c r="L54" s="30"/>
      <c r="M54" s="30"/>
      <c r="N54" s="30"/>
      <c r="O54" s="30"/>
      <c r="P54" s="30"/>
      <c r="Q54" s="30"/>
      <c r="R54" s="30"/>
      <c r="S54" s="30"/>
      <c r="T54" s="30"/>
      <c r="U54" s="30"/>
      <c r="V54" s="30"/>
      <c r="W54" s="30"/>
      <c r="X54" s="30"/>
      <c r="Y54" s="30"/>
      <c r="Z54" s="30"/>
      <c r="AA54" s="30"/>
    </row>
    <row r="55" spans="1:27" x14ac:dyDescent="0.2">
      <c r="A55" s="30"/>
      <c r="B55" s="30"/>
      <c r="C55" s="30"/>
      <c r="D55" s="30"/>
      <c r="E55" s="30"/>
      <c r="F55" s="30"/>
      <c r="G55" s="30"/>
      <c r="H55" s="30"/>
      <c r="I55" s="30"/>
      <c r="J55" s="30"/>
      <c r="K55" s="30"/>
      <c r="L55" s="30"/>
      <c r="M55" s="30"/>
      <c r="N55" s="30"/>
      <c r="O55" s="30"/>
      <c r="P55" s="30"/>
      <c r="Q55" s="30"/>
      <c r="R55" s="30"/>
      <c r="S55" s="30"/>
      <c r="T55" s="30"/>
      <c r="U55" s="30"/>
      <c r="V55" s="30"/>
      <c r="W55" s="30"/>
      <c r="X55" s="30"/>
      <c r="Y55" s="30"/>
      <c r="Z55" s="30"/>
      <c r="AA55" s="30"/>
    </row>
    <row r="56" spans="1:27" x14ac:dyDescent="0.2">
      <c r="A56" s="30"/>
      <c r="B56" s="30"/>
      <c r="C56" s="30"/>
      <c r="D56" s="30"/>
      <c r="E56" s="30"/>
      <c r="F56" s="30"/>
      <c r="G56" s="30"/>
      <c r="H56" s="30"/>
      <c r="I56" s="30"/>
      <c r="J56" s="30"/>
      <c r="K56" s="30"/>
      <c r="L56" s="30"/>
      <c r="M56" s="30"/>
      <c r="N56" s="30"/>
      <c r="O56" s="30"/>
      <c r="P56" s="30"/>
      <c r="Q56" s="30"/>
      <c r="R56" s="30"/>
      <c r="S56" s="30"/>
      <c r="T56" s="30"/>
      <c r="U56" s="30"/>
      <c r="V56" s="30"/>
      <c r="W56" s="30"/>
      <c r="X56" s="30"/>
      <c r="Y56" s="30"/>
      <c r="Z56" s="30"/>
      <c r="AA56" s="30"/>
    </row>
    <row r="57" spans="1:27" x14ac:dyDescent="0.2">
      <c r="A57" s="30"/>
      <c r="B57" s="30"/>
      <c r="C57" s="30"/>
      <c r="D57" s="30"/>
      <c r="E57" s="30"/>
      <c r="F57" s="30"/>
      <c r="G57" s="30"/>
      <c r="H57" s="30"/>
      <c r="I57" s="30"/>
      <c r="J57" s="30"/>
      <c r="K57" s="30"/>
      <c r="L57" s="30"/>
      <c r="M57" s="30"/>
      <c r="N57" s="30"/>
      <c r="O57" s="30"/>
      <c r="P57" s="30"/>
      <c r="Q57" s="30"/>
      <c r="R57" s="30"/>
      <c r="S57" s="30"/>
      <c r="T57" s="30"/>
      <c r="U57" s="30"/>
      <c r="V57" s="30"/>
      <c r="W57" s="30"/>
      <c r="X57" s="30"/>
      <c r="Y57" s="30"/>
      <c r="Z57" s="30"/>
      <c r="AA57" s="30"/>
    </row>
    <row r="58" spans="1:27" x14ac:dyDescent="0.2">
      <c r="A58" s="30"/>
      <c r="B58" s="30"/>
      <c r="C58" s="30"/>
      <c r="D58" s="30"/>
      <c r="E58" s="30"/>
      <c r="F58" s="30"/>
      <c r="G58" s="30"/>
      <c r="H58" s="30"/>
      <c r="I58" s="30"/>
      <c r="J58" s="30"/>
      <c r="K58" s="30"/>
      <c r="L58" s="30"/>
      <c r="M58" s="30"/>
      <c r="N58" s="30"/>
      <c r="O58" s="30"/>
      <c r="P58" s="30"/>
      <c r="Q58" s="30"/>
      <c r="R58" s="30"/>
      <c r="S58" s="30"/>
      <c r="T58" s="30"/>
      <c r="U58" s="30"/>
      <c r="V58" s="30"/>
      <c r="W58" s="30"/>
      <c r="X58" s="30"/>
      <c r="Y58" s="30"/>
      <c r="Z58" s="30"/>
      <c r="AA58" s="30"/>
    </row>
    <row r="59" spans="1:27" x14ac:dyDescent="0.2">
      <c r="A59" s="30"/>
      <c r="B59" s="30"/>
      <c r="C59" s="30"/>
      <c r="D59" s="30"/>
      <c r="E59" s="30"/>
      <c r="F59" s="30"/>
      <c r="G59" s="30"/>
      <c r="H59" s="30"/>
      <c r="I59" s="30"/>
      <c r="J59" s="30"/>
      <c r="K59" s="30"/>
      <c r="L59" s="30"/>
      <c r="M59" s="30"/>
      <c r="N59" s="30"/>
      <c r="O59" s="30"/>
      <c r="P59" s="30"/>
      <c r="Q59" s="30"/>
      <c r="R59" s="30"/>
      <c r="S59" s="30"/>
      <c r="T59" s="30"/>
      <c r="U59" s="30"/>
      <c r="V59" s="30"/>
      <c r="W59" s="30"/>
      <c r="X59" s="30"/>
      <c r="Y59" s="30"/>
      <c r="Z59" s="30"/>
      <c r="AA59" s="30"/>
    </row>
  </sheetData>
  <mergeCells count="12">
    <mergeCell ref="M2:M4"/>
    <mergeCell ref="N36:P36"/>
    <mergeCell ref="M1:N1"/>
    <mergeCell ref="A1:K1"/>
    <mergeCell ref="J3:J4"/>
    <mergeCell ref="D3:D4"/>
    <mergeCell ref="G3:I3"/>
    <mergeCell ref="B3:B4"/>
    <mergeCell ref="C3:C4"/>
    <mergeCell ref="E3:E4"/>
    <mergeCell ref="F3:F4"/>
    <mergeCell ref="B2:J2"/>
  </mergeCells>
  <phoneticPr fontId="1" type="noConversion"/>
  <dataValidations disablePrompts="1" count="2">
    <dataValidation type="list" showInputMessage="1" showErrorMessage="1" sqref="D5:D34">
      <formula1>$M$41:$M$46</formula1>
    </dataValidation>
    <dataValidation type="list" showInputMessage="1" showErrorMessage="1" sqref="E5:E34">
      <formula1>$N$41:$N$43</formula1>
    </dataValidation>
  </dataValidations>
  <printOptions horizontalCentered="1"/>
  <pageMargins left="0.35" right="0.35" top="0.4" bottom="0.4" header="0.5" footer="0.5"/>
  <pageSetup firstPageNumber="31" orientation="portrait" useFirstPageNumber="1" r:id="rId1"/>
  <headerFooter alignWithMargins="0"/>
</worksheet>
</file>

<file path=xl/worksheets/sheet2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tabColor rgb="FF00B0F0"/>
    <pageSetUpPr fitToPage="1"/>
  </sheetPr>
  <dimension ref="A1:AV160"/>
  <sheetViews>
    <sheetView showGridLines="0" showZeros="0" zoomScale="75" zoomScaleNormal="75" workbookViewId="0">
      <pane xSplit="4" ySplit="6" topLeftCell="E7" activePane="bottomRight" state="frozen"/>
      <selection pane="topRight" activeCell="E1" sqref="E1"/>
      <selection pane="bottomLeft" activeCell="A7" sqref="A7"/>
      <selection pane="bottomRight" activeCell="K1" sqref="K1:T2"/>
    </sheetView>
  </sheetViews>
  <sheetFormatPr defaultRowHeight="15" x14ac:dyDescent="0.2"/>
  <cols>
    <col min="1" max="1" width="1.7109375" style="1" customWidth="1"/>
    <col min="2" max="2" width="9.42578125" style="1" customWidth="1"/>
    <col min="3" max="3" width="11.5703125" style="9" bestFit="1" customWidth="1"/>
    <col min="4" max="4" width="63.140625" style="1" customWidth="1"/>
    <col min="5" max="5" width="31.7109375" style="1" customWidth="1"/>
    <col min="6" max="6" width="7.7109375" style="1" customWidth="1"/>
    <col min="7" max="7" width="8.28515625" style="1" customWidth="1"/>
    <col min="8" max="8" width="44.7109375" style="1" bestFit="1" customWidth="1"/>
    <col min="9" max="9" width="1.7109375" style="1" customWidth="1"/>
    <col min="10" max="10" width="4.7109375" style="1" customWidth="1"/>
    <col min="11" max="11" width="47.140625" style="1" bestFit="1" customWidth="1"/>
    <col min="12" max="12" width="8" style="1" bestFit="1" customWidth="1"/>
    <col min="13" max="13" width="12.7109375" style="1" bestFit="1" customWidth="1"/>
    <col min="14" max="14" width="13.42578125" style="1" customWidth="1"/>
    <col min="15" max="15" width="14.140625" style="1" customWidth="1"/>
    <col min="16" max="16" width="10.5703125" style="1" customWidth="1"/>
    <col min="17" max="17" width="18.7109375" style="1" customWidth="1"/>
    <col min="18" max="18" width="13.140625" style="1" bestFit="1" customWidth="1"/>
    <col min="19" max="19" width="9.42578125" style="1" bestFit="1" customWidth="1"/>
    <col min="20" max="20" width="9.140625" style="1"/>
    <col min="21" max="21" width="12.5703125" style="1" bestFit="1" customWidth="1"/>
    <col min="22" max="16384" width="9.140625" style="1"/>
  </cols>
  <sheetData>
    <row r="1" spans="1:48" ht="18" customHeight="1" x14ac:dyDescent="0.2">
      <c r="A1" s="1632" t="str">
        <f>UPPER("Project Quantity Summary Table")</f>
        <v>PROJECT QUANTITY SUMMARY TABLE</v>
      </c>
      <c r="B1" s="1632"/>
      <c r="C1" s="1632"/>
      <c r="D1" s="1632"/>
      <c r="E1" s="1632"/>
      <c r="F1" s="1632"/>
      <c r="G1" s="1632"/>
      <c r="H1" s="1632"/>
      <c r="I1" s="1632"/>
      <c r="J1" s="30"/>
      <c r="K1" s="1318" t="s">
        <v>846</v>
      </c>
      <c r="L1" s="1318"/>
      <c r="M1" s="1318"/>
      <c r="N1" s="1318"/>
      <c r="O1" s="1318"/>
      <c r="P1" s="1318"/>
      <c r="Q1" s="1318"/>
      <c r="R1" s="1318"/>
      <c r="S1" s="1318"/>
      <c r="T1" s="1318"/>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row>
    <row r="2" spans="1:48" ht="6.75" customHeight="1" x14ac:dyDescent="0.2">
      <c r="A2" s="40"/>
      <c r="B2" s="40"/>
      <c r="C2" s="40"/>
      <c r="D2" s="40"/>
      <c r="E2" s="40"/>
      <c r="F2" s="40"/>
      <c r="G2" s="40"/>
      <c r="H2" s="40"/>
      <c r="I2" s="40"/>
      <c r="J2" s="30"/>
      <c r="K2" s="1318"/>
      <c r="L2" s="1318"/>
      <c r="M2" s="1318"/>
      <c r="N2" s="1318"/>
      <c r="O2" s="1318"/>
      <c r="P2" s="1318"/>
      <c r="Q2" s="1318"/>
      <c r="R2" s="1318"/>
      <c r="S2" s="1318"/>
      <c r="T2" s="1318"/>
      <c r="U2" s="30"/>
      <c r="V2" s="30"/>
      <c r="W2" s="30"/>
      <c r="X2" s="30"/>
      <c r="Y2" s="30"/>
      <c r="Z2" s="30"/>
      <c r="AA2" s="30"/>
      <c r="AB2" s="30"/>
      <c r="AC2" s="30"/>
      <c r="AD2" s="30"/>
      <c r="AE2" s="30"/>
      <c r="AF2" s="30"/>
      <c r="AG2" s="30"/>
      <c r="AH2" s="30"/>
      <c r="AI2" s="30"/>
      <c r="AJ2" s="30"/>
      <c r="AK2" s="30"/>
      <c r="AL2" s="30"/>
      <c r="AM2" s="30"/>
      <c r="AN2" s="30"/>
      <c r="AO2" s="30"/>
      <c r="AP2" s="30"/>
      <c r="AQ2" s="30"/>
      <c r="AR2" s="30"/>
      <c r="AS2" s="30"/>
      <c r="AT2" s="30"/>
      <c r="AU2" s="30"/>
      <c r="AV2" s="30"/>
    </row>
    <row r="3" spans="1:48" ht="12.75" customHeight="1" x14ac:dyDescent="0.2">
      <c r="A3" s="40"/>
      <c r="C3" s="304" t="str">
        <f>K3</f>
        <v>Route:</v>
      </c>
      <c r="D3" s="969">
        <f>L3</f>
        <v>0</v>
      </c>
      <c r="E3" s="251" t="str">
        <f>K4</f>
        <v>Des. No.:</v>
      </c>
      <c r="F3" s="1633">
        <f>L4</f>
        <v>0</v>
      </c>
      <c r="G3" s="1633"/>
      <c r="H3" s="556"/>
      <c r="I3" s="40"/>
      <c r="J3" s="30"/>
      <c r="K3" s="304" t="s">
        <v>679</v>
      </c>
      <c r="L3" s="968"/>
      <c r="M3" s="304" t="s">
        <v>680</v>
      </c>
      <c r="N3" s="1631"/>
      <c r="O3" s="1631"/>
      <c r="P3" s="1631"/>
      <c r="Q3" s="1631"/>
      <c r="R3" s="556"/>
      <c r="S3" s="30"/>
      <c r="T3" s="30"/>
      <c r="U3" s="30"/>
      <c r="V3" s="30"/>
      <c r="W3" s="30"/>
      <c r="X3" s="30"/>
      <c r="Y3" s="30"/>
      <c r="Z3" s="30"/>
      <c r="AA3" s="30"/>
      <c r="AB3" s="30"/>
      <c r="AC3" s="30"/>
      <c r="AD3" s="30"/>
      <c r="AE3" s="30"/>
      <c r="AF3" s="30"/>
      <c r="AG3" s="30"/>
      <c r="AH3" s="30"/>
      <c r="AI3" s="30"/>
      <c r="AJ3" s="30"/>
      <c r="AK3" s="30"/>
      <c r="AL3" s="30"/>
      <c r="AM3" s="30"/>
      <c r="AN3" s="30"/>
      <c r="AO3" s="30"/>
      <c r="AP3" s="30"/>
      <c r="AQ3" s="30"/>
      <c r="AR3" s="30"/>
      <c r="AS3" s="30"/>
      <c r="AT3" s="30"/>
      <c r="AU3" s="30"/>
      <c r="AV3" s="30"/>
    </row>
    <row r="4" spans="1:48" ht="12.75" customHeight="1" x14ac:dyDescent="0.2">
      <c r="A4" s="40"/>
      <c r="B4" s="304"/>
      <c r="C4" s="304" t="str">
        <f>M3</f>
        <v>Project Limits:</v>
      </c>
      <c r="D4" s="969">
        <f>N3</f>
        <v>0</v>
      </c>
      <c r="E4" s="304" t="str">
        <f>M4</f>
        <v>Contract No.:</v>
      </c>
      <c r="F4" s="1633">
        <f>N4</f>
        <v>0</v>
      </c>
      <c r="G4" s="1633"/>
      <c r="H4" s="40"/>
      <c r="I4" s="40"/>
      <c r="J4" s="30"/>
      <c r="K4" s="304" t="s">
        <v>681</v>
      </c>
      <c r="L4" s="970"/>
      <c r="M4" s="304" t="s">
        <v>682</v>
      </c>
      <c r="N4" s="968"/>
      <c r="O4" s="556"/>
      <c r="P4" s="556"/>
      <c r="Q4" s="556"/>
      <c r="R4" s="556"/>
      <c r="S4" s="30"/>
      <c r="T4" s="30"/>
      <c r="U4" s="30"/>
      <c r="V4" s="30"/>
      <c r="W4" s="30"/>
      <c r="X4" s="30"/>
      <c r="Y4" s="30"/>
      <c r="Z4" s="30"/>
      <c r="AA4" s="30"/>
      <c r="AB4" s="30"/>
      <c r="AC4" s="30"/>
      <c r="AD4" s="30"/>
      <c r="AE4" s="30"/>
      <c r="AF4" s="30"/>
      <c r="AG4" s="30"/>
      <c r="AH4" s="30"/>
      <c r="AI4" s="30"/>
      <c r="AJ4" s="30"/>
      <c r="AK4" s="30"/>
      <c r="AL4" s="30"/>
      <c r="AM4" s="30"/>
      <c r="AN4" s="30"/>
      <c r="AO4" s="30"/>
      <c r="AP4" s="30"/>
      <c r="AQ4" s="30"/>
      <c r="AR4" s="30"/>
      <c r="AS4" s="30"/>
      <c r="AT4" s="30"/>
      <c r="AU4" s="30"/>
      <c r="AV4" s="30"/>
    </row>
    <row r="5" spans="1:48" ht="6.75" customHeight="1" thickBot="1" x14ac:dyDescent="0.25">
      <c r="A5" s="30"/>
      <c r="B5" s="30"/>
      <c r="C5" s="155"/>
      <c r="D5" s="967"/>
      <c r="E5" s="967"/>
      <c r="F5" s="789"/>
      <c r="G5" s="789"/>
      <c r="H5" s="789"/>
      <c r="I5" s="40"/>
      <c r="J5" s="40"/>
      <c r="K5" s="40"/>
      <c r="L5" s="40"/>
      <c r="M5" s="556"/>
      <c r="N5" s="222"/>
      <c r="O5" s="222"/>
      <c r="P5" s="222"/>
      <c r="Q5" s="222"/>
      <c r="R5" s="222"/>
      <c r="S5" s="222"/>
      <c r="T5" s="222"/>
      <c r="U5" s="222"/>
      <c r="V5" s="222"/>
      <c r="W5" s="30"/>
      <c r="X5" s="30"/>
      <c r="Y5" s="30"/>
      <c r="Z5" s="30"/>
      <c r="AA5" s="30"/>
      <c r="AB5" s="30"/>
      <c r="AC5" s="30"/>
      <c r="AD5" s="30"/>
      <c r="AE5" s="30"/>
      <c r="AF5" s="30"/>
      <c r="AG5" s="30"/>
      <c r="AH5" s="30"/>
      <c r="AI5" s="30"/>
      <c r="AJ5" s="30"/>
      <c r="AK5" s="30"/>
      <c r="AL5" s="30"/>
      <c r="AM5" s="30"/>
      <c r="AN5" s="30"/>
      <c r="AO5" s="30"/>
      <c r="AP5" s="30"/>
      <c r="AQ5" s="30"/>
      <c r="AR5" s="30"/>
      <c r="AS5" s="30"/>
      <c r="AT5" s="30"/>
      <c r="AU5" s="30"/>
      <c r="AV5" s="30"/>
    </row>
    <row r="6" spans="1:48" ht="47.25" customHeight="1" thickBot="1" x14ac:dyDescent="0.25">
      <c r="A6" s="30"/>
      <c r="B6" s="592" t="s">
        <v>676</v>
      </c>
      <c r="C6" s="958" t="s">
        <v>229</v>
      </c>
      <c r="D6" s="782" t="s">
        <v>111</v>
      </c>
      <c r="E6" s="965" t="s">
        <v>328</v>
      </c>
      <c r="F6" s="784" t="s">
        <v>112</v>
      </c>
      <c r="G6" s="783" t="s">
        <v>329</v>
      </c>
      <c r="H6" s="785" t="s">
        <v>87</v>
      </c>
      <c r="I6" s="30"/>
      <c r="J6" s="30"/>
      <c r="K6" s="251" t="s">
        <v>866</v>
      </c>
      <c r="L6" s="1581"/>
      <c r="M6" s="1291"/>
      <c r="N6" s="1318" t="s">
        <v>851</v>
      </c>
      <c r="O6" s="1318"/>
      <c r="P6" s="1318"/>
      <c r="Q6" s="1318"/>
      <c r="R6" s="1318"/>
      <c r="S6" s="30"/>
      <c r="T6" s="30"/>
      <c r="U6" s="30"/>
      <c r="V6" s="30"/>
      <c r="W6" s="30"/>
      <c r="X6" s="30"/>
      <c r="Y6" s="30"/>
      <c r="Z6" s="30"/>
      <c r="AA6" s="30"/>
      <c r="AB6" s="30"/>
      <c r="AC6" s="30"/>
      <c r="AD6" s="30"/>
      <c r="AE6" s="30"/>
      <c r="AF6" s="30"/>
      <c r="AG6" s="30"/>
      <c r="AH6" s="30"/>
      <c r="AI6" s="30"/>
      <c r="AJ6" s="30"/>
      <c r="AK6" s="30"/>
      <c r="AL6" s="30"/>
      <c r="AM6" s="30"/>
      <c r="AN6" s="30"/>
      <c r="AO6" s="30"/>
      <c r="AP6" s="30"/>
      <c r="AQ6" s="30"/>
      <c r="AR6" s="30"/>
      <c r="AS6" s="30"/>
      <c r="AT6" s="30"/>
      <c r="AU6" s="30"/>
      <c r="AV6" s="30"/>
    </row>
    <row r="7" spans="1:48" ht="12.75" customHeight="1" x14ac:dyDescent="0.2">
      <c r="A7" s="30"/>
      <c r="B7" s="961">
        <f>IF(L7=$O$151,"X",0)</f>
        <v>0</v>
      </c>
      <c r="C7" s="959" t="s">
        <v>267</v>
      </c>
      <c r="D7" s="962" t="s">
        <v>268</v>
      </c>
      <c r="E7" s="963"/>
      <c r="F7" s="786">
        <v>1</v>
      </c>
      <c r="G7" s="787" t="s">
        <v>269</v>
      </c>
      <c r="H7" s="966"/>
      <c r="I7" s="30"/>
      <c r="J7" s="30"/>
      <c r="K7" s="251" t="s">
        <v>787</v>
      </c>
      <c r="L7" s="194"/>
      <c r="M7" s="40"/>
      <c r="N7" s="30"/>
      <c r="O7" s="30"/>
      <c r="P7" s="30"/>
      <c r="Q7" s="30"/>
      <c r="R7" s="30"/>
      <c r="S7" s="30"/>
      <c r="T7" s="30"/>
      <c r="U7" s="30"/>
      <c r="V7" s="30"/>
      <c r="W7" s="30"/>
      <c r="X7" s="30"/>
      <c r="Y7" s="30"/>
      <c r="Z7" s="30"/>
      <c r="AA7" s="30"/>
      <c r="AB7" s="30"/>
      <c r="AC7" s="30"/>
      <c r="AD7" s="30"/>
      <c r="AE7" s="30"/>
      <c r="AF7" s="30"/>
      <c r="AG7" s="30"/>
      <c r="AH7" s="30"/>
      <c r="AI7" s="30"/>
      <c r="AJ7" s="30"/>
      <c r="AK7" s="30"/>
      <c r="AL7" s="30"/>
      <c r="AM7" s="30"/>
      <c r="AN7" s="30"/>
      <c r="AO7" s="30"/>
      <c r="AP7" s="30"/>
      <c r="AQ7" s="30"/>
      <c r="AR7" s="30"/>
      <c r="AS7" s="30"/>
      <c r="AT7" s="30"/>
      <c r="AU7" s="30"/>
      <c r="AV7" s="30"/>
    </row>
    <row r="8" spans="1:48" ht="12.75" customHeight="1" x14ac:dyDescent="0.2">
      <c r="A8" s="30"/>
      <c r="B8" s="34" t="s">
        <v>678</v>
      </c>
      <c r="C8" s="959" t="s">
        <v>270</v>
      </c>
      <c r="D8" s="962" t="s">
        <v>271</v>
      </c>
      <c r="E8" s="963"/>
      <c r="F8" s="786">
        <v>1</v>
      </c>
      <c r="G8" s="788" t="s">
        <v>272</v>
      </c>
      <c r="H8" s="966"/>
      <c r="I8" s="30"/>
      <c r="J8" s="30"/>
      <c r="K8" s="30"/>
      <c r="L8" s="40"/>
      <c r="M8" s="40"/>
      <c r="N8" s="30"/>
      <c r="O8" s="30"/>
      <c r="P8" s="30"/>
      <c r="Q8" s="30"/>
      <c r="R8" s="30"/>
      <c r="S8" s="30"/>
      <c r="T8" s="30"/>
      <c r="U8" s="30"/>
      <c r="V8" s="30"/>
      <c r="W8" s="30"/>
      <c r="X8" s="30"/>
      <c r="Y8" s="30"/>
      <c r="Z8" s="30"/>
      <c r="AA8" s="30"/>
      <c r="AB8" s="30"/>
      <c r="AC8" s="30"/>
      <c r="AD8" s="30"/>
      <c r="AE8" s="30"/>
      <c r="AF8" s="30"/>
      <c r="AG8" s="30"/>
      <c r="AH8" s="30"/>
      <c r="AI8" s="30"/>
      <c r="AJ8" s="30"/>
      <c r="AK8" s="30"/>
      <c r="AL8" s="30"/>
      <c r="AM8" s="30"/>
      <c r="AN8" s="30"/>
      <c r="AO8" s="30"/>
      <c r="AP8" s="30"/>
      <c r="AQ8" s="30"/>
      <c r="AR8" s="30"/>
      <c r="AS8" s="30"/>
      <c r="AT8" s="30"/>
      <c r="AU8" s="30"/>
      <c r="AV8" s="30"/>
    </row>
    <row r="9" spans="1:48" ht="12.75" customHeight="1" x14ac:dyDescent="0.2">
      <c r="A9" s="30"/>
      <c r="B9" s="34" t="s">
        <v>678</v>
      </c>
      <c r="C9" s="960" t="s">
        <v>273</v>
      </c>
      <c r="D9" s="962" t="s">
        <v>274</v>
      </c>
      <c r="E9" s="963"/>
      <c r="F9" s="786">
        <v>1</v>
      </c>
      <c r="G9" s="788" t="s">
        <v>272</v>
      </c>
      <c r="H9" s="966"/>
      <c r="I9" s="30"/>
      <c r="J9" s="30"/>
      <c r="K9" s="30"/>
      <c r="L9" s="40"/>
      <c r="M9" s="40"/>
      <c r="N9" s="30"/>
      <c r="O9" s="30"/>
      <c r="P9" s="30"/>
      <c r="Q9" s="30"/>
      <c r="R9" s="30"/>
      <c r="S9" s="30"/>
      <c r="T9" s="30"/>
      <c r="U9" s="30"/>
      <c r="V9" s="30"/>
      <c r="W9" s="30"/>
      <c r="X9" s="30"/>
      <c r="Y9" s="30"/>
      <c r="Z9" s="30"/>
      <c r="AA9" s="30"/>
      <c r="AB9" s="30"/>
      <c r="AC9" s="30"/>
      <c r="AD9" s="30"/>
      <c r="AE9" s="30"/>
      <c r="AF9" s="30"/>
      <c r="AG9" s="30"/>
      <c r="AH9" s="30"/>
      <c r="AI9" s="30"/>
      <c r="AJ9" s="30"/>
      <c r="AK9" s="30"/>
      <c r="AL9" s="30"/>
      <c r="AM9" s="30"/>
      <c r="AN9" s="30"/>
      <c r="AO9" s="30"/>
      <c r="AP9" s="30"/>
      <c r="AQ9" s="30"/>
      <c r="AR9" s="30"/>
      <c r="AS9" s="30"/>
      <c r="AT9" s="30"/>
      <c r="AU9" s="30"/>
      <c r="AV9" s="30"/>
    </row>
    <row r="10" spans="1:48" ht="12.75" customHeight="1" x14ac:dyDescent="0.2">
      <c r="A10" s="30"/>
      <c r="B10" s="34">
        <f>IF(OR('Resurface, Milling, Agg.'!W52='Resurface, Milling, Agg.'!AA54,'Resurface, Milling, Agg.'!W56='Resurface, Milling, Agg.'!AA54,'Resurface, Milling, Agg.'!W52='Resurface, Milling, Agg.'!AA55,'Resurface, Milling, Agg.'!W56='Resurface, Milling, Agg.'!AA55),"X",0)</f>
        <v>0</v>
      </c>
      <c r="C10" s="960" t="s">
        <v>275</v>
      </c>
      <c r="D10" s="962" t="s">
        <v>276</v>
      </c>
      <c r="E10" s="963"/>
      <c r="F10" s="786">
        <v>1</v>
      </c>
      <c r="G10" s="788" t="s">
        <v>272</v>
      </c>
      <c r="H10" s="966"/>
      <c r="I10" s="30"/>
      <c r="J10" s="30"/>
      <c r="K10" s="30"/>
      <c r="L10" s="40"/>
      <c r="M10" s="40"/>
      <c r="N10" s="30"/>
      <c r="O10" s="30"/>
      <c r="P10" s="30"/>
      <c r="Q10" s="30"/>
      <c r="R10" s="30"/>
      <c r="S10" s="30"/>
      <c r="T10" s="30"/>
      <c r="U10" s="30"/>
      <c r="V10" s="30"/>
      <c r="W10" s="30"/>
      <c r="X10" s="30"/>
      <c r="Y10" s="30"/>
      <c r="Z10" s="30"/>
      <c r="AA10" s="30"/>
      <c r="AB10" s="30"/>
      <c r="AC10" s="30"/>
      <c r="AD10" s="30"/>
      <c r="AE10" s="30"/>
      <c r="AF10" s="30"/>
      <c r="AG10" s="30"/>
      <c r="AH10" s="30"/>
      <c r="AI10" s="30"/>
      <c r="AJ10" s="30"/>
      <c r="AK10" s="30"/>
      <c r="AL10" s="30"/>
      <c r="AM10" s="30"/>
      <c r="AN10" s="30"/>
      <c r="AO10" s="30"/>
      <c r="AP10" s="30"/>
      <c r="AQ10" s="30"/>
      <c r="AR10" s="30"/>
      <c r="AS10" s="30"/>
      <c r="AT10" s="30"/>
      <c r="AU10" s="30"/>
      <c r="AV10" s="30"/>
    </row>
    <row r="11" spans="1:48" ht="12.75" customHeight="1" x14ac:dyDescent="0.2">
      <c r="A11" s="30"/>
      <c r="B11" s="34" t="s">
        <v>678</v>
      </c>
      <c r="C11" s="960" t="s">
        <v>277</v>
      </c>
      <c r="D11" s="964" t="s">
        <v>278</v>
      </c>
      <c r="E11" s="963"/>
      <c r="F11" s="136">
        <v>1</v>
      </c>
      <c r="G11" s="788" t="s">
        <v>272</v>
      </c>
      <c r="H11" s="966"/>
      <c r="I11" s="30"/>
      <c r="J11" s="30"/>
      <c r="K11" s="30"/>
      <c r="L11" s="40"/>
      <c r="M11" s="40"/>
      <c r="N11" s="30"/>
      <c r="O11" s="30"/>
      <c r="P11" s="30"/>
      <c r="Q11" s="30"/>
      <c r="R11" s="30"/>
      <c r="S11" s="30"/>
      <c r="T11" s="30"/>
      <c r="U11" s="30"/>
      <c r="V11" s="30"/>
      <c r="W11" s="30"/>
      <c r="X11" s="30"/>
      <c r="Y11" s="30"/>
      <c r="Z11" s="30"/>
      <c r="AA11" s="30"/>
      <c r="AB11" s="30"/>
      <c r="AC11" s="30"/>
      <c r="AD11" s="30"/>
      <c r="AE11" s="30"/>
      <c r="AF11" s="30"/>
      <c r="AG11" s="30"/>
      <c r="AH11" s="30"/>
      <c r="AI11" s="30"/>
      <c r="AJ11" s="30"/>
      <c r="AK11" s="30"/>
      <c r="AL11" s="30"/>
      <c r="AM11" s="30"/>
      <c r="AN11" s="30"/>
      <c r="AO11" s="30"/>
      <c r="AP11" s="30"/>
      <c r="AQ11" s="30"/>
      <c r="AR11" s="30"/>
      <c r="AS11" s="30"/>
      <c r="AT11" s="30"/>
      <c r="AU11" s="30"/>
      <c r="AV11" s="30"/>
    </row>
    <row r="12" spans="1:48" ht="12.75" customHeight="1" x14ac:dyDescent="0.2">
      <c r="A12" s="30"/>
      <c r="B12" s="34" t="s">
        <v>678</v>
      </c>
      <c r="C12" s="960" t="s">
        <v>279</v>
      </c>
      <c r="D12" s="964" t="s">
        <v>280</v>
      </c>
      <c r="E12" s="963"/>
      <c r="F12" s="136">
        <v>1</v>
      </c>
      <c r="G12" s="788" t="s">
        <v>272</v>
      </c>
      <c r="H12" s="966"/>
      <c r="I12" s="30"/>
      <c r="J12" s="30"/>
      <c r="K12" s="30"/>
      <c r="L12" s="40"/>
      <c r="M12" s="40"/>
      <c r="N12" s="30"/>
      <c r="O12" s="30"/>
      <c r="P12" s="30"/>
      <c r="Q12" s="30"/>
      <c r="R12" s="30"/>
      <c r="S12" s="30"/>
      <c r="T12" s="30"/>
      <c r="U12" s="30"/>
      <c r="V12" s="30"/>
      <c r="W12" s="30"/>
      <c r="X12" s="30"/>
      <c r="Y12" s="30"/>
      <c r="Z12" s="30"/>
      <c r="AA12" s="30"/>
      <c r="AB12" s="30"/>
      <c r="AC12" s="30"/>
      <c r="AD12" s="30"/>
      <c r="AE12" s="30"/>
      <c r="AF12" s="30"/>
      <c r="AG12" s="30"/>
      <c r="AH12" s="30"/>
      <c r="AI12" s="30"/>
      <c r="AJ12" s="30"/>
      <c r="AK12" s="30"/>
      <c r="AL12" s="30"/>
      <c r="AM12" s="30"/>
      <c r="AN12" s="30"/>
      <c r="AO12" s="30"/>
      <c r="AP12" s="30"/>
      <c r="AQ12" s="30"/>
      <c r="AR12" s="30"/>
      <c r="AS12" s="30"/>
      <c r="AT12" s="30"/>
      <c r="AU12" s="30"/>
      <c r="AV12" s="30"/>
    </row>
    <row r="13" spans="1:48" ht="12.75" customHeight="1" x14ac:dyDescent="0.2">
      <c r="A13" s="30"/>
      <c r="B13" s="34">
        <f>IF(L13=O151,"X",0)</f>
        <v>0</v>
      </c>
      <c r="C13" s="960" t="s">
        <v>515</v>
      </c>
      <c r="D13" s="964" t="s">
        <v>516</v>
      </c>
      <c r="E13" s="963"/>
      <c r="F13" s="136">
        <v>1</v>
      </c>
      <c r="G13" s="788" t="s">
        <v>272</v>
      </c>
      <c r="H13" s="966"/>
      <c r="I13" s="30"/>
      <c r="J13" s="30"/>
      <c r="K13" s="251" t="s">
        <v>790</v>
      </c>
      <c r="L13" s="194"/>
      <c r="M13" s="40"/>
      <c r="N13" s="30"/>
      <c r="O13" s="30"/>
      <c r="P13" s="30"/>
      <c r="Q13" s="30"/>
      <c r="R13" s="30"/>
      <c r="S13" s="30"/>
      <c r="T13" s="30"/>
      <c r="U13" s="30"/>
      <c r="V13" s="30"/>
      <c r="W13" s="30"/>
      <c r="X13" s="30"/>
      <c r="Y13" s="30"/>
      <c r="Z13" s="30"/>
      <c r="AA13" s="30"/>
      <c r="AB13" s="30"/>
      <c r="AC13" s="30"/>
      <c r="AD13" s="30"/>
      <c r="AE13" s="30"/>
      <c r="AF13" s="30"/>
      <c r="AG13" s="30"/>
      <c r="AH13" s="30"/>
      <c r="AI13" s="30"/>
      <c r="AJ13" s="30"/>
      <c r="AK13" s="30"/>
      <c r="AL13" s="30"/>
      <c r="AM13" s="30"/>
      <c r="AN13" s="30"/>
      <c r="AO13" s="30"/>
      <c r="AP13" s="30"/>
      <c r="AQ13" s="30"/>
      <c r="AR13" s="30"/>
      <c r="AS13" s="30"/>
      <c r="AT13" s="30"/>
      <c r="AU13" s="30"/>
      <c r="AV13" s="30"/>
    </row>
    <row r="14" spans="1:48" ht="12.75" customHeight="1" x14ac:dyDescent="0.2">
      <c r="A14" s="30"/>
      <c r="B14" s="987">
        <f>IF(B142="X","X",0)</f>
        <v>0</v>
      </c>
      <c r="C14" s="960" t="s">
        <v>281</v>
      </c>
      <c r="D14" s="964" t="s">
        <v>282</v>
      </c>
      <c r="E14" s="963"/>
      <c r="F14" s="136">
        <v>1</v>
      </c>
      <c r="G14" s="788" t="s">
        <v>272</v>
      </c>
      <c r="H14" s="966"/>
      <c r="I14" s="30"/>
      <c r="J14" s="30"/>
      <c r="K14" s="30"/>
      <c r="L14" s="40"/>
      <c r="M14" s="40"/>
      <c r="N14" s="30"/>
      <c r="O14" s="30"/>
      <c r="P14" s="30"/>
      <c r="Q14" s="30"/>
      <c r="R14" s="30"/>
      <c r="S14" s="30"/>
      <c r="T14" s="30"/>
      <c r="U14" s="30"/>
      <c r="V14" s="30"/>
      <c r="W14" s="30"/>
      <c r="X14" s="30"/>
      <c r="Y14" s="30"/>
      <c r="Z14" s="30"/>
      <c r="AA14" s="30"/>
      <c r="AB14" s="30"/>
      <c r="AC14" s="30"/>
      <c r="AD14" s="30"/>
      <c r="AE14" s="30"/>
      <c r="AF14" s="30"/>
      <c r="AG14" s="30"/>
      <c r="AH14" s="30"/>
      <c r="AI14" s="30"/>
      <c r="AJ14" s="30"/>
      <c r="AK14" s="30"/>
      <c r="AL14" s="30"/>
      <c r="AM14" s="30"/>
      <c r="AN14" s="30"/>
      <c r="AO14" s="30"/>
      <c r="AP14" s="30"/>
      <c r="AQ14" s="30"/>
      <c r="AR14" s="30"/>
      <c r="AS14" s="30"/>
      <c r="AT14" s="30"/>
      <c r="AU14" s="30"/>
      <c r="AV14" s="30"/>
    </row>
    <row r="15" spans="1:48" ht="12.75" customHeight="1" x14ac:dyDescent="0.2">
      <c r="A15" s="30"/>
      <c r="B15" s="34">
        <f>IF(OR('Resurface, Milling, Agg.'!W52='Resurface, Milling, Agg.'!AA54,'Resurface, Milling, Agg.'!W52='Resurface, Milling, Agg.'!AA55,'Resurface, Milling, Agg.'!W52='Resurface, Milling, Agg.'!AA56,Patching!B47&gt;0,Patching!B48&gt;0,'Major Appr.'!B50&gt;0,'Minor Appr.'!C40&gt;0),"X",0)</f>
        <v>0</v>
      </c>
      <c r="C15" s="960" t="s">
        <v>283</v>
      </c>
      <c r="D15" s="964" t="s">
        <v>284</v>
      </c>
      <c r="E15" s="963"/>
      <c r="F15" s="136">
        <v>1</v>
      </c>
      <c r="G15" s="788" t="s">
        <v>272</v>
      </c>
      <c r="H15" s="966"/>
      <c r="I15" s="30"/>
      <c r="J15" s="30"/>
      <c r="K15" s="30"/>
      <c r="L15" s="40"/>
      <c r="M15" s="40"/>
      <c r="N15" s="30"/>
      <c r="O15" s="30"/>
      <c r="P15" s="30"/>
      <c r="Q15" s="30"/>
      <c r="R15" s="30"/>
      <c r="S15" s="30"/>
      <c r="T15" s="30"/>
      <c r="U15" s="30"/>
      <c r="V15" s="30"/>
      <c r="W15" s="30"/>
      <c r="X15" s="30"/>
      <c r="Y15" s="30"/>
      <c r="Z15" s="30"/>
      <c r="AA15" s="30"/>
      <c r="AB15" s="30"/>
      <c r="AC15" s="30"/>
      <c r="AD15" s="30"/>
      <c r="AE15" s="30"/>
      <c r="AF15" s="30"/>
      <c r="AG15" s="30"/>
      <c r="AH15" s="30"/>
      <c r="AI15" s="30"/>
      <c r="AJ15" s="30"/>
      <c r="AK15" s="30"/>
      <c r="AL15" s="30"/>
      <c r="AM15" s="30"/>
      <c r="AN15" s="30"/>
      <c r="AO15" s="30"/>
      <c r="AP15" s="30"/>
      <c r="AQ15" s="30"/>
      <c r="AR15" s="30"/>
      <c r="AS15" s="30"/>
      <c r="AT15" s="30"/>
      <c r="AU15" s="30"/>
      <c r="AV15" s="30"/>
    </row>
    <row r="16" spans="1:48" ht="22.5" x14ac:dyDescent="0.2">
      <c r="A16" s="30"/>
      <c r="B16" s="961">
        <f>IF(L16=$O$151,"X",0)</f>
        <v>0</v>
      </c>
      <c r="C16" s="960" t="s">
        <v>517</v>
      </c>
      <c r="D16" s="964" t="s">
        <v>518</v>
      </c>
      <c r="E16" s="963"/>
      <c r="F16" s="136">
        <v>1</v>
      </c>
      <c r="G16" s="788" t="s">
        <v>272</v>
      </c>
      <c r="H16" s="966"/>
      <c r="I16" s="30"/>
      <c r="J16" s="30"/>
      <c r="K16" s="251" t="s">
        <v>787</v>
      </c>
      <c r="L16" s="194"/>
      <c r="M16" s="40"/>
      <c r="N16" s="30"/>
      <c r="O16" s="30"/>
      <c r="P16" s="30"/>
      <c r="Q16" s="30"/>
      <c r="R16" s="30"/>
      <c r="S16" s="30"/>
      <c r="T16" s="30"/>
      <c r="U16" s="30"/>
      <c r="V16" s="30"/>
      <c r="W16" s="30"/>
      <c r="X16" s="30"/>
      <c r="Y16" s="30"/>
      <c r="Z16" s="30"/>
      <c r="AA16" s="30"/>
      <c r="AB16" s="30"/>
      <c r="AC16" s="30"/>
      <c r="AD16" s="30"/>
      <c r="AE16" s="30"/>
      <c r="AF16" s="30"/>
      <c r="AG16" s="30"/>
      <c r="AH16" s="30"/>
      <c r="AI16" s="30"/>
      <c r="AJ16" s="30"/>
      <c r="AK16" s="30"/>
      <c r="AL16" s="30"/>
      <c r="AM16" s="30"/>
      <c r="AN16" s="30"/>
      <c r="AO16" s="30"/>
      <c r="AP16" s="30"/>
      <c r="AQ16" s="30"/>
      <c r="AR16" s="30"/>
      <c r="AS16" s="30"/>
      <c r="AT16" s="30"/>
      <c r="AU16" s="30"/>
      <c r="AV16" s="30"/>
    </row>
    <row r="17" spans="1:48" ht="12.75" customHeight="1" x14ac:dyDescent="0.2">
      <c r="A17" s="30"/>
      <c r="B17" s="34" t="s">
        <v>678</v>
      </c>
      <c r="C17" s="960" t="s">
        <v>285</v>
      </c>
      <c r="D17" s="964" t="s">
        <v>286</v>
      </c>
      <c r="E17" s="963"/>
      <c r="F17" s="136">
        <v>1</v>
      </c>
      <c r="G17" s="788" t="s">
        <v>269</v>
      </c>
      <c r="H17" s="966"/>
      <c r="I17" s="30"/>
      <c r="J17" s="30"/>
      <c r="K17" s="30"/>
      <c r="L17" s="40"/>
      <c r="M17" s="40"/>
      <c r="N17" s="30"/>
      <c r="O17" s="30"/>
      <c r="P17" s="30"/>
      <c r="Q17" s="30"/>
      <c r="R17" s="30"/>
      <c r="S17" s="30"/>
      <c r="T17" s="30"/>
      <c r="U17" s="30"/>
      <c r="V17" s="30"/>
      <c r="W17" s="30"/>
      <c r="X17" s="30"/>
      <c r="Y17" s="30"/>
      <c r="Z17" s="30"/>
      <c r="AA17" s="30"/>
      <c r="AB17" s="30"/>
      <c r="AC17" s="30"/>
      <c r="AD17" s="30"/>
      <c r="AE17" s="30"/>
      <c r="AF17" s="30"/>
      <c r="AG17" s="30"/>
      <c r="AH17" s="30"/>
      <c r="AI17" s="30"/>
      <c r="AJ17" s="30"/>
      <c r="AK17" s="30"/>
      <c r="AL17" s="30"/>
      <c r="AM17" s="30"/>
      <c r="AN17" s="30"/>
      <c r="AO17" s="30"/>
      <c r="AP17" s="30"/>
      <c r="AQ17" s="30"/>
      <c r="AR17" s="30"/>
      <c r="AS17" s="30"/>
      <c r="AT17" s="30"/>
      <c r="AU17" s="30"/>
      <c r="AV17" s="30"/>
    </row>
    <row r="18" spans="1:48" ht="12.75" customHeight="1" x14ac:dyDescent="0.2">
      <c r="A18" s="30"/>
      <c r="B18" s="34">
        <f>IF(F18&gt;0,"X",0)</f>
        <v>0</v>
      </c>
      <c r="C18" s="960" t="s">
        <v>670</v>
      </c>
      <c r="D18" s="964" t="s">
        <v>664</v>
      </c>
      <c r="E18" s="963"/>
      <c r="F18" s="136">
        <f>Obstr.!B52</f>
        <v>0</v>
      </c>
      <c r="G18" s="788" t="s">
        <v>287</v>
      </c>
      <c r="H18" s="966"/>
      <c r="I18" s="30"/>
      <c r="J18" s="30"/>
      <c r="K18" s="30"/>
      <c r="L18" s="40"/>
      <c r="M18" s="40"/>
      <c r="N18" s="30"/>
      <c r="O18" s="30"/>
      <c r="P18" s="30"/>
      <c r="Q18" s="30"/>
      <c r="R18" s="30"/>
      <c r="S18" s="30"/>
      <c r="T18" s="30"/>
      <c r="U18" s="30"/>
      <c r="V18" s="30"/>
      <c r="W18" s="30"/>
      <c r="X18" s="30"/>
      <c r="Y18" s="30"/>
      <c r="Z18" s="30"/>
      <c r="AA18" s="30"/>
      <c r="AB18" s="30"/>
      <c r="AC18" s="30"/>
      <c r="AD18" s="30"/>
      <c r="AE18" s="30"/>
      <c r="AF18" s="30"/>
      <c r="AG18" s="30"/>
      <c r="AH18" s="30"/>
      <c r="AI18" s="30"/>
      <c r="AJ18" s="30"/>
      <c r="AK18" s="30"/>
      <c r="AL18" s="30"/>
      <c r="AM18" s="30"/>
      <c r="AN18" s="30"/>
      <c r="AO18" s="30"/>
      <c r="AP18" s="30"/>
      <c r="AQ18" s="30"/>
      <c r="AR18" s="30"/>
      <c r="AS18" s="30"/>
      <c r="AT18" s="30"/>
      <c r="AU18" s="30"/>
      <c r="AV18" s="30"/>
    </row>
    <row r="19" spans="1:48" ht="12.75" customHeight="1" x14ac:dyDescent="0.2">
      <c r="A19" s="30"/>
      <c r="B19" s="34">
        <f t="shared" ref="B19:B43" si="0">IF(F19&gt;0,"X",0)</f>
        <v>0</v>
      </c>
      <c r="C19" s="960" t="s">
        <v>671</v>
      </c>
      <c r="D19" s="964" t="s">
        <v>665</v>
      </c>
      <c r="E19" s="963"/>
      <c r="F19" s="136">
        <f>Obstr.!B53</f>
        <v>0</v>
      </c>
      <c r="G19" s="788" t="s">
        <v>287</v>
      </c>
      <c r="H19" s="966"/>
      <c r="I19" s="30"/>
      <c r="J19" s="30"/>
      <c r="K19" s="30"/>
      <c r="L19" s="40"/>
      <c r="M19" s="40"/>
      <c r="N19" s="30"/>
      <c r="O19" s="30"/>
      <c r="P19" s="30"/>
      <c r="Q19" s="30"/>
      <c r="R19" s="30"/>
      <c r="S19" s="30"/>
      <c r="T19" s="30"/>
      <c r="U19" s="30"/>
      <c r="V19" s="30"/>
      <c r="W19" s="30"/>
      <c r="X19" s="30"/>
      <c r="Y19" s="30"/>
      <c r="Z19" s="30"/>
      <c r="AA19" s="30"/>
      <c r="AB19" s="30"/>
      <c r="AC19" s="30"/>
      <c r="AD19" s="30"/>
      <c r="AE19" s="30"/>
      <c r="AF19" s="30"/>
      <c r="AG19" s="30"/>
      <c r="AH19" s="30"/>
      <c r="AI19" s="30"/>
      <c r="AJ19" s="30"/>
      <c r="AK19" s="30"/>
      <c r="AL19" s="30"/>
      <c r="AM19" s="30"/>
      <c r="AN19" s="30"/>
      <c r="AO19" s="30"/>
      <c r="AP19" s="30"/>
      <c r="AQ19" s="30"/>
      <c r="AR19" s="30"/>
      <c r="AS19" s="30"/>
      <c r="AT19" s="30"/>
      <c r="AU19" s="30"/>
      <c r="AV19" s="30"/>
    </row>
    <row r="20" spans="1:48" ht="12.75" customHeight="1" x14ac:dyDescent="0.2">
      <c r="A20" s="30"/>
      <c r="B20" s="34">
        <f t="shared" si="0"/>
        <v>0</v>
      </c>
      <c r="C20" s="960" t="s">
        <v>672</v>
      </c>
      <c r="D20" s="964" t="s">
        <v>666</v>
      </c>
      <c r="E20" s="963"/>
      <c r="F20" s="136">
        <f>Obstr.!B54</f>
        <v>0</v>
      </c>
      <c r="G20" s="788" t="s">
        <v>287</v>
      </c>
      <c r="H20" s="966"/>
      <c r="I20" s="30"/>
      <c r="J20" s="30"/>
      <c r="K20" s="30"/>
      <c r="L20" s="40"/>
      <c r="M20" s="40"/>
      <c r="N20" s="30"/>
      <c r="O20" s="30"/>
      <c r="P20" s="30"/>
      <c r="Q20" s="30"/>
      <c r="R20" s="30"/>
      <c r="S20" s="30"/>
      <c r="T20" s="30"/>
      <c r="U20" s="30"/>
      <c r="V20" s="30"/>
      <c r="W20" s="30"/>
      <c r="X20" s="30"/>
      <c r="Y20" s="30"/>
      <c r="Z20" s="30"/>
      <c r="AA20" s="30"/>
      <c r="AB20" s="30"/>
      <c r="AC20" s="30"/>
      <c r="AD20" s="30"/>
      <c r="AE20" s="30"/>
      <c r="AF20" s="30"/>
      <c r="AG20" s="30"/>
      <c r="AH20" s="30"/>
      <c r="AI20" s="30"/>
      <c r="AJ20" s="30"/>
      <c r="AK20" s="30"/>
      <c r="AL20" s="30"/>
      <c r="AM20" s="30"/>
      <c r="AN20" s="30"/>
      <c r="AO20" s="30"/>
      <c r="AP20" s="30"/>
      <c r="AQ20" s="30"/>
      <c r="AR20" s="30"/>
      <c r="AS20" s="30"/>
      <c r="AT20" s="30"/>
      <c r="AU20" s="30"/>
      <c r="AV20" s="30"/>
    </row>
    <row r="21" spans="1:48" ht="12.75" customHeight="1" x14ac:dyDescent="0.2">
      <c r="A21" s="30"/>
      <c r="B21" s="34">
        <f t="shared" si="0"/>
        <v>0</v>
      </c>
      <c r="C21" s="960" t="s">
        <v>673</v>
      </c>
      <c r="D21" s="964" t="s">
        <v>667</v>
      </c>
      <c r="E21" s="963"/>
      <c r="F21" s="136">
        <f>Obstr.!B55</f>
        <v>0</v>
      </c>
      <c r="G21" s="788" t="s">
        <v>287</v>
      </c>
      <c r="H21" s="966"/>
      <c r="I21" s="30"/>
      <c r="J21" s="30"/>
      <c r="K21" s="30"/>
      <c r="L21" s="40"/>
      <c r="M21" s="40"/>
      <c r="N21" s="30"/>
      <c r="O21" s="30"/>
      <c r="P21" s="30"/>
      <c r="Q21" s="30"/>
      <c r="R21" s="30"/>
      <c r="S21" s="30"/>
      <c r="T21" s="30"/>
      <c r="U21" s="30"/>
      <c r="V21" s="30"/>
      <c r="W21" s="30"/>
      <c r="X21" s="30"/>
      <c r="Y21" s="30"/>
      <c r="Z21" s="30"/>
      <c r="AA21" s="30"/>
      <c r="AB21" s="30"/>
      <c r="AC21" s="30"/>
      <c r="AD21" s="30"/>
      <c r="AE21" s="30"/>
      <c r="AF21" s="30"/>
      <c r="AG21" s="30"/>
      <c r="AH21" s="30"/>
      <c r="AI21" s="30"/>
      <c r="AJ21" s="30"/>
      <c r="AK21" s="30"/>
      <c r="AL21" s="30"/>
      <c r="AM21" s="30"/>
      <c r="AN21" s="30"/>
      <c r="AO21" s="30"/>
      <c r="AP21" s="30"/>
      <c r="AQ21" s="30"/>
      <c r="AR21" s="30"/>
      <c r="AS21" s="30"/>
      <c r="AT21" s="30"/>
      <c r="AU21" s="30"/>
      <c r="AV21" s="30"/>
    </row>
    <row r="22" spans="1:48" ht="12.75" customHeight="1" x14ac:dyDescent="0.2">
      <c r="A22" s="30"/>
      <c r="B22" s="34">
        <f t="shared" si="0"/>
        <v>0</v>
      </c>
      <c r="C22" s="960" t="s">
        <v>674</v>
      </c>
      <c r="D22" s="964" t="s">
        <v>668</v>
      </c>
      <c r="E22" s="963"/>
      <c r="F22" s="136">
        <f>Obstr.!F52</f>
        <v>0</v>
      </c>
      <c r="G22" s="788" t="s">
        <v>287</v>
      </c>
      <c r="H22" s="966"/>
      <c r="I22" s="30"/>
      <c r="J22" s="30"/>
      <c r="K22" s="30"/>
      <c r="L22" s="40"/>
      <c r="M22" s="40"/>
      <c r="N22" s="30"/>
      <c r="O22" s="30"/>
      <c r="P22" s="30"/>
      <c r="Q22" s="30"/>
      <c r="R22" s="30"/>
      <c r="S22" s="30"/>
      <c r="T22" s="30"/>
      <c r="U22" s="30"/>
      <c r="V22" s="30"/>
      <c r="W22" s="30"/>
      <c r="X22" s="30"/>
      <c r="Y22" s="30"/>
      <c r="Z22" s="30"/>
      <c r="AA22" s="30"/>
      <c r="AB22" s="30"/>
      <c r="AC22" s="30"/>
      <c r="AD22" s="30"/>
      <c r="AE22" s="30"/>
      <c r="AF22" s="30"/>
      <c r="AG22" s="30"/>
      <c r="AH22" s="30"/>
      <c r="AI22" s="30"/>
      <c r="AJ22" s="30"/>
      <c r="AK22" s="30"/>
      <c r="AL22" s="30"/>
      <c r="AM22" s="30"/>
      <c r="AN22" s="30"/>
      <c r="AO22" s="30"/>
      <c r="AP22" s="30"/>
      <c r="AQ22" s="30"/>
      <c r="AR22" s="30"/>
      <c r="AS22" s="30"/>
      <c r="AT22" s="30"/>
      <c r="AU22" s="30"/>
      <c r="AV22" s="30"/>
    </row>
    <row r="23" spans="1:48" ht="12.75" customHeight="1" x14ac:dyDescent="0.2">
      <c r="A23" s="30"/>
      <c r="B23" s="34">
        <f t="shared" si="0"/>
        <v>0</v>
      </c>
      <c r="C23" s="960" t="s">
        <v>675</v>
      </c>
      <c r="D23" s="964" t="s">
        <v>669</v>
      </c>
      <c r="E23" s="963"/>
      <c r="F23" s="136">
        <f>Obstr.!F53</f>
        <v>0</v>
      </c>
      <c r="G23" s="788" t="s">
        <v>287</v>
      </c>
      <c r="H23" s="966"/>
      <c r="I23" s="30"/>
      <c r="J23" s="30"/>
      <c r="K23" s="30"/>
      <c r="L23" s="40"/>
      <c r="M23" s="40"/>
      <c r="N23" s="30"/>
      <c r="O23" s="30"/>
      <c r="P23" s="30"/>
      <c r="Q23" s="30"/>
      <c r="R23" s="30"/>
      <c r="S23" s="30"/>
      <c r="T23" s="30"/>
      <c r="U23" s="30"/>
      <c r="V23" s="30"/>
      <c r="W23" s="30"/>
      <c r="X23" s="30"/>
      <c r="Y23" s="30"/>
      <c r="Z23" s="30"/>
      <c r="AA23" s="30"/>
      <c r="AB23" s="30"/>
      <c r="AC23" s="30"/>
      <c r="AD23" s="30"/>
      <c r="AE23" s="30"/>
      <c r="AF23" s="30"/>
      <c r="AG23" s="30"/>
      <c r="AH23" s="30"/>
      <c r="AI23" s="30"/>
      <c r="AJ23" s="30"/>
      <c r="AK23" s="30"/>
      <c r="AL23" s="30"/>
      <c r="AM23" s="30"/>
      <c r="AN23" s="30"/>
      <c r="AO23" s="30"/>
      <c r="AP23" s="30"/>
      <c r="AQ23" s="30"/>
      <c r="AR23" s="30"/>
      <c r="AS23" s="30"/>
      <c r="AT23" s="30"/>
      <c r="AU23" s="30"/>
      <c r="AV23" s="30"/>
    </row>
    <row r="24" spans="1:48" ht="12.75" customHeight="1" x14ac:dyDescent="0.2">
      <c r="A24" s="30"/>
      <c r="B24" s="34">
        <f>IF(F24&gt;0,"X",0)</f>
        <v>0</v>
      </c>
      <c r="C24" s="960" t="s">
        <v>683</v>
      </c>
      <c r="D24" s="964" t="s">
        <v>684</v>
      </c>
      <c r="E24" s="963"/>
      <c r="F24" s="136">
        <f>Patching!B51</f>
        <v>0</v>
      </c>
      <c r="G24" s="788" t="s">
        <v>288</v>
      </c>
      <c r="H24" s="966"/>
      <c r="I24" s="30"/>
      <c r="J24" s="30"/>
      <c r="K24" s="30"/>
      <c r="L24" s="40"/>
      <c r="M24" s="40"/>
      <c r="N24" s="30"/>
      <c r="O24" s="30"/>
      <c r="P24" s="30"/>
      <c r="Q24" s="30"/>
      <c r="R24" s="30"/>
      <c r="S24" s="30"/>
      <c r="T24" s="30"/>
      <c r="U24" s="30"/>
      <c r="V24" s="30"/>
      <c r="W24" s="30"/>
      <c r="X24" s="30"/>
      <c r="Y24" s="30"/>
      <c r="Z24" s="30"/>
      <c r="AA24" s="30"/>
      <c r="AB24" s="30"/>
      <c r="AC24" s="30"/>
      <c r="AD24" s="30"/>
      <c r="AE24" s="30"/>
      <c r="AF24" s="30"/>
      <c r="AG24" s="30"/>
      <c r="AH24" s="30"/>
      <c r="AI24" s="30"/>
      <c r="AJ24" s="30"/>
      <c r="AK24" s="30"/>
      <c r="AL24" s="30"/>
      <c r="AM24" s="30"/>
      <c r="AN24" s="30"/>
      <c r="AO24" s="30"/>
      <c r="AP24" s="30"/>
      <c r="AQ24" s="30"/>
      <c r="AR24" s="30"/>
      <c r="AS24" s="30"/>
      <c r="AT24" s="30"/>
      <c r="AU24" s="30"/>
      <c r="AV24" s="30"/>
    </row>
    <row r="25" spans="1:48" ht="12.75" customHeight="1" x14ac:dyDescent="0.2">
      <c r="A25" s="30"/>
      <c r="B25" s="34">
        <f t="shared" si="0"/>
        <v>0</v>
      </c>
      <c r="C25" s="960" t="str">
        <f>IF(D25="Headwall, Remove","202-02271","(find code)")</f>
        <v>202-02271</v>
      </c>
      <c r="D25" s="964" t="str">
        <f>UPPER(Obstr.!K55)</f>
        <v>HEADWALL, REMOVE</v>
      </c>
      <c r="E25" s="963"/>
      <c r="F25" s="136">
        <f>Obstr.!Q50</f>
        <v>0</v>
      </c>
      <c r="G25" s="788" t="str">
        <f>IF(Obstr.!M55="ea","EACH",IF(Obstr.!M55="lft","LFT","(find unit)"))</f>
        <v>EACH</v>
      </c>
      <c r="H25" s="966"/>
      <c r="I25" s="30"/>
      <c r="J25" s="30"/>
      <c r="K25" s="30"/>
      <c r="L25" s="40"/>
      <c r="M25" s="40"/>
      <c r="N25" s="30"/>
      <c r="O25" s="30"/>
      <c r="P25" s="30"/>
      <c r="Q25" s="30"/>
      <c r="R25" s="30"/>
      <c r="S25" s="30"/>
      <c r="T25" s="30"/>
      <c r="U25" s="30"/>
      <c r="V25" s="30"/>
      <c r="W25" s="30"/>
      <c r="X25" s="30"/>
      <c r="Y25" s="30"/>
      <c r="Z25" s="30"/>
      <c r="AA25" s="30"/>
      <c r="AB25" s="30"/>
      <c r="AC25" s="30"/>
      <c r="AD25" s="30"/>
      <c r="AE25" s="30"/>
      <c r="AF25" s="30"/>
      <c r="AG25" s="30"/>
      <c r="AH25" s="30"/>
      <c r="AI25" s="30"/>
      <c r="AJ25" s="30"/>
      <c r="AK25" s="30"/>
      <c r="AL25" s="30"/>
      <c r="AM25" s="30"/>
      <c r="AN25" s="30"/>
      <c r="AO25" s="30"/>
      <c r="AP25" s="30"/>
      <c r="AQ25" s="30"/>
      <c r="AR25" s="30"/>
      <c r="AS25" s="30"/>
      <c r="AT25" s="30"/>
      <c r="AU25" s="30"/>
      <c r="AV25" s="30"/>
    </row>
    <row r="26" spans="1:48" ht="12.75" customHeight="1" x14ac:dyDescent="0.2">
      <c r="A26" s="30"/>
      <c r="B26" s="34">
        <f>IF(F26&gt;0,"X",0)</f>
        <v>0</v>
      </c>
      <c r="C26" s="960" t="s">
        <v>685</v>
      </c>
      <c r="D26" s="964" t="s">
        <v>686</v>
      </c>
      <c r="E26" s="963"/>
      <c r="F26" s="136">
        <f>Signals!H34</f>
        <v>0</v>
      </c>
      <c r="G26" s="788" t="s">
        <v>287</v>
      </c>
      <c r="H26" s="966"/>
      <c r="I26" s="30"/>
      <c r="J26" s="30"/>
      <c r="K26" s="30"/>
      <c r="L26" s="40"/>
      <c r="M26" s="40"/>
      <c r="N26" s="30"/>
      <c r="O26" s="30"/>
      <c r="P26" s="30"/>
      <c r="Q26" s="30"/>
      <c r="R26" s="30"/>
      <c r="S26" s="30"/>
      <c r="T26" s="30"/>
      <c r="U26" s="30"/>
      <c r="V26" s="30"/>
      <c r="W26" s="30"/>
      <c r="X26" s="30"/>
      <c r="Y26" s="30"/>
      <c r="Z26" s="30"/>
      <c r="AA26" s="30"/>
      <c r="AB26" s="30"/>
      <c r="AC26" s="30"/>
      <c r="AD26" s="30"/>
      <c r="AE26" s="30"/>
      <c r="AF26" s="30"/>
      <c r="AG26" s="30"/>
      <c r="AH26" s="30"/>
      <c r="AI26" s="30"/>
      <c r="AJ26" s="30"/>
      <c r="AK26" s="30"/>
      <c r="AL26" s="30"/>
      <c r="AM26" s="30"/>
      <c r="AN26" s="30"/>
      <c r="AO26" s="30"/>
      <c r="AP26" s="30"/>
      <c r="AQ26" s="30"/>
      <c r="AR26" s="30"/>
      <c r="AS26" s="30"/>
      <c r="AT26" s="30"/>
      <c r="AU26" s="30"/>
      <c r="AV26" s="30"/>
    </row>
    <row r="27" spans="1:48" ht="12.75" customHeight="1" x14ac:dyDescent="0.2">
      <c r="A27" s="30"/>
      <c r="B27" s="34">
        <f t="shared" si="0"/>
        <v>0</v>
      </c>
      <c r="C27" s="960" t="str">
        <f>IF(D27="Stump, Remove","202-91922","(find code)")</f>
        <v>202-91922</v>
      </c>
      <c r="D27" s="964" t="str">
        <f>UPPER(Obstr.!K54)</f>
        <v>STUMP, REMOVE</v>
      </c>
      <c r="E27" s="963"/>
      <c r="F27" s="136">
        <f>Obstr.!P50</f>
        <v>0</v>
      </c>
      <c r="G27" s="788" t="str">
        <f>IF(Obstr.!M54="ea","EACH",IF(Obstr.!M54="lft","LFT","(find unit)"))</f>
        <v>EACH</v>
      </c>
      <c r="H27" s="966"/>
      <c r="I27" s="30"/>
      <c r="J27" s="30"/>
      <c r="K27" s="30"/>
      <c r="L27" s="40"/>
      <c r="M27" s="40"/>
      <c r="N27" s="30"/>
      <c r="O27" s="30"/>
      <c r="P27" s="30"/>
      <c r="Q27" s="30"/>
      <c r="R27" s="30"/>
      <c r="S27" s="30"/>
      <c r="T27" s="30"/>
      <c r="U27" s="30"/>
      <c r="V27" s="30"/>
      <c r="W27" s="30"/>
      <c r="X27" s="30"/>
      <c r="Y27" s="30"/>
      <c r="Z27" s="30"/>
      <c r="AA27" s="30"/>
      <c r="AB27" s="30"/>
      <c r="AC27" s="30"/>
      <c r="AD27" s="30"/>
      <c r="AE27" s="30"/>
      <c r="AF27" s="30"/>
      <c r="AG27" s="30"/>
      <c r="AH27" s="30"/>
      <c r="AI27" s="30"/>
      <c r="AJ27" s="30"/>
      <c r="AK27" s="30"/>
      <c r="AL27" s="30"/>
      <c r="AM27" s="30"/>
      <c r="AN27" s="30"/>
      <c r="AO27" s="30"/>
      <c r="AP27" s="30"/>
      <c r="AQ27" s="30"/>
      <c r="AR27" s="30"/>
      <c r="AS27" s="30"/>
      <c r="AT27" s="30"/>
      <c r="AU27" s="30"/>
      <c r="AV27" s="30"/>
    </row>
    <row r="28" spans="1:48" ht="12.75" customHeight="1" x14ac:dyDescent="0.2">
      <c r="A28" s="30"/>
      <c r="B28" s="34">
        <f t="shared" si="0"/>
        <v>0</v>
      </c>
      <c r="C28" s="960" t="str">
        <f>IF(D28="Guardrail End Treatment, Remove","202-93741","(find code)")</f>
        <v>202-93741</v>
      </c>
      <c r="D28" s="964" t="str">
        <f>UPPER(Guardrail!F3)</f>
        <v>GUARDRAIL END TREATMENT, REMOVE</v>
      </c>
      <c r="E28" s="963"/>
      <c r="F28" s="136">
        <f>Guardrail!F34</f>
        <v>0</v>
      </c>
      <c r="G28" s="788" t="str">
        <f>IF(Guardrail!F$4="(ea)","EACH",IF(Guardrail!F$4="(lft)","LFT","(find unit)"))</f>
        <v>EACH</v>
      </c>
      <c r="H28" s="966"/>
      <c r="I28" s="30"/>
      <c r="J28" s="30"/>
      <c r="K28" s="30"/>
      <c r="L28" s="40"/>
      <c r="M28" s="40"/>
      <c r="N28" s="30"/>
      <c r="O28" s="30"/>
      <c r="P28" s="30"/>
      <c r="Q28" s="30"/>
      <c r="R28" s="30"/>
      <c r="S28" s="30"/>
      <c r="T28" s="30"/>
      <c r="U28" s="30"/>
      <c r="V28" s="30"/>
      <c r="W28" s="30"/>
      <c r="X28" s="30"/>
      <c r="Y28" s="30"/>
      <c r="Z28" s="30"/>
      <c r="AA28" s="30"/>
      <c r="AB28" s="30"/>
      <c r="AC28" s="30"/>
      <c r="AD28" s="30"/>
      <c r="AE28" s="30"/>
      <c r="AF28" s="30"/>
      <c r="AG28" s="30"/>
      <c r="AH28" s="30"/>
      <c r="AI28" s="30"/>
      <c r="AJ28" s="30"/>
      <c r="AK28" s="30"/>
      <c r="AL28" s="30"/>
      <c r="AM28" s="30"/>
      <c r="AN28" s="30"/>
      <c r="AO28" s="30"/>
      <c r="AP28" s="30"/>
      <c r="AQ28" s="30"/>
      <c r="AR28" s="30"/>
      <c r="AS28" s="30"/>
      <c r="AT28" s="30"/>
      <c r="AU28" s="30"/>
      <c r="AV28" s="30"/>
    </row>
    <row r="29" spans="1:48" ht="12.75" customHeight="1" x14ac:dyDescent="0.2">
      <c r="A29" s="30"/>
      <c r="B29" s="34">
        <f t="shared" si="0"/>
        <v>0</v>
      </c>
      <c r="C29" s="960" t="s">
        <v>852</v>
      </c>
      <c r="D29" s="964" t="s">
        <v>853</v>
      </c>
      <c r="E29" s="963"/>
      <c r="F29" s="136">
        <f>IF(AND(L6=U152,'Resurface, Milling, Agg.'!K53='Resurface, Milling, Agg.'!X68,'Resurface, Milling, Agg.'!F65='Resurface, Milling, Agg.'!AA63),'Resurface, Milling, Agg.'!M73-SUM('Resurface, Milling, Agg.'!M74:M81)+'Resurface, Milling, Agg.'!R73-SUM('Resurface, Milling, Agg.'!R74:R81),IF(AND(L6=U152,'Resurface, Milling, Agg.'!K53='Resurface, Milling, Agg.'!X68),'Resurface, Milling, Agg.'!M73-SUM('Resurface, Milling, Agg.'!M74:M81),0))</f>
        <v>0</v>
      </c>
      <c r="G29" s="788" t="s">
        <v>299</v>
      </c>
      <c r="H29" s="966"/>
      <c r="I29" s="30"/>
      <c r="J29" s="30"/>
      <c r="K29" s="1636">
        <f>IF(AND(L6=U152,F29&gt;0),"Use ''Recycled Milled Asphalt Material'' unique special provision",0)</f>
        <v>0</v>
      </c>
      <c r="L29" s="1636"/>
      <c r="M29" s="40"/>
      <c r="N29" s="30"/>
      <c r="O29" s="30"/>
      <c r="P29" s="30"/>
      <c r="Q29" s="30"/>
      <c r="R29" s="30"/>
      <c r="S29" s="30"/>
      <c r="T29" s="30"/>
      <c r="U29" s="30"/>
      <c r="V29" s="30"/>
      <c r="W29" s="30"/>
      <c r="X29" s="30"/>
      <c r="Y29" s="30"/>
      <c r="Z29" s="30"/>
      <c r="AA29" s="30"/>
      <c r="AB29" s="30"/>
      <c r="AC29" s="30"/>
      <c r="AD29" s="30"/>
      <c r="AE29" s="30"/>
      <c r="AF29" s="30"/>
      <c r="AG29" s="30"/>
      <c r="AH29" s="30"/>
      <c r="AI29" s="30"/>
      <c r="AJ29" s="30"/>
      <c r="AK29" s="30"/>
      <c r="AL29" s="30"/>
      <c r="AM29" s="30"/>
      <c r="AN29" s="30"/>
      <c r="AO29" s="30"/>
      <c r="AP29" s="30"/>
      <c r="AQ29" s="30"/>
      <c r="AR29" s="30"/>
      <c r="AS29" s="30"/>
      <c r="AT29" s="30"/>
      <c r="AU29" s="30"/>
      <c r="AV29" s="30"/>
    </row>
    <row r="30" spans="1:48" ht="12.75" customHeight="1" x14ac:dyDescent="0.2">
      <c r="A30" s="30"/>
      <c r="B30" s="34">
        <f t="shared" si="0"/>
        <v>0</v>
      </c>
      <c r="C30" s="960" t="s">
        <v>861</v>
      </c>
      <c r="D30" s="964" t="s">
        <v>860</v>
      </c>
      <c r="E30" s="963"/>
      <c r="F30" s="136">
        <f>'Major Appr.'!B53+'Minor Appr.'!C43+'Minor Appr.'!C90</f>
        <v>0</v>
      </c>
      <c r="G30" s="788" t="s">
        <v>288</v>
      </c>
      <c r="H30" s="966"/>
      <c r="I30" s="30"/>
      <c r="J30" s="30"/>
      <c r="K30" s="30"/>
      <c r="L30" s="40"/>
      <c r="M30" s="40"/>
      <c r="N30" s="30"/>
      <c r="O30" s="30"/>
      <c r="P30" s="30"/>
      <c r="Q30" s="30"/>
      <c r="R30" s="30"/>
      <c r="S30" s="30"/>
      <c r="T30" s="30"/>
      <c r="U30" s="30"/>
      <c r="V30" s="30"/>
      <c r="W30" s="30"/>
      <c r="X30" s="30"/>
      <c r="Y30" s="30"/>
      <c r="Z30" s="30"/>
      <c r="AA30" s="30"/>
      <c r="AB30" s="30"/>
      <c r="AC30" s="30"/>
      <c r="AD30" s="30"/>
      <c r="AE30" s="30"/>
      <c r="AF30" s="30"/>
      <c r="AG30" s="30"/>
      <c r="AH30" s="30"/>
      <c r="AI30" s="30"/>
      <c r="AJ30" s="30"/>
      <c r="AK30" s="30"/>
      <c r="AL30" s="30"/>
      <c r="AM30" s="30"/>
      <c r="AN30" s="30"/>
      <c r="AO30" s="30"/>
      <c r="AP30" s="30"/>
      <c r="AQ30" s="30"/>
      <c r="AR30" s="30"/>
      <c r="AS30" s="30"/>
      <c r="AT30" s="30"/>
      <c r="AU30" s="30"/>
      <c r="AV30" s="30"/>
    </row>
    <row r="31" spans="1:48" ht="12.75" customHeight="1" x14ac:dyDescent="0.2">
      <c r="A31" s="30"/>
      <c r="B31" s="34">
        <f t="shared" si="0"/>
        <v>0</v>
      </c>
      <c r="C31" s="960" t="s">
        <v>233</v>
      </c>
      <c r="D31" s="964" t="s">
        <v>289</v>
      </c>
      <c r="E31" s="963"/>
      <c r="F31" s="136">
        <f>Patching!B50</f>
        <v>0</v>
      </c>
      <c r="G31" s="788" t="s">
        <v>290</v>
      </c>
      <c r="H31" s="966"/>
      <c r="I31" s="30"/>
      <c r="J31" s="30"/>
      <c r="K31" s="30"/>
      <c r="L31" s="40"/>
      <c r="M31" s="40"/>
      <c r="N31" s="30"/>
      <c r="O31" s="30"/>
      <c r="P31" s="30"/>
      <c r="Q31" s="30"/>
      <c r="R31" s="30"/>
      <c r="S31" s="30"/>
      <c r="T31" s="30"/>
      <c r="U31" s="30"/>
      <c r="V31" s="30"/>
      <c r="W31" s="30"/>
      <c r="X31" s="30"/>
      <c r="Y31" s="30"/>
      <c r="Z31" s="30"/>
      <c r="AA31" s="30"/>
      <c r="AB31" s="30"/>
      <c r="AC31" s="30"/>
      <c r="AD31" s="30"/>
      <c r="AE31" s="30"/>
      <c r="AF31" s="30"/>
      <c r="AG31" s="30"/>
      <c r="AH31" s="30"/>
      <c r="AI31" s="30"/>
      <c r="AJ31" s="30"/>
      <c r="AK31" s="30"/>
      <c r="AL31" s="30"/>
      <c r="AM31" s="30"/>
      <c r="AN31" s="30"/>
      <c r="AO31" s="30"/>
      <c r="AP31" s="30"/>
      <c r="AQ31" s="30"/>
      <c r="AR31" s="30"/>
      <c r="AS31" s="30"/>
      <c r="AT31" s="30"/>
      <c r="AU31" s="30"/>
      <c r="AV31" s="30"/>
    </row>
    <row r="32" spans="1:48" ht="12.75" customHeight="1" x14ac:dyDescent="0.2">
      <c r="A32" s="30"/>
      <c r="B32" s="34">
        <f>IF(F32&gt;0,"X",0)</f>
        <v>0</v>
      </c>
      <c r="C32" s="960" t="s">
        <v>687</v>
      </c>
      <c r="D32" s="964" t="s">
        <v>688</v>
      </c>
      <c r="E32" s="963"/>
      <c r="F32" s="136">
        <f>IF('Resurface, Milling, Agg.'!K53='Resurface, Milling, Agg.'!X66,'Resurface, Milling, Agg.'!K58+'Resurface, Milling, Agg.'!K142,0)</f>
        <v>0</v>
      </c>
      <c r="G32" s="788" t="s">
        <v>290</v>
      </c>
      <c r="H32" s="966"/>
      <c r="I32" s="30"/>
      <c r="J32" s="30"/>
      <c r="K32" s="30"/>
      <c r="L32" s="40"/>
      <c r="M32" s="40"/>
      <c r="N32" s="30"/>
      <c r="O32" s="30"/>
      <c r="P32" s="30"/>
      <c r="Q32" s="30"/>
      <c r="R32" s="30"/>
      <c r="S32" s="30"/>
      <c r="T32" s="30"/>
      <c r="U32" s="30"/>
      <c r="V32" s="30"/>
      <c r="W32" s="30"/>
      <c r="X32" s="30"/>
      <c r="Y32" s="30"/>
      <c r="Z32" s="30"/>
      <c r="AA32" s="30"/>
      <c r="AB32" s="30"/>
      <c r="AC32" s="30"/>
      <c r="AD32" s="30"/>
      <c r="AE32" s="30"/>
      <c r="AF32" s="30"/>
      <c r="AG32" s="30"/>
      <c r="AH32" s="30"/>
      <c r="AI32" s="30"/>
      <c r="AJ32" s="30"/>
      <c r="AK32" s="30"/>
      <c r="AL32" s="30"/>
      <c r="AM32" s="30"/>
      <c r="AN32" s="30"/>
      <c r="AO32" s="30"/>
      <c r="AP32" s="30"/>
      <c r="AQ32" s="30"/>
      <c r="AR32" s="30"/>
      <c r="AS32" s="30"/>
      <c r="AT32" s="30"/>
      <c r="AU32" s="30"/>
      <c r="AV32" s="30"/>
    </row>
    <row r="33" spans="1:48" ht="12.75" customHeight="1" x14ac:dyDescent="0.2">
      <c r="A33" s="30"/>
      <c r="B33" s="34">
        <f t="shared" si="0"/>
        <v>0</v>
      </c>
      <c r="C33" s="960" t="s">
        <v>291</v>
      </c>
      <c r="D33" s="964" t="s">
        <v>292</v>
      </c>
      <c r="E33" s="963">
        <f>IF(AND(L6=U153,'Resurface, Milling, Agg.'!K53='Resurface, Milling, Agg.'!X68),", RECYCLED ASPHALT PAVEMENT",0)</f>
        <v>0</v>
      </c>
      <c r="F33" s="136">
        <f>IF(OR('Resurface, Milling, Agg.'!K53='Resurface, Milling, Agg.'!X67,AND(L6=U153,'Resurface, Milling, Agg.'!K53='Resurface, Milling, Agg.'!X68)),'Resurface, Milling, Agg.'!K58+'Resurface, Milling, Agg.'!K142,0)</f>
        <v>0</v>
      </c>
      <c r="G33" s="788" t="s">
        <v>290</v>
      </c>
      <c r="H33" s="966"/>
      <c r="I33" s="30"/>
      <c r="J33" s="30"/>
      <c r="K33" s="1635">
        <f>IF(AND(L6=U153,'Resurface, Milling, Agg.'!K53='Resurface, Milling, Agg.'!X68),"Use ''Compacted Aggregate, No. 73, Recycled Asphalt Pavement'' unique special provision",0)</f>
        <v>0</v>
      </c>
      <c r="L33" s="1635"/>
      <c r="M33" s="1635"/>
      <c r="N33" s="1635"/>
      <c r="O33" s="30"/>
      <c r="P33" s="30"/>
      <c r="Q33" s="30"/>
      <c r="R33" s="30"/>
      <c r="S33" s="30"/>
      <c r="T33" s="30"/>
      <c r="U33" s="30"/>
      <c r="V33" s="30"/>
      <c r="W33" s="30"/>
      <c r="X33" s="30"/>
      <c r="Y33" s="30"/>
      <c r="Z33" s="30"/>
      <c r="AA33" s="30"/>
      <c r="AB33" s="30"/>
      <c r="AC33" s="30"/>
      <c r="AD33" s="30"/>
      <c r="AE33" s="30"/>
      <c r="AF33" s="30"/>
      <c r="AG33" s="30"/>
      <c r="AH33" s="30"/>
      <c r="AI33" s="30"/>
      <c r="AJ33" s="30"/>
      <c r="AK33" s="30"/>
      <c r="AL33" s="30"/>
      <c r="AM33" s="30"/>
      <c r="AN33" s="30"/>
      <c r="AO33" s="30"/>
      <c r="AP33" s="30"/>
      <c r="AQ33" s="30"/>
      <c r="AR33" s="30"/>
      <c r="AS33" s="30"/>
      <c r="AT33" s="30"/>
      <c r="AU33" s="30"/>
      <c r="AV33" s="30"/>
    </row>
    <row r="34" spans="1:48" ht="12.75" customHeight="1" x14ac:dyDescent="0.2">
      <c r="A34" s="30"/>
      <c r="B34" s="34">
        <f t="shared" si="0"/>
        <v>0</v>
      </c>
      <c r="C34" s="960">
        <f>IF(Patching!L35=Patching!R41,"304-07489",IF(Patching!L35=Patching!R42,"304-07490",IF(Patching!L35=Patching!R43,"304-07491",IF(Patching!L35=Patching!R44,"304-07783",0))))</f>
        <v>0</v>
      </c>
      <c r="D34" s="964" t="str">
        <f>"HMA PATCHING, TYPE "&amp;Patching!L35</f>
        <v xml:space="preserve">HMA PATCHING, TYPE </v>
      </c>
      <c r="E34" s="963" t="s">
        <v>293</v>
      </c>
      <c r="F34" s="136">
        <f>Patching!B48</f>
        <v>0</v>
      </c>
      <c r="G34" s="788" t="s">
        <v>290</v>
      </c>
      <c r="H34" s="966"/>
      <c r="I34" s="30"/>
      <c r="J34" s="30"/>
      <c r="K34" s="30"/>
      <c r="L34" s="40"/>
      <c r="M34" s="40"/>
      <c r="N34" s="30"/>
      <c r="O34" s="30"/>
      <c r="P34" s="30"/>
      <c r="Q34" s="30"/>
      <c r="R34" s="30"/>
      <c r="S34" s="30"/>
      <c r="T34" s="30"/>
      <c r="U34" s="30"/>
      <c r="V34" s="30"/>
      <c r="W34" s="30"/>
      <c r="X34" s="30"/>
      <c r="Y34" s="30"/>
      <c r="Z34" s="30"/>
      <c r="AA34" s="30"/>
      <c r="AB34" s="30"/>
      <c r="AC34" s="30"/>
      <c r="AD34" s="30"/>
      <c r="AE34" s="30"/>
      <c r="AF34" s="30"/>
      <c r="AG34" s="30"/>
      <c r="AH34" s="30"/>
      <c r="AI34" s="30"/>
      <c r="AJ34" s="30"/>
      <c r="AK34" s="30"/>
      <c r="AL34" s="30"/>
      <c r="AM34" s="30"/>
      <c r="AN34" s="30"/>
      <c r="AO34" s="30"/>
      <c r="AP34" s="30"/>
      <c r="AQ34" s="30"/>
      <c r="AR34" s="30"/>
      <c r="AS34" s="30"/>
      <c r="AT34" s="30"/>
      <c r="AU34" s="30"/>
      <c r="AV34" s="30"/>
    </row>
    <row r="35" spans="1:48" ht="12.75" customHeight="1" x14ac:dyDescent="0.2">
      <c r="A35" s="30"/>
      <c r="B35" s="34">
        <f t="shared" si="0"/>
        <v>0</v>
      </c>
      <c r="C35" s="960">
        <f>IF(Patching!L35=Patching!R41,"304-07489",IF(Patching!L35=Patching!R42,"304-07490",IF(Patching!L35=Patching!R43,"304-07491",IF(Patching!L35=Patching!R44,"304-07783",0))))</f>
        <v>0</v>
      </c>
      <c r="D35" s="964" t="str">
        <f>"HMA PATCHING, TYPE "&amp;Patching!L35</f>
        <v xml:space="preserve">HMA PATCHING, TYPE </v>
      </c>
      <c r="E35" s="963" t="s">
        <v>294</v>
      </c>
      <c r="F35" s="136">
        <f>Patching!B47</f>
        <v>0</v>
      </c>
      <c r="G35" s="788" t="s">
        <v>290</v>
      </c>
      <c r="H35" s="966"/>
      <c r="I35" s="30"/>
      <c r="J35" s="30"/>
      <c r="K35" s="30"/>
      <c r="L35" s="40"/>
      <c r="M35" s="40"/>
      <c r="N35" s="30"/>
      <c r="O35" s="30"/>
      <c r="P35" s="30"/>
      <c r="Q35" s="30"/>
      <c r="R35" s="30"/>
      <c r="S35" s="30"/>
      <c r="T35" s="30"/>
      <c r="U35" s="30"/>
      <c r="V35" s="30"/>
      <c r="W35" s="30"/>
      <c r="X35" s="30"/>
      <c r="Y35" s="30"/>
      <c r="Z35" s="30"/>
      <c r="AA35" s="30"/>
      <c r="AB35" s="30"/>
      <c r="AC35" s="30"/>
      <c r="AD35" s="30"/>
      <c r="AE35" s="30"/>
      <c r="AF35" s="30"/>
      <c r="AG35" s="30"/>
      <c r="AH35" s="30"/>
      <c r="AI35" s="30"/>
      <c r="AJ35" s="30"/>
      <c r="AK35" s="30"/>
      <c r="AL35" s="30"/>
      <c r="AM35" s="30"/>
      <c r="AN35" s="30"/>
      <c r="AO35" s="30"/>
      <c r="AP35" s="30"/>
      <c r="AQ35" s="30"/>
      <c r="AR35" s="30"/>
      <c r="AS35" s="30"/>
      <c r="AT35" s="30"/>
      <c r="AU35" s="30"/>
      <c r="AV35" s="30"/>
    </row>
    <row r="36" spans="1:48" ht="12.75" customHeight="1" x14ac:dyDescent="0.2">
      <c r="A36" s="30"/>
      <c r="B36" s="34">
        <f t="shared" si="0"/>
        <v>0</v>
      </c>
      <c r="C36" s="960" t="s">
        <v>741</v>
      </c>
      <c r="D36" s="964" t="str">
        <f>"MILLING, ASPHALT, "&amp;'Resurface, Milling, Agg.'!AA6&amp;" IN"</f>
        <v>MILLING, ASPHALT,  IN</v>
      </c>
      <c r="E36" s="963"/>
      <c r="F36" s="136">
        <f>'Resurface, Milling, Agg.'!N58+'Resurface, Milling, Agg.'!N142</f>
        <v>0</v>
      </c>
      <c r="G36" s="788" t="s">
        <v>288</v>
      </c>
      <c r="H36" s="966"/>
      <c r="I36" s="30"/>
      <c r="J36" s="30"/>
      <c r="K36" s="30"/>
      <c r="L36" s="40"/>
      <c r="M36" s="40"/>
      <c r="N36" s="30"/>
      <c r="O36" s="30"/>
      <c r="P36" s="30"/>
      <c r="Q36" s="30"/>
      <c r="R36" s="30"/>
      <c r="S36" s="30"/>
      <c r="T36" s="30"/>
      <c r="U36" s="30"/>
      <c r="V36" s="30"/>
      <c r="W36" s="30"/>
      <c r="X36" s="30"/>
      <c r="Y36" s="30"/>
      <c r="Z36" s="30"/>
      <c r="AA36" s="30"/>
      <c r="AB36" s="30"/>
      <c r="AC36" s="30"/>
      <c r="AD36" s="30"/>
      <c r="AE36" s="30"/>
      <c r="AF36" s="30"/>
      <c r="AG36" s="30"/>
      <c r="AH36" s="30"/>
      <c r="AI36" s="30"/>
      <c r="AJ36" s="30"/>
      <c r="AK36" s="30"/>
      <c r="AL36" s="30"/>
      <c r="AM36" s="30"/>
      <c r="AN36" s="30"/>
      <c r="AO36" s="30"/>
      <c r="AP36" s="30"/>
      <c r="AQ36" s="30"/>
      <c r="AR36" s="30"/>
      <c r="AS36" s="30"/>
      <c r="AT36" s="30"/>
      <c r="AU36" s="30"/>
      <c r="AV36" s="30"/>
    </row>
    <row r="37" spans="1:48" ht="12.75" customHeight="1" x14ac:dyDescent="0.2">
      <c r="A37" s="30"/>
      <c r="B37" s="34">
        <f t="shared" si="0"/>
        <v>0</v>
      </c>
      <c r="C37" s="960" t="s">
        <v>741</v>
      </c>
      <c r="D37" s="964" t="str">
        <f>"MILLING, ASPHALT, "&amp;'Resurface, Milling, Agg.'!AE6&amp;" IN"</f>
        <v>MILLING, ASPHALT,  IN</v>
      </c>
      <c r="E37" s="963"/>
      <c r="F37" s="136">
        <f>IF('Resurface, Milling, Agg.'!AC6='Resurface, Milling, Agg.'!AA63,'Resurface, Milling, Agg.'!L58+'Resurface, Milling, Agg.'!L142,0)</f>
        <v>0</v>
      </c>
      <c r="G37" s="788" t="s">
        <v>288</v>
      </c>
      <c r="H37" s="966"/>
      <c r="I37" s="30"/>
      <c r="J37" s="30"/>
      <c r="K37" s="30"/>
      <c r="L37" s="40"/>
      <c r="M37" s="40"/>
      <c r="N37" s="30"/>
      <c r="O37" s="30"/>
      <c r="P37" s="30"/>
      <c r="Q37" s="30"/>
      <c r="R37" s="30"/>
      <c r="S37" s="30"/>
      <c r="T37" s="30"/>
      <c r="U37" s="30"/>
      <c r="V37" s="30"/>
      <c r="W37" s="30"/>
      <c r="X37" s="30"/>
      <c r="Y37" s="30"/>
      <c r="Z37" s="30"/>
      <c r="AA37" s="30"/>
      <c r="AB37" s="30"/>
      <c r="AC37" s="30"/>
      <c r="AD37" s="30"/>
      <c r="AE37" s="30"/>
      <c r="AF37" s="30"/>
      <c r="AG37" s="30"/>
      <c r="AH37" s="30"/>
      <c r="AI37" s="30"/>
      <c r="AJ37" s="30"/>
      <c r="AK37" s="30"/>
      <c r="AL37" s="30"/>
      <c r="AM37" s="30"/>
      <c r="AN37" s="30"/>
      <c r="AO37" s="30"/>
      <c r="AP37" s="30"/>
      <c r="AQ37" s="30"/>
      <c r="AR37" s="30"/>
      <c r="AS37" s="30"/>
      <c r="AT37" s="30"/>
      <c r="AU37" s="30"/>
      <c r="AV37" s="30"/>
    </row>
    <row r="38" spans="1:48" ht="12.75" customHeight="1" x14ac:dyDescent="0.2">
      <c r="A38" s="30"/>
      <c r="B38" s="34">
        <f t="shared" si="0"/>
        <v>0</v>
      </c>
      <c r="C38" s="960" t="str">
        <f>IF('Resurface, Milling, Agg.'!AG6='Resurface, Milling, Agg.'!AE63,"306-11872",IF('Resurface, Milling, Agg.'!AG6='Resurface, Milling, Agg.'!AE64,"306-08039","306-08042"))</f>
        <v>306-08042</v>
      </c>
      <c r="D38" s="964" t="str">
        <f>IF('Resurface, Milling, Agg.'!AG6='Resurface, Milling, Agg.'!AE63,"MILLING, PROFILE",IF('Resurface, Milling, Agg.'!AG6='Resurface, Milling, Agg.'!AE64,"MILLING, ASPHALT REMOVAL","MILLING, SCARIFICATION"))</f>
        <v>MILLING, SCARIFICATION</v>
      </c>
      <c r="E38" s="963"/>
      <c r="F38" s="136">
        <f>IF('Resurface, Milling, Agg.'!AC6='Resurface, Milling, Agg.'!AA63,0,'Resurface, Milling, Agg.'!L58+'Resurface, Milling, Agg.'!L142)+IF(L38&lt;&gt;"(fill-in #)",L38,0)</f>
        <v>0</v>
      </c>
      <c r="G38" s="788" t="s">
        <v>288</v>
      </c>
      <c r="H38" s="966"/>
      <c r="I38" s="30"/>
      <c r="J38" s="30"/>
      <c r="K38" s="251">
        <f>IF(AND($L$6=$U$153,OR('Resurface, Milling, Agg.'!$W$52='Resurface, Milling, Agg.'!$AA$56,'Resurface, Milling, Agg.'!$W$52='Resurface, Milling, Agg.'!$AA$57)),"Quantity of undistributed scarification for surface prep.",0)</f>
        <v>0</v>
      </c>
      <c r="L38" s="40">
        <f>IF(AND($L$6=$U$153,OR('Resurface, Milling, Agg.'!$W$52='Resurface, Milling, Agg.'!$AA$56,'Resurface, Milling, Agg.'!$W$52='Resurface, Milling, Agg.'!$AA$57)),"(fill-in #)",0)</f>
        <v>0</v>
      </c>
      <c r="M38" s="556">
        <f>IF(AND($L$6=$U$153,OR('Resurface, Milling, Agg.'!$W$52='Resurface, Milling, Agg.'!$AA$56,'Resurface, Milling, Agg.'!$W$52='Resurface, Milling, Agg.'!$AA$57)),"sys",0)</f>
        <v>0</v>
      </c>
      <c r="N38" s="30"/>
      <c r="O38" s="30"/>
      <c r="P38" s="30"/>
      <c r="Q38" s="30"/>
      <c r="R38" s="30"/>
      <c r="S38" s="30"/>
      <c r="T38" s="30"/>
      <c r="U38" s="30"/>
      <c r="V38" s="30"/>
      <c r="W38" s="30"/>
      <c r="X38" s="30"/>
      <c r="Y38" s="30"/>
      <c r="Z38" s="30"/>
      <c r="AA38" s="30"/>
      <c r="AB38" s="30"/>
      <c r="AC38" s="30"/>
      <c r="AD38" s="30"/>
      <c r="AE38" s="30"/>
      <c r="AF38" s="30"/>
      <c r="AG38" s="30"/>
      <c r="AH38" s="30"/>
      <c r="AI38" s="30"/>
      <c r="AJ38" s="30"/>
      <c r="AK38" s="30"/>
      <c r="AL38" s="30"/>
      <c r="AM38" s="30"/>
      <c r="AN38" s="30"/>
      <c r="AO38" s="30"/>
      <c r="AP38" s="30"/>
      <c r="AQ38" s="30"/>
      <c r="AR38" s="30"/>
      <c r="AS38" s="30"/>
      <c r="AT38" s="30"/>
      <c r="AU38" s="30"/>
      <c r="AV38" s="30"/>
    </row>
    <row r="39" spans="1:48" ht="12.75" customHeight="1" x14ac:dyDescent="0.2">
      <c r="A39" s="30"/>
      <c r="B39" s="34">
        <f t="shared" si="0"/>
        <v>0</v>
      </c>
      <c r="C39" s="960" t="s">
        <v>248</v>
      </c>
      <c r="D39" s="964" t="s">
        <v>295</v>
      </c>
      <c r="E39" s="963"/>
      <c r="F39" s="136">
        <f>'Resurface, Milling, Agg.'!M58+'Resurface, Milling, Agg.'!M142</f>
        <v>0</v>
      </c>
      <c r="G39" s="788" t="s">
        <v>288</v>
      </c>
      <c r="H39" s="966"/>
      <c r="I39" s="30"/>
      <c r="J39" s="30"/>
      <c r="K39" s="30"/>
      <c r="L39" s="40"/>
      <c r="M39" s="40"/>
      <c r="N39" s="30"/>
      <c r="O39" s="30"/>
      <c r="P39" s="30"/>
      <c r="Q39" s="30"/>
      <c r="R39" s="30"/>
      <c r="S39" s="30"/>
      <c r="T39" s="30"/>
      <c r="U39" s="30"/>
      <c r="V39" s="30"/>
      <c r="W39" s="30"/>
      <c r="X39" s="30"/>
      <c r="Y39" s="30"/>
      <c r="Z39" s="30"/>
      <c r="AA39" s="30"/>
      <c r="AB39" s="30"/>
      <c r="AC39" s="30"/>
      <c r="AD39" s="30"/>
      <c r="AE39" s="30"/>
      <c r="AF39" s="30"/>
      <c r="AG39" s="30"/>
      <c r="AH39" s="30"/>
      <c r="AI39" s="30"/>
      <c r="AJ39" s="30"/>
      <c r="AK39" s="30"/>
      <c r="AL39" s="30"/>
      <c r="AM39" s="30"/>
      <c r="AN39" s="30"/>
      <c r="AO39" s="30"/>
      <c r="AP39" s="30"/>
      <c r="AQ39" s="30"/>
      <c r="AR39" s="30"/>
      <c r="AS39" s="30"/>
      <c r="AT39" s="30"/>
      <c r="AU39" s="30"/>
      <c r="AV39" s="30"/>
    </row>
    <row r="40" spans="1:48" ht="12.75" customHeight="1" x14ac:dyDescent="0.2">
      <c r="A40" s="30"/>
      <c r="B40" s="34">
        <f t="shared" si="0"/>
        <v>0</v>
      </c>
      <c r="C40" s="960" t="s">
        <v>231</v>
      </c>
      <c r="D40" s="964" t="s">
        <v>296</v>
      </c>
      <c r="E40" s="963"/>
      <c r="F40" s="136">
        <f>'Major Appr.'!B52+'Minor Appr.'!C42+'Minor Appr.'!C89</f>
        <v>0</v>
      </c>
      <c r="G40" s="788" t="s">
        <v>288</v>
      </c>
      <c r="H40" s="966"/>
      <c r="I40" s="30"/>
      <c r="J40" s="30"/>
      <c r="K40" s="30"/>
      <c r="L40" s="40"/>
      <c r="M40" s="40"/>
      <c r="N40" s="30"/>
      <c r="O40" s="30"/>
      <c r="P40" s="30"/>
      <c r="Q40" s="30"/>
      <c r="R40" s="30"/>
      <c r="S40" s="30"/>
      <c r="T40" s="30"/>
      <c r="U40" s="30"/>
      <c r="V40" s="30"/>
      <c r="W40" s="30"/>
      <c r="X40" s="30"/>
      <c r="Y40" s="30"/>
      <c r="Z40" s="30"/>
      <c r="AA40" s="30"/>
      <c r="AB40" s="30"/>
      <c r="AC40" s="30"/>
      <c r="AD40" s="30"/>
      <c r="AE40" s="30"/>
      <c r="AF40" s="30"/>
      <c r="AG40" s="30"/>
      <c r="AH40" s="30"/>
      <c r="AI40" s="30"/>
      <c r="AJ40" s="30"/>
      <c r="AK40" s="30"/>
      <c r="AL40" s="30"/>
      <c r="AM40" s="30"/>
      <c r="AN40" s="30"/>
      <c r="AO40" s="30"/>
      <c r="AP40" s="30"/>
      <c r="AQ40" s="30"/>
      <c r="AR40" s="30"/>
      <c r="AS40" s="30"/>
      <c r="AT40" s="30"/>
      <c r="AU40" s="30"/>
      <c r="AV40" s="30"/>
    </row>
    <row r="41" spans="1:48" ht="12.75" customHeight="1" x14ac:dyDescent="0.2">
      <c r="A41" s="30"/>
      <c r="B41" s="34">
        <f t="shared" si="0"/>
        <v>0</v>
      </c>
      <c r="C41" s="960" t="s">
        <v>232</v>
      </c>
      <c r="D41" s="964" t="s">
        <v>297</v>
      </c>
      <c r="E41" s="963"/>
      <c r="F41" s="136">
        <f>IF(AND(L41&gt;45,OR('Resurface, Milling, Agg.'!W52='Resurface, Milling, Agg.'!AA54,'Resurface, Milling, Agg.'!W52='Resurface, Milling, Agg.'!AA55)),1,0)</f>
        <v>0</v>
      </c>
      <c r="G41" s="788" t="s">
        <v>269</v>
      </c>
      <c r="H41" s="966"/>
      <c r="I41" s="30"/>
      <c r="J41" s="30"/>
      <c r="K41" s="304" t="s">
        <v>693</v>
      </c>
      <c r="L41" s="971"/>
      <c r="M41" s="40"/>
      <c r="N41" s="82"/>
      <c r="O41" s="30"/>
      <c r="P41" s="30"/>
      <c r="Q41" s="30"/>
      <c r="R41" s="810"/>
      <c r="S41" s="30"/>
      <c r="T41" s="30"/>
      <c r="U41" s="30"/>
      <c r="V41" s="30"/>
      <c r="W41" s="30"/>
      <c r="X41" s="30"/>
      <c r="Y41" s="30"/>
      <c r="Z41" s="30"/>
      <c r="AA41" s="30"/>
      <c r="AB41" s="30"/>
      <c r="AC41" s="30"/>
      <c r="AD41" s="30"/>
      <c r="AE41" s="30"/>
      <c r="AF41" s="30"/>
      <c r="AG41" s="30"/>
      <c r="AH41" s="30"/>
      <c r="AI41" s="30"/>
      <c r="AJ41" s="30"/>
      <c r="AK41" s="30"/>
      <c r="AL41" s="30"/>
      <c r="AM41" s="30"/>
      <c r="AN41" s="30"/>
      <c r="AO41" s="30"/>
      <c r="AP41" s="30"/>
      <c r="AQ41" s="30"/>
      <c r="AR41" s="30"/>
      <c r="AS41" s="30"/>
      <c r="AT41" s="30"/>
      <c r="AU41" s="30"/>
      <c r="AV41" s="30"/>
    </row>
    <row r="42" spans="1:48" ht="12.75" customHeight="1" x14ac:dyDescent="0.2">
      <c r="A42" s="30"/>
      <c r="B42" s="34">
        <f t="shared" si="0"/>
        <v>0</v>
      </c>
      <c r="C42" s="960" t="s">
        <v>742</v>
      </c>
      <c r="D42" s="964" t="str">
        <f>"QC/QA-HMA, "&amp;L42&amp;M42&amp;" SURFACE, "&amp;N42</f>
        <v xml:space="preserve">QC/QA-HMA,  SURFACE, </v>
      </c>
      <c r="E42" s="963"/>
      <c r="F42" s="136">
        <f>IF('Resurface, Milling, Agg.'!W52='Resurface, Milling, Agg.'!AA54,'Resurface, Milling, Agg.'!F58+'Resurface, Milling, Agg.'!F142,0)+IF(AND('Resurface, Milling, Agg.'!W56='Resurface, Milling, Agg.'!AA54,Summary!R42=Summary!O151),'Resurface, Milling, Agg.'!H58+'Resurface, Milling, Agg.'!H142,0)</f>
        <v>0</v>
      </c>
      <c r="G42" s="788" t="s">
        <v>290</v>
      </c>
      <c r="H42" s="966"/>
      <c r="I42" s="30"/>
      <c r="J42" s="30"/>
      <c r="K42" s="251" t="s">
        <v>708</v>
      </c>
      <c r="L42" s="997"/>
      <c r="M42" s="998"/>
      <c r="N42" s="999"/>
      <c r="O42" s="30"/>
      <c r="P42" s="40"/>
      <c r="Q42" s="251" t="s">
        <v>712</v>
      </c>
      <c r="R42" s="194"/>
      <c r="S42" s="30"/>
      <c r="T42" s="30"/>
      <c r="U42" s="30"/>
      <c r="V42" s="30"/>
      <c r="W42" s="30"/>
      <c r="X42" s="30"/>
      <c r="Y42" s="30"/>
      <c r="Z42" s="30"/>
      <c r="AA42" s="30"/>
      <c r="AB42" s="30"/>
      <c r="AC42" s="30"/>
      <c r="AD42" s="30"/>
      <c r="AE42" s="30"/>
      <c r="AF42" s="30"/>
      <c r="AG42" s="30"/>
      <c r="AH42" s="30"/>
      <c r="AI42" s="30"/>
      <c r="AJ42" s="30"/>
      <c r="AK42" s="30"/>
      <c r="AL42" s="30"/>
      <c r="AM42" s="30"/>
      <c r="AN42" s="30"/>
      <c r="AO42" s="30"/>
      <c r="AP42" s="30"/>
      <c r="AQ42" s="30"/>
      <c r="AR42" s="30"/>
      <c r="AS42" s="30"/>
      <c r="AT42" s="30"/>
      <c r="AU42" s="30"/>
      <c r="AV42" s="30"/>
    </row>
    <row r="43" spans="1:48" ht="12.75" customHeight="1" x14ac:dyDescent="0.2">
      <c r="A43" s="30"/>
      <c r="B43" s="34">
        <f t="shared" si="0"/>
        <v>0</v>
      </c>
      <c r="C43" s="960" t="s">
        <v>742</v>
      </c>
      <c r="D43" s="964" t="str">
        <f>"QC/QA-HMA, "&amp;L43&amp;M43&amp;" INTERMEDIATE, "&amp;N43</f>
        <v xml:space="preserve">QC/QA-HMA,  INTERMEDIATE, </v>
      </c>
      <c r="E43" s="963"/>
      <c r="F43" s="136">
        <f>IF('Resurface, Milling, Agg.'!W52='Resurface, Milling, Agg.'!AA54,'Resurface, Milling, Agg.'!G58+'Resurface, Milling, Agg.'!G142,0)+IF(AND('Resurface, Milling, Agg.'!W56='Resurface, Milling, Agg.'!AA54,Summary!R42=Summary!O151),'Resurface, Milling, Agg.'!I58+'Resurface, Milling, Agg.'!I142,0)+IF('Resurface, Milling, Agg.'!W52='Resurface, Milling, Agg.'!AA55,'Resurface, Milling, Agg.'!G58+'Resurface, Milling, Agg.'!G142,0)</f>
        <v>0</v>
      </c>
      <c r="G43" s="788" t="s">
        <v>290</v>
      </c>
      <c r="H43" s="966"/>
      <c r="I43" s="30"/>
      <c r="J43" s="30"/>
      <c r="K43" s="251" t="s">
        <v>709</v>
      </c>
      <c r="L43" s="997"/>
      <c r="M43" s="998"/>
      <c r="N43" s="999"/>
      <c r="O43" s="30"/>
      <c r="P43" s="30"/>
      <c r="Q43" s="30"/>
      <c r="R43" s="30"/>
      <c r="S43" s="30"/>
      <c r="T43" s="30"/>
      <c r="U43" s="30"/>
      <c r="V43" s="30"/>
      <c r="W43" s="30"/>
      <c r="X43" s="30"/>
      <c r="Y43" s="30"/>
      <c r="Z43" s="30"/>
      <c r="AA43" s="30"/>
      <c r="AB43" s="30"/>
      <c r="AC43" s="30"/>
      <c r="AD43" s="30"/>
      <c r="AE43" s="30"/>
      <c r="AF43" s="30"/>
      <c r="AG43" s="30"/>
      <c r="AH43" s="30"/>
      <c r="AI43" s="30"/>
      <c r="AJ43" s="30"/>
      <c r="AK43" s="30"/>
      <c r="AL43" s="30"/>
      <c r="AM43" s="30"/>
      <c r="AN43" s="30"/>
      <c r="AO43" s="30"/>
      <c r="AP43" s="30"/>
      <c r="AQ43" s="30"/>
      <c r="AR43" s="30"/>
      <c r="AS43" s="30"/>
      <c r="AT43" s="30"/>
      <c r="AU43" s="30"/>
      <c r="AV43" s="30"/>
    </row>
    <row r="44" spans="1:48" ht="12.75" customHeight="1" x14ac:dyDescent="0.2">
      <c r="A44" s="30"/>
      <c r="B44" s="34">
        <f>IF(AND(F44&gt;0,F44&lt;&gt;"(yes/ no)"),"X",0)</f>
        <v>0</v>
      </c>
      <c r="C44" s="960" t="s">
        <v>742</v>
      </c>
      <c r="D44" s="964" t="str">
        <f>"QC/QA-HMA, "&amp;L44&amp;M44&amp;" SURFACE, "&amp;N44</f>
        <v xml:space="preserve">QC/QA-HMA,  SURFACE, </v>
      </c>
      <c r="E44" s="963"/>
      <c r="F44" s="136" t="str">
        <f>IF(AND('Resurface, Milling, Agg.'!W56='Resurface, Milling, Agg.'!AA54,Summary!R42=O152),'Resurface, Milling, Agg.'!H58+'Resurface, Milling, Agg.'!H142,IF(R42=0,"(yes/ no)",0))</f>
        <v>(yes/ no)</v>
      </c>
      <c r="G44" s="788" t="s">
        <v>290</v>
      </c>
      <c r="H44" s="966" t="str">
        <f>IF(F44="(yes/ no)","(select if mainline &amp; shoulder pavement are the same)",0)</f>
        <v>(select if mainline &amp; shoulder pavement are the same)</v>
      </c>
      <c r="I44" s="30"/>
      <c r="J44" s="30"/>
      <c r="K44" s="251" t="s">
        <v>710</v>
      </c>
      <c r="L44" s="1000"/>
      <c r="M44" s="998"/>
      <c r="N44" s="999"/>
      <c r="O44" s="30"/>
      <c r="P44" s="30"/>
      <c r="Q44" s="30"/>
      <c r="R44" s="30"/>
      <c r="S44" s="30"/>
      <c r="T44" s="30"/>
      <c r="U44" s="30"/>
      <c r="V44" s="30"/>
      <c r="W44" s="30"/>
      <c r="X44" s="30"/>
      <c r="Y44" s="30"/>
      <c r="Z44" s="30"/>
      <c r="AA44" s="30"/>
      <c r="AB44" s="30"/>
      <c r="AC44" s="30"/>
      <c r="AD44" s="30"/>
      <c r="AE44" s="30"/>
      <c r="AF44" s="30"/>
      <c r="AG44" s="30"/>
      <c r="AH44" s="30"/>
      <c r="AI44" s="30"/>
      <c r="AJ44" s="30"/>
      <c r="AK44" s="30"/>
      <c r="AL44" s="30"/>
      <c r="AM44" s="30"/>
      <c r="AN44" s="30"/>
      <c r="AO44" s="30"/>
      <c r="AP44" s="30"/>
      <c r="AQ44" s="30"/>
      <c r="AR44" s="30"/>
      <c r="AS44" s="30"/>
      <c r="AT44" s="30"/>
      <c r="AU44" s="30"/>
      <c r="AV44" s="30"/>
    </row>
    <row r="45" spans="1:48" ht="12.75" customHeight="1" x14ac:dyDescent="0.2">
      <c r="A45" s="30"/>
      <c r="B45" s="34">
        <f>IF(AND(F45&gt;0,F45&lt;&gt;"(yes/ no)"),"X",0)</f>
        <v>0</v>
      </c>
      <c r="C45" s="960" t="s">
        <v>742</v>
      </c>
      <c r="D45" s="964" t="str">
        <f>"QC/QA-HMA, "&amp;L45&amp;M45&amp;" INTERMEDIATE, "&amp;N45</f>
        <v xml:space="preserve">QC/QA-HMA,  INTERMEDIATE, </v>
      </c>
      <c r="E45" s="963"/>
      <c r="F45" s="136" t="str">
        <f>IF(AND('Resurface, Milling, Agg.'!W56='Resurface, Milling, Agg.'!AA54,Summary!R42=O152),'Resurface, Milling, Agg.'!I58+'Resurface, Milling, Agg.'!I142,IF(R42=0,"(yes/ no)",0))</f>
        <v>(yes/ no)</v>
      </c>
      <c r="G45" s="788" t="s">
        <v>290</v>
      </c>
      <c r="H45" s="966" t="str">
        <f>IF(F45="(yes/ no)","(select if mainline &amp; shoulder pavement are the same)",0)</f>
        <v>(select if mainline &amp; shoulder pavement are the same)</v>
      </c>
      <c r="I45" s="30"/>
      <c r="J45" s="30"/>
      <c r="K45" s="251" t="s">
        <v>711</v>
      </c>
      <c r="L45" s="1000"/>
      <c r="M45" s="998"/>
      <c r="N45" s="999"/>
      <c r="O45" s="30"/>
      <c r="P45" s="30"/>
      <c r="Q45" s="30"/>
      <c r="R45" s="30"/>
      <c r="S45" s="30"/>
      <c r="T45" s="30"/>
      <c r="U45" s="30"/>
      <c r="V45" s="30"/>
      <c r="W45" s="30"/>
      <c r="X45" s="30"/>
      <c r="Y45" s="30"/>
      <c r="Z45" s="30"/>
      <c r="AA45" s="30"/>
      <c r="AB45" s="30"/>
      <c r="AC45" s="30"/>
      <c r="AD45" s="30"/>
      <c r="AE45" s="30"/>
      <c r="AF45" s="30"/>
      <c r="AG45" s="30"/>
      <c r="AH45" s="30"/>
      <c r="AI45" s="30"/>
      <c r="AJ45" s="30"/>
      <c r="AK45" s="30"/>
      <c r="AL45" s="30"/>
      <c r="AM45" s="30"/>
      <c r="AN45" s="30"/>
      <c r="AO45" s="30"/>
      <c r="AP45" s="30"/>
      <c r="AQ45" s="30"/>
      <c r="AR45" s="30"/>
      <c r="AS45" s="30"/>
      <c r="AT45" s="30"/>
      <c r="AU45" s="30"/>
      <c r="AV45" s="30"/>
    </row>
    <row r="46" spans="1:48" ht="12.75" customHeight="1" x14ac:dyDescent="0.2">
      <c r="A46" s="30"/>
      <c r="B46" s="34">
        <f t="shared" ref="B46:B140" si="1">IF(F46&gt;0,"X",0)</f>
        <v>0</v>
      </c>
      <c r="C46" s="960" t="s">
        <v>713</v>
      </c>
      <c r="D46" s="964" t="s">
        <v>716</v>
      </c>
      <c r="E46" s="963"/>
      <c r="F46" s="136">
        <f>'Resurface, Milling, Agg.'!O58+'Resurface, Milling, Agg.'!O142</f>
        <v>0</v>
      </c>
      <c r="G46" s="788" t="s">
        <v>299</v>
      </c>
      <c r="H46" s="966"/>
      <c r="I46" s="30"/>
      <c r="J46" s="30"/>
      <c r="K46" s="251"/>
      <c r="L46" s="40"/>
      <c r="M46" s="40"/>
      <c r="N46" s="40"/>
      <c r="O46" s="30"/>
      <c r="P46" s="30"/>
      <c r="Q46" s="30"/>
      <c r="R46" s="30"/>
      <c r="S46" s="30"/>
      <c r="T46" s="30"/>
      <c r="U46" s="30"/>
      <c r="V46" s="30"/>
      <c r="W46" s="30"/>
      <c r="X46" s="30"/>
      <c r="Y46" s="30"/>
      <c r="Z46" s="30"/>
      <c r="AA46" s="30"/>
      <c r="AB46" s="30"/>
      <c r="AC46" s="30"/>
      <c r="AD46" s="30"/>
      <c r="AE46" s="30"/>
      <c r="AF46" s="30"/>
      <c r="AG46" s="30"/>
      <c r="AH46" s="30"/>
      <c r="AI46" s="30"/>
      <c r="AJ46" s="30"/>
      <c r="AK46" s="30"/>
      <c r="AL46" s="30"/>
      <c r="AM46" s="30"/>
      <c r="AN46" s="30"/>
      <c r="AO46" s="30"/>
      <c r="AP46" s="30"/>
      <c r="AQ46" s="30"/>
      <c r="AR46" s="30"/>
      <c r="AS46" s="30"/>
      <c r="AT46" s="30"/>
      <c r="AU46" s="30"/>
      <c r="AV46" s="30"/>
    </row>
    <row r="47" spans="1:48" ht="12.75" customHeight="1" x14ac:dyDescent="0.2">
      <c r="A47" s="30"/>
      <c r="B47" s="34">
        <f t="shared" si="1"/>
        <v>0</v>
      </c>
      <c r="C47" s="960" t="s">
        <v>714</v>
      </c>
      <c r="D47" s="964" t="s">
        <v>717</v>
      </c>
      <c r="E47" s="963"/>
      <c r="F47" s="136">
        <f>'Resurface, Milling, Agg.'!P58+'Resurface, Milling, Agg.'!P142</f>
        <v>0</v>
      </c>
      <c r="G47" s="788" t="s">
        <v>299</v>
      </c>
      <c r="H47" s="966"/>
      <c r="I47" s="30"/>
      <c r="J47" s="30"/>
      <c r="K47" s="251"/>
      <c r="L47" s="40"/>
      <c r="M47" s="40"/>
      <c r="N47" s="40"/>
      <c r="O47" s="30"/>
      <c r="P47" s="30"/>
      <c r="Q47" s="30"/>
      <c r="R47" s="30"/>
      <c r="S47" s="30"/>
      <c r="T47" s="30"/>
      <c r="U47" s="30"/>
      <c r="V47" s="30"/>
      <c r="W47" s="30"/>
      <c r="X47" s="30"/>
      <c r="Y47" s="30"/>
      <c r="Z47" s="30"/>
      <c r="AA47" s="30"/>
      <c r="AB47" s="30"/>
      <c r="AC47" s="30"/>
      <c r="AD47" s="30"/>
      <c r="AE47" s="30"/>
      <c r="AF47" s="30"/>
      <c r="AG47" s="30"/>
      <c r="AH47" s="30"/>
      <c r="AI47" s="30"/>
      <c r="AJ47" s="30"/>
      <c r="AK47" s="30"/>
      <c r="AL47" s="30"/>
      <c r="AM47" s="30"/>
      <c r="AN47" s="30"/>
      <c r="AO47" s="30"/>
      <c r="AP47" s="30"/>
      <c r="AQ47" s="30"/>
      <c r="AR47" s="30"/>
      <c r="AS47" s="30"/>
      <c r="AT47" s="30"/>
      <c r="AU47" s="30"/>
      <c r="AV47" s="30"/>
    </row>
    <row r="48" spans="1:48" ht="12.75" customHeight="1" x14ac:dyDescent="0.2">
      <c r="A48" s="30"/>
      <c r="B48" s="34">
        <f t="shared" si="1"/>
        <v>0</v>
      </c>
      <c r="C48" s="960" t="s">
        <v>715</v>
      </c>
      <c r="D48" s="964" t="s">
        <v>718</v>
      </c>
      <c r="E48" s="963"/>
      <c r="F48" s="136">
        <f>'Resurface, Milling, Agg.'!Q58+'Resurface, Milling, Agg.'!Q142+CLRS!D48+ELRS!E49</f>
        <v>0</v>
      </c>
      <c r="G48" s="788" t="s">
        <v>299</v>
      </c>
      <c r="H48" s="966"/>
      <c r="I48" s="30"/>
      <c r="J48" s="30"/>
      <c r="K48" s="30"/>
      <c r="L48" s="40"/>
      <c r="M48" s="40"/>
      <c r="N48" s="30"/>
      <c r="O48" s="30"/>
      <c r="P48" s="30"/>
      <c r="Q48" s="30"/>
      <c r="R48" s="30"/>
      <c r="S48" s="30"/>
      <c r="T48" s="30"/>
      <c r="U48" s="30"/>
      <c r="V48" s="30"/>
      <c r="W48" s="30"/>
      <c r="X48" s="30"/>
      <c r="Y48" s="30"/>
      <c r="Z48" s="30"/>
      <c r="AA48" s="30"/>
      <c r="AB48" s="30"/>
      <c r="AC48" s="30"/>
      <c r="AD48" s="30"/>
      <c r="AE48" s="30"/>
      <c r="AF48" s="30"/>
      <c r="AG48" s="30"/>
      <c r="AH48" s="30"/>
      <c r="AI48" s="30"/>
      <c r="AJ48" s="30"/>
      <c r="AK48" s="30"/>
      <c r="AL48" s="30"/>
      <c r="AM48" s="30"/>
      <c r="AN48" s="30"/>
      <c r="AO48" s="30"/>
      <c r="AP48" s="30"/>
      <c r="AQ48" s="30"/>
      <c r="AR48" s="30"/>
      <c r="AS48" s="30"/>
      <c r="AT48" s="30"/>
      <c r="AU48" s="30"/>
      <c r="AV48" s="30"/>
    </row>
    <row r="49" spans="1:48" ht="12.75" customHeight="1" x14ac:dyDescent="0.2">
      <c r="A49" s="30"/>
      <c r="B49" s="34">
        <f t="shared" si="1"/>
        <v>0</v>
      </c>
      <c r="C49" s="960" t="s">
        <v>743</v>
      </c>
      <c r="D49" s="964" t="str">
        <f>"SEAL COAT, "&amp;L49</f>
        <v xml:space="preserve">SEAL COAT, </v>
      </c>
      <c r="E49" s="963"/>
      <c r="F49" s="136">
        <f>IF('Resurface, Milling, Agg.'!W52='Resurface, Milling, Agg.'!AA58,'Resurface, Milling, Agg.'!F58+'Resurface, Milling, Agg.'!F142,0)+IF('Resurface, Milling, Agg.'!W56='Resurface, Milling, Agg.'!AA58,'Resurface, Milling, Agg.'!H58+'Resurface, Milling, Agg.'!H142,0)</f>
        <v>0</v>
      </c>
      <c r="G49" s="788" t="s">
        <v>288</v>
      </c>
      <c r="H49" s="966"/>
      <c r="I49" s="30"/>
      <c r="J49" s="30"/>
      <c r="K49" s="251" t="s">
        <v>719</v>
      </c>
      <c r="L49" s="1001"/>
      <c r="M49" s="40"/>
      <c r="N49" s="30"/>
      <c r="O49" s="30"/>
      <c r="P49" s="30"/>
      <c r="Q49" s="30"/>
      <c r="R49" s="30"/>
      <c r="S49" s="30"/>
      <c r="T49" s="30"/>
      <c r="U49" s="30"/>
      <c r="V49" s="30"/>
      <c r="W49" s="30"/>
      <c r="X49" s="30"/>
      <c r="Y49" s="30"/>
      <c r="Z49" s="30"/>
      <c r="AA49" s="30"/>
      <c r="AB49" s="30"/>
      <c r="AC49" s="30"/>
      <c r="AD49" s="30"/>
      <c r="AE49" s="30"/>
      <c r="AF49" s="30"/>
      <c r="AG49" s="30"/>
      <c r="AH49" s="30"/>
      <c r="AI49" s="30"/>
      <c r="AJ49" s="30"/>
      <c r="AK49" s="30"/>
      <c r="AL49" s="30"/>
      <c r="AM49" s="30"/>
      <c r="AN49" s="30"/>
      <c r="AO49" s="30"/>
      <c r="AP49" s="30"/>
      <c r="AQ49" s="30"/>
      <c r="AR49" s="30"/>
      <c r="AS49" s="30"/>
      <c r="AT49" s="30"/>
      <c r="AU49" s="30"/>
      <c r="AV49" s="30"/>
    </row>
    <row r="50" spans="1:48" ht="12.75" customHeight="1" x14ac:dyDescent="0.2">
      <c r="A50" s="30"/>
      <c r="B50" s="34">
        <f t="shared" si="1"/>
        <v>0</v>
      </c>
      <c r="C50" s="960" t="s">
        <v>230</v>
      </c>
      <c r="D50" s="964" t="s">
        <v>298</v>
      </c>
      <c r="E50" s="963"/>
      <c r="F50" s="136">
        <f>'Resurface, Milling, Agg.'!J58+'Resurface, Milling, Agg.'!J142+Patching!B49+'Major Appr.'!B51+'Minor Appr.'!C41+'Minor Appr.'!C88</f>
        <v>0</v>
      </c>
      <c r="G50" s="788" t="s">
        <v>290</v>
      </c>
      <c r="H50" s="966"/>
      <c r="I50" s="30"/>
      <c r="J50" s="30"/>
      <c r="K50" s="30"/>
      <c r="L50" s="40"/>
      <c r="M50" s="40"/>
      <c r="N50" s="30"/>
      <c r="O50" s="30"/>
      <c r="P50" s="30"/>
      <c r="Q50" s="30"/>
      <c r="R50" s="30"/>
      <c r="S50" s="30"/>
      <c r="T50" s="30"/>
      <c r="U50" s="30"/>
      <c r="V50" s="30"/>
      <c r="W50" s="30"/>
      <c r="X50" s="30"/>
      <c r="Y50" s="30"/>
      <c r="Z50" s="30"/>
      <c r="AA50" s="30"/>
      <c r="AB50" s="30"/>
      <c r="AC50" s="30"/>
      <c r="AD50" s="30"/>
      <c r="AE50" s="30"/>
      <c r="AF50" s="30"/>
      <c r="AG50" s="30"/>
      <c r="AH50" s="30"/>
      <c r="AI50" s="30"/>
      <c r="AJ50" s="30"/>
      <c r="AK50" s="30"/>
      <c r="AL50" s="30"/>
      <c r="AM50" s="30"/>
      <c r="AN50" s="30"/>
      <c r="AO50" s="30"/>
      <c r="AP50" s="30"/>
      <c r="AQ50" s="30"/>
      <c r="AR50" s="30"/>
      <c r="AS50" s="30"/>
      <c r="AT50" s="30"/>
      <c r="AU50" s="30"/>
      <c r="AV50" s="30"/>
    </row>
    <row r="51" spans="1:48" ht="12.75" customHeight="1" x14ac:dyDescent="0.2">
      <c r="A51" s="30"/>
      <c r="B51" s="34">
        <f t="shared" si="1"/>
        <v>0</v>
      </c>
      <c r="C51" s="960" t="s">
        <v>724</v>
      </c>
      <c r="D51" s="964" t="s">
        <v>723</v>
      </c>
      <c r="E51" s="963"/>
      <c r="F51" s="136">
        <f>IF(L51&lt;&gt;"(fill-in #)",L51,0)</f>
        <v>0</v>
      </c>
      <c r="G51" s="788" t="s">
        <v>290</v>
      </c>
      <c r="H51" s="966"/>
      <c r="I51" s="30"/>
      <c r="J51" s="30"/>
      <c r="K51" s="251">
        <f>IF(AND($L$6=$U$153,OR('Resurface, Milling, Agg.'!$W$52='Resurface, Milling, Agg.'!$AA$56,'Resurface, Milling, Agg.'!$W$52='Resurface, Milling, Agg.'!$AA$57)),"Quantity of undistributed crack seal for surface prep.",0)</f>
        <v>0</v>
      </c>
      <c r="L51" s="40">
        <f>IF(AND($L$6=$U$153,OR('Resurface, Milling, Agg.'!$W$52='Resurface, Milling, Agg.'!$AA$56,'Resurface, Milling, Agg.'!$W$52='Resurface, Milling, Agg.'!$AA$57)),"(fill-in #)",0)</f>
        <v>0</v>
      </c>
      <c r="M51" s="556">
        <f>IF(AND($L$6=$U$153,OR('Resurface, Milling, Agg.'!$W$52='Resurface, Milling, Agg.'!$AA$56,'Resurface, Milling, Agg.'!$W$52='Resurface, Milling, Agg.'!$AA$57)),"ton",0)</f>
        <v>0</v>
      </c>
      <c r="N51" s="30"/>
      <c r="O51" s="30"/>
      <c r="P51" s="30"/>
      <c r="Q51" s="30"/>
      <c r="R51" s="30"/>
      <c r="S51" s="30"/>
      <c r="T51" s="30"/>
      <c r="U51" s="30"/>
      <c r="V51" s="30"/>
      <c r="W51" s="30"/>
      <c r="X51" s="30"/>
      <c r="Y51" s="30"/>
      <c r="Z51" s="30"/>
      <c r="AA51" s="30"/>
      <c r="AB51" s="30"/>
      <c r="AC51" s="30"/>
      <c r="AD51" s="30"/>
      <c r="AE51" s="30"/>
      <c r="AF51" s="30"/>
      <c r="AG51" s="30"/>
      <c r="AH51" s="30"/>
      <c r="AI51" s="30"/>
      <c r="AJ51" s="30"/>
      <c r="AK51" s="30"/>
      <c r="AL51" s="30"/>
      <c r="AM51" s="30"/>
      <c r="AN51" s="30"/>
      <c r="AO51" s="30"/>
      <c r="AP51" s="30"/>
      <c r="AQ51" s="30"/>
      <c r="AR51" s="30"/>
      <c r="AS51" s="30"/>
      <c r="AT51" s="30"/>
      <c r="AU51" s="30"/>
      <c r="AV51" s="30"/>
    </row>
    <row r="52" spans="1:48" ht="12.75" customHeight="1" x14ac:dyDescent="0.2">
      <c r="A52" s="30"/>
      <c r="B52" s="34">
        <f t="shared" si="1"/>
        <v>0</v>
      </c>
      <c r="C52" s="960" t="s">
        <v>744</v>
      </c>
      <c r="D52" s="964" t="str">
        <f>"QC/QA-HMA, "&amp;L52&amp;M52&amp;" SURFACE, "&amp;N52&amp;" - SMA"</f>
        <v>QC/QA-HMA,  SURFACE,  - SMA</v>
      </c>
      <c r="E52" s="963"/>
      <c r="F52" s="136">
        <f>IF('Resurface, Milling, Agg.'!W52='Resurface, Milling, Agg.'!AA55,'Resurface, Milling, Agg.'!F58+'Resurface, Milling, Agg.'!F142,0)</f>
        <v>0</v>
      </c>
      <c r="G52" s="788" t="s">
        <v>290</v>
      </c>
      <c r="H52" s="966"/>
      <c r="I52" s="30"/>
      <c r="J52" s="30"/>
      <c r="K52" s="251" t="s">
        <v>725</v>
      </c>
      <c r="L52" s="1000"/>
      <c r="M52" s="998"/>
      <c r="N52" s="999"/>
      <c r="O52" s="30"/>
      <c r="P52" s="30"/>
      <c r="Q52" s="30"/>
      <c r="R52" s="30"/>
      <c r="S52" s="30"/>
      <c r="T52" s="30"/>
      <c r="U52" s="30"/>
      <c r="V52" s="30"/>
      <c r="W52" s="30"/>
      <c r="X52" s="30"/>
      <c r="Y52" s="30"/>
      <c r="Z52" s="30"/>
      <c r="AA52" s="30"/>
      <c r="AB52" s="30"/>
      <c r="AC52" s="30"/>
      <c r="AD52" s="30"/>
      <c r="AE52" s="30"/>
      <c r="AF52" s="30"/>
      <c r="AG52" s="30"/>
      <c r="AH52" s="30"/>
      <c r="AI52" s="30"/>
      <c r="AJ52" s="30"/>
      <c r="AK52" s="30"/>
      <c r="AL52" s="30"/>
      <c r="AM52" s="30"/>
      <c r="AN52" s="30"/>
      <c r="AO52" s="30"/>
      <c r="AP52" s="30"/>
      <c r="AQ52" s="30"/>
      <c r="AR52" s="30"/>
      <c r="AS52" s="30"/>
      <c r="AT52" s="30"/>
      <c r="AU52" s="30"/>
      <c r="AV52" s="30"/>
    </row>
    <row r="53" spans="1:48" ht="12.75" customHeight="1" x14ac:dyDescent="0.2">
      <c r="A53" s="30"/>
      <c r="B53" s="34">
        <f t="shared" si="1"/>
        <v>0</v>
      </c>
      <c r="C53" s="960">
        <f>IF(L53=Q152,"411-09520",IF(L53=Q153,"411-09521",0))</f>
        <v>0</v>
      </c>
      <c r="D53" s="964" t="str">
        <f>"MICRO-SURFACING, WARRANTED, "&amp;L53</f>
        <v xml:space="preserve">MICRO-SURFACING, WARRANTED, </v>
      </c>
      <c r="E53" s="963"/>
      <c r="F53" s="136">
        <f>IF('Resurface, Milling, Agg.'!W52='Resurface, Milling, Agg.'!AA57,'Resurface, Milling, Agg.'!F58+'Resurface, Milling, Agg.'!F142,0)+IF('Resurface, Milling, Agg.'!W56='Resurface, Milling, Agg.'!AA57,'Resurface, Milling, Agg.'!H58+'Resurface, Milling, Agg.'!H142,0)</f>
        <v>0</v>
      </c>
      <c r="G53" s="788" t="s">
        <v>288</v>
      </c>
      <c r="H53" s="966"/>
      <c r="I53" s="30"/>
      <c r="J53" s="30"/>
      <c r="K53" s="251" t="s">
        <v>728</v>
      </c>
      <c r="L53" s="1634"/>
      <c r="M53" s="1634"/>
      <c r="N53" s="40"/>
      <c r="O53" s="30"/>
      <c r="P53" s="30"/>
      <c r="Q53" s="30"/>
      <c r="R53" s="30"/>
      <c r="S53" s="30"/>
      <c r="T53" s="30"/>
      <c r="U53" s="30"/>
      <c r="V53" s="30"/>
      <c r="W53" s="30"/>
      <c r="X53" s="30"/>
      <c r="Y53" s="30"/>
      <c r="Z53" s="30"/>
      <c r="AA53" s="30"/>
      <c r="AB53" s="30"/>
      <c r="AC53" s="30"/>
      <c r="AD53" s="30"/>
      <c r="AE53" s="30"/>
      <c r="AF53" s="30"/>
      <c r="AG53" s="30"/>
      <c r="AH53" s="30"/>
      <c r="AI53" s="30"/>
      <c r="AJ53" s="30"/>
      <c r="AK53" s="30"/>
      <c r="AL53" s="30"/>
      <c r="AM53" s="30"/>
      <c r="AN53" s="30"/>
      <c r="AO53" s="30"/>
      <c r="AP53" s="30"/>
      <c r="AQ53" s="30"/>
      <c r="AR53" s="30"/>
      <c r="AS53" s="30"/>
      <c r="AT53" s="30"/>
      <c r="AU53" s="30"/>
      <c r="AV53" s="30"/>
    </row>
    <row r="54" spans="1:48" ht="12.75" customHeight="1" x14ac:dyDescent="0.2">
      <c r="A54" s="30"/>
      <c r="B54" s="34">
        <f t="shared" si="1"/>
        <v>0</v>
      </c>
      <c r="C54" s="960" t="s">
        <v>726</v>
      </c>
      <c r="D54" s="964" t="s">
        <v>727</v>
      </c>
      <c r="E54" s="963"/>
      <c r="F54" s="136">
        <f>IF('Resurface, Milling, Agg.'!W56='Resurface, Milling, Agg.'!AA59,'Resurface, Milling, Agg.'!H58+'Resurface, Milling, Agg.'!H142,0)</f>
        <v>0</v>
      </c>
      <c r="G54" s="788" t="s">
        <v>288</v>
      </c>
      <c r="H54" s="966"/>
      <c r="I54" s="30"/>
      <c r="J54" s="30"/>
      <c r="K54" s="251"/>
      <c r="L54" s="40"/>
      <c r="M54" s="40"/>
      <c r="N54" s="40"/>
      <c r="O54" s="30"/>
      <c r="P54" s="30"/>
      <c r="Q54" s="30"/>
      <c r="R54" s="30"/>
      <c r="S54" s="30"/>
      <c r="T54" s="30"/>
      <c r="U54" s="30"/>
      <c r="V54" s="30"/>
      <c r="W54" s="30"/>
      <c r="X54" s="30"/>
      <c r="Y54" s="30"/>
      <c r="Z54" s="30"/>
      <c r="AA54" s="30"/>
      <c r="AB54" s="30"/>
      <c r="AC54" s="30"/>
      <c r="AD54" s="30"/>
      <c r="AE54" s="30"/>
      <c r="AF54" s="30"/>
      <c r="AG54" s="30"/>
      <c r="AH54" s="30"/>
      <c r="AI54" s="30"/>
      <c r="AJ54" s="30"/>
      <c r="AK54" s="30"/>
      <c r="AL54" s="30"/>
      <c r="AM54" s="30"/>
      <c r="AN54" s="30"/>
      <c r="AO54" s="30"/>
      <c r="AP54" s="30"/>
      <c r="AQ54" s="30"/>
      <c r="AR54" s="30"/>
      <c r="AS54" s="30"/>
      <c r="AT54" s="30"/>
      <c r="AU54" s="30"/>
      <c r="AV54" s="30"/>
    </row>
    <row r="55" spans="1:48" ht="12.75" customHeight="1" x14ac:dyDescent="0.2">
      <c r="A55" s="30"/>
      <c r="B55" s="34">
        <f t="shared" si="1"/>
        <v>0</v>
      </c>
      <c r="C55" s="960">
        <f>IF(L55=R152,"414-11467",IF(L55=R153,"414-11468",IF(L55=R154,"414-11469",0)))</f>
        <v>0</v>
      </c>
      <c r="D55" s="964" t="str">
        <f>"ULTRATHIN BONDED WEARING COURSE, "&amp;L55</f>
        <v xml:space="preserve">ULTRATHIN BONDED WEARING COURSE, </v>
      </c>
      <c r="E55" s="963"/>
      <c r="F55" s="136">
        <f>IF('Resurface, Milling, Agg.'!W52='Resurface, Milling, Agg.'!AA56,'Resurface, Milling, Agg.'!F58+'Resurface, Milling, Agg.'!F142,0)+IF('Resurface, Milling, Agg.'!W56='Resurface, Milling, Agg.'!AA56,'Resurface, Milling, Agg.'!H58+'Resurface, Milling, Agg.'!H142,0)</f>
        <v>0</v>
      </c>
      <c r="G55" s="788" t="s">
        <v>288</v>
      </c>
      <c r="H55" s="966"/>
      <c r="I55" s="30"/>
      <c r="J55" s="30"/>
      <c r="K55" s="251" t="s">
        <v>734</v>
      </c>
      <c r="L55" s="1001"/>
      <c r="M55" s="40"/>
      <c r="N55" s="40"/>
      <c r="O55" s="30"/>
      <c r="P55" s="30"/>
      <c r="Q55" s="30"/>
      <c r="R55" s="30"/>
      <c r="S55" s="30"/>
      <c r="T55" s="30"/>
      <c r="U55" s="30"/>
      <c r="V55" s="30"/>
      <c r="W55" s="30"/>
      <c r="X55" s="30"/>
      <c r="Y55" s="30"/>
      <c r="Z55" s="30"/>
      <c r="AA55" s="30"/>
      <c r="AB55" s="30"/>
      <c r="AC55" s="30"/>
      <c r="AD55" s="30"/>
      <c r="AE55" s="30"/>
      <c r="AF55" s="30"/>
      <c r="AG55" s="30"/>
      <c r="AH55" s="30"/>
      <c r="AI55" s="30"/>
      <c r="AJ55" s="30"/>
      <c r="AK55" s="30"/>
      <c r="AL55" s="30"/>
      <c r="AM55" s="30"/>
      <c r="AN55" s="30"/>
      <c r="AO55" s="30"/>
      <c r="AP55" s="30"/>
      <c r="AQ55" s="30"/>
      <c r="AR55" s="30"/>
      <c r="AS55" s="30"/>
      <c r="AT55" s="30"/>
      <c r="AU55" s="30"/>
      <c r="AV55" s="30"/>
    </row>
    <row r="56" spans="1:48" ht="12.75" customHeight="1" x14ac:dyDescent="0.2">
      <c r="A56" s="30"/>
      <c r="B56" s="34">
        <f t="shared" si="1"/>
        <v>0</v>
      </c>
      <c r="C56" s="960" t="str">
        <f>IF(D56="Guardrail Terminal System, W-Beam, Curved, 3","601-01846","(find code)")</f>
        <v>601-01846</v>
      </c>
      <c r="D56" s="964" t="str">
        <f>UPPER(Guardrail!G3)</f>
        <v>GUARDRAIL TERMINAL SYSTEM, W-BEAM, CURVED, 3</v>
      </c>
      <c r="E56" s="963"/>
      <c r="F56" s="136">
        <f>Guardrail!G34</f>
        <v>0</v>
      </c>
      <c r="G56" s="788" t="str">
        <f>IF(Guardrail!G$4="(ea)","EACH",IF(Guardrail!G$4="(lft)","LFT","(find unit)"))</f>
        <v>EACH</v>
      </c>
      <c r="H56" s="966"/>
      <c r="I56" s="30"/>
      <c r="J56" s="30"/>
      <c r="K56" s="251"/>
      <c r="L56" s="40"/>
      <c r="M56" s="40"/>
      <c r="N56" s="40"/>
      <c r="O56" s="30"/>
      <c r="P56" s="30"/>
      <c r="Q56" s="30"/>
      <c r="R56" s="30"/>
      <c r="S56" s="30"/>
      <c r="T56" s="30"/>
      <c r="U56" s="30"/>
      <c r="V56" s="30"/>
      <c r="W56" s="30"/>
      <c r="X56" s="30"/>
      <c r="Y56" s="30"/>
      <c r="Z56" s="30"/>
      <c r="AA56" s="30"/>
      <c r="AB56" s="30"/>
      <c r="AC56" s="30"/>
      <c r="AD56" s="30"/>
      <c r="AE56" s="30"/>
      <c r="AF56" s="30"/>
      <c r="AG56" s="30"/>
      <c r="AH56" s="30"/>
      <c r="AI56" s="30"/>
      <c r="AJ56" s="30"/>
      <c r="AK56" s="30"/>
      <c r="AL56" s="30"/>
      <c r="AM56" s="30"/>
      <c r="AN56" s="30"/>
      <c r="AO56" s="30"/>
      <c r="AP56" s="30"/>
      <c r="AQ56" s="30"/>
      <c r="AR56" s="30"/>
      <c r="AS56" s="30"/>
      <c r="AT56" s="30"/>
      <c r="AU56" s="30"/>
      <c r="AV56" s="30"/>
    </row>
    <row r="57" spans="1:48" ht="12.75" customHeight="1" x14ac:dyDescent="0.2">
      <c r="A57" s="30"/>
      <c r="B57" s="34">
        <f t="shared" si="1"/>
        <v>0</v>
      </c>
      <c r="C57" s="960" t="str">
        <f>IF(D57="Guardrail, Remove","601-02241","(find code)")</f>
        <v>601-02241</v>
      </c>
      <c r="D57" s="964" t="str">
        <f>UPPER(Guardrail!E3)</f>
        <v>GUARDRAIL, REMOVE</v>
      </c>
      <c r="E57" s="963"/>
      <c r="F57" s="136">
        <f>Guardrail!E34</f>
        <v>0</v>
      </c>
      <c r="G57" s="788" t="str">
        <f>IF(Guardrail!E$4="(ea)","EACH",IF(Guardrail!E$4="(lft)","LFT","(find unit)"))</f>
        <v>LFT</v>
      </c>
      <c r="H57" s="966"/>
      <c r="I57" s="30"/>
      <c r="J57" s="30"/>
      <c r="K57" s="251"/>
      <c r="L57" s="40"/>
      <c r="M57" s="40"/>
      <c r="N57" s="40"/>
      <c r="O57" s="30"/>
      <c r="P57" s="30"/>
      <c r="Q57" s="30"/>
      <c r="R57" s="30"/>
      <c r="S57" s="30"/>
      <c r="T57" s="30"/>
      <c r="U57" s="30"/>
      <c r="V57" s="30"/>
      <c r="W57" s="30"/>
      <c r="X57" s="30"/>
      <c r="Y57" s="30"/>
      <c r="Z57" s="30"/>
      <c r="AA57" s="30"/>
      <c r="AB57" s="30"/>
      <c r="AC57" s="30"/>
      <c r="AD57" s="30"/>
      <c r="AE57" s="30"/>
      <c r="AF57" s="30"/>
      <c r="AG57" s="30"/>
      <c r="AH57" s="30"/>
      <c r="AI57" s="30"/>
      <c r="AJ57" s="30"/>
      <c r="AK57" s="30"/>
      <c r="AL57" s="30"/>
      <c r="AM57" s="30"/>
      <c r="AN57" s="30"/>
      <c r="AO57" s="30"/>
      <c r="AP57" s="30"/>
      <c r="AQ57" s="30"/>
      <c r="AR57" s="30"/>
      <c r="AS57" s="30"/>
      <c r="AT57" s="30"/>
      <c r="AU57" s="30"/>
      <c r="AV57" s="30"/>
    </row>
    <row r="58" spans="1:48" ht="12.75" customHeight="1" x14ac:dyDescent="0.2">
      <c r="A58" s="30"/>
      <c r="B58" s="34">
        <f t="shared" si="1"/>
        <v>0</v>
      </c>
      <c r="C58" s="960" t="str">
        <f>IF(D58="Aluminum to Steel Splice Connector, Type A S","601-03467","(find code)")</f>
        <v>601-03467</v>
      </c>
      <c r="D58" s="964" t="str">
        <f>UPPER(Guardrail!J3)</f>
        <v>ALUMINUM TO STEEL SPLICE CONNECTOR, TYPE A S</v>
      </c>
      <c r="E58" s="963"/>
      <c r="F58" s="136">
        <f>Guardrail!J34</f>
        <v>0</v>
      </c>
      <c r="G58" s="788" t="str">
        <f>IF(Guardrail!J$4="(ea)","EACH",IF(Guardrail!J$4="(lft)","LFT","(find unit)"))</f>
        <v>EACH</v>
      </c>
      <c r="H58" s="966"/>
      <c r="I58" s="30"/>
      <c r="J58" s="30"/>
      <c r="K58" s="251"/>
      <c r="L58" s="40"/>
      <c r="M58" s="40"/>
      <c r="N58" s="40"/>
      <c r="O58" s="30"/>
      <c r="P58" s="30"/>
      <c r="Q58" s="30"/>
      <c r="R58" s="30"/>
      <c r="S58" s="30"/>
      <c r="T58" s="30"/>
      <c r="U58" s="30"/>
      <c r="V58" s="30"/>
      <c r="W58" s="30"/>
      <c r="X58" s="30"/>
      <c r="Y58" s="30"/>
      <c r="Z58" s="30"/>
      <c r="AA58" s="30"/>
      <c r="AB58" s="30"/>
      <c r="AC58" s="30"/>
      <c r="AD58" s="30"/>
      <c r="AE58" s="30"/>
      <c r="AF58" s="30"/>
      <c r="AG58" s="30"/>
      <c r="AH58" s="30"/>
      <c r="AI58" s="30"/>
      <c r="AJ58" s="30"/>
      <c r="AK58" s="30"/>
      <c r="AL58" s="30"/>
      <c r="AM58" s="30"/>
      <c r="AN58" s="30"/>
      <c r="AO58" s="30"/>
      <c r="AP58" s="30"/>
      <c r="AQ58" s="30"/>
      <c r="AR58" s="30"/>
      <c r="AS58" s="30"/>
      <c r="AT58" s="30"/>
      <c r="AU58" s="30"/>
      <c r="AV58" s="30"/>
    </row>
    <row r="59" spans="1:48" ht="12.75" customHeight="1" x14ac:dyDescent="0.2">
      <c r="A59" s="30"/>
      <c r="B59" s="34">
        <f t="shared" si="1"/>
        <v>0</v>
      </c>
      <c r="C59" s="960" t="str">
        <f>IF(D59="Hand Dig Guardrail Post Holes","601-09238","(find code)")</f>
        <v>601-09238</v>
      </c>
      <c r="D59" s="964" t="str">
        <f>UPPER(Guardrail!K3)</f>
        <v>HAND DIG GUARDRAIL POST HOLES</v>
      </c>
      <c r="E59" s="963"/>
      <c r="F59" s="136">
        <f>Guardrail!K34</f>
        <v>0</v>
      </c>
      <c r="G59" s="788" t="str">
        <f>IF(Guardrail!K$4="(ea)","EACH",IF(Guardrail!K$4="(lft)","LFT","(find unit)"))</f>
        <v>EACH</v>
      </c>
      <c r="H59" s="966"/>
      <c r="I59" s="30"/>
      <c r="J59" s="30"/>
      <c r="K59" s="251"/>
      <c r="L59" s="40"/>
      <c r="M59" s="40"/>
      <c r="N59" s="40"/>
      <c r="O59" s="30"/>
      <c r="P59" s="30"/>
      <c r="Q59" s="30"/>
      <c r="R59" s="30"/>
      <c r="S59" s="30"/>
      <c r="T59" s="30"/>
      <c r="U59" s="30"/>
      <c r="V59" s="30"/>
      <c r="W59" s="30"/>
      <c r="X59" s="30"/>
      <c r="Y59" s="30"/>
      <c r="Z59" s="30"/>
      <c r="AA59" s="30"/>
      <c r="AB59" s="30"/>
      <c r="AC59" s="30"/>
      <c r="AD59" s="30"/>
      <c r="AE59" s="30"/>
      <c r="AF59" s="30"/>
      <c r="AG59" s="30"/>
      <c r="AH59" s="30"/>
      <c r="AI59" s="30"/>
      <c r="AJ59" s="30"/>
      <c r="AK59" s="30"/>
      <c r="AL59" s="30"/>
      <c r="AM59" s="30"/>
      <c r="AN59" s="30"/>
      <c r="AO59" s="30"/>
      <c r="AP59" s="30"/>
      <c r="AQ59" s="30"/>
      <c r="AR59" s="30"/>
      <c r="AS59" s="30"/>
      <c r="AT59" s="30"/>
      <c r="AU59" s="30"/>
      <c r="AV59" s="30"/>
    </row>
    <row r="60" spans="1:48" ht="12.75" customHeight="1" x14ac:dyDescent="0.2">
      <c r="A60" s="30"/>
      <c r="B60" s="34">
        <f t="shared" si="1"/>
        <v>0</v>
      </c>
      <c r="C60" s="960" t="str">
        <f>IF(D60="Guardrail, Adjust Height","601-92948","(find code)")</f>
        <v>601-92948</v>
      </c>
      <c r="D60" s="964" t="str">
        <f>UPPER(Guardrail!L3)</f>
        <v>GUARDRAIL, ADJUST HEIGHT</v>
      </c>
      <c r="E60" s="963"/>
      <c r="F60" s="136">
        <f>Guardrail!L34</f>
        <v>0</v>
      </c>
      <c r="G60" s="788" t="str">
        <f>IF(Guardrail!L$4="(ea)","EACH",IF(Guardrail!L$4="(lft)","LFT","(find unit)"))</f>
        <v>LFT</v>
      </c>
      <c r="H60" s="966"/>
      <c r="I60" s="30"/>
      <c r="J60" s="30"/>
      <c r="K60" s="251"/>
      <c r="L60" s="40"/>
      <c r="M60" s="40"/>
      <c r="N60" s="40"/>
      <c r="O60" s="30"/>
      <c r="P60" s="30"/>
      <c r="Q60" s="30"/>
      <c r="R60" s="30"/>
      <c r="S60" s="30"/>
      <c r="T60" s="30"/>
      <c r="U60" s="30"/>
      <c r="V60" s="30"/>
      <c r="W60" s="30"/>
      <c r="X60" s="30"/>
      <c r="Y60" s="30"/>
      <c r="Z60" s="30"/>
      <c r="AA60" s="30"/>
      <c r="AB60" s="30"/>
      <c r="AC60" s="30"/>
      <c r="AD60" s="30"/>
      <c r="AE60" s="30"/>
      <c r="AF60" s="30"/>
      <c r="AG60" s="30"/>
      <c r="AH60" s="30"/>
      <c r="AI60" s="30"/>
      <c r="AJ60" s="30"/>
      <c r="AK60" s="30"/>
      <c r="AL60" s="30"/>
      <c r="AM60" s="30"/>
      <c r="AN60" s="30"/>
      <c r="AO60" s="30"/>
      <c r="AP60" s="30"/>
      <c r="AQ60" s="30"/>
      <c r="AR60" s="30"/>
      <c r="AS60" s="30"/>
      <c r="AT60" s="30"/>
      <c r="AU60" s="30"/>
      <c r="AV60" s="30"/>
    </row>
    <row r="61" spans="1:48" ht="12.75" customHeight="1" x14ac:dyDescent="0.2">
      <c r="A61" s="30"/>
      <c r="B61" s="34">
        <f t="shared" si="1"/>
        <v>0</v>
      </c>
      <c r="C61" s="960" t="str">
        <f>IF(D61="Guardrail End Treatment, OS","601-94689","(find code)")</f>
        <v>601-94689</v>
      </c>
      <c r="D61" s="964" t="str">
        <f>UPPER(Guardrail!H3)</f>
        <v>GUARDRAIL END TREATMENT, OS</v>
      </c>
      <c r="E61" s="963"/>
      <c r="F61" s="136">
        <f>Guardrail!H34</f>
        <v>0</v>
      </c>
      <c r="G61" s="788" t="str">
        <f>IF(Guardrail!H$4="(ea)","EACH",IF(Guardrail!H$4="(lft)","LFT","(find unit)"))</f>
        <v>EACH</v>
      </c>
      <c r="H61" s="966"/>
      <c r="I61" s="30"/>
      <c r="J61" s="30"/>
      <c r="K61" s="251"/>
      <c r="L61" s="40"/>
      <c r="M61" s="40"/>
      <c r="N61" s="40"/>
      <c r="O61" s="30"/>
      <c r="P61" s="30"/>
      <c r="Q61" s="30"/>
      <c r="R61" s="30"/>
      <c r="S61" s="30"/>
      <c r="T61" s="30"/>
      <c r="U61" s="30"/>
      <c r="V61" s="30"/>
      <c r="W61" s="30"/>
      <c r="X61" s="30"/>
      <c r="Y61" s="30"/>
      <c r="Z61" s="30"/>
      <c r="AA61" s="30"/>
      <c r="AB61" s="30"/>
      <c r="AC61" s="30"/>
      <c r="AD61" s="30"/>
      <c r="AE61" s="30"/>
      <c r="AF61" s="30"/>
      <c r="AG61" s="30"/>
      <c r="AH61" s="30"/>
      <c r="AI61" s="30"/>
      <c r="AJ61" s="30"/>
      <c r="AK61" s="30"/>
      <c r="AL61" s="30"/>
      <c r="AM61" s="30"/>
      <c r="AN61" s="30"/>
      <c r="AO61" s="30"/>
      <c r="AP61" s="30"/>
      <c r="AQ61" s="30"/>
      <c r="AR61" s="30"/>
      <c r="AS61" s="30"/>
      <c r="AT61" s="30"/>
      <c r="AU61" s="30"/>
      <c r="AV61" s="30"/>
    </row>
    <row r="62" spans="1:48" ht="12.75" customHeight="1" x14ac:dyDescent="0.2">
      <c r="A62" s="30"/>
      <c r="B62" s="34">
        <f t="shared" si="1"/>
        <v>0</v>
      </c>
      <c r="C62" s="960" t="str">
        <f>IF(D62="Guardrail End Treatment, MS","601-94690","(find code)")</f>
        <v>601-94690</v>
      </c>
      <c r="D62" s="964" t="str">
        <f>UPPER(Guardrail!I3)</f>
        <v>GUARDRAIL END TREATMENT, MS</v>
      </c>
      <c r="E62" s="963"/>
      <c r="F62" s="136">
        <f>Guardrail!I34</f>
        <v>0</v>
      </c>
      <c r="G62" s="788" t="str">
        <f>IF(Guardrail!I$4="(ea)","EACH",IF(Guardrail!I$4="(lft)","LFT","(find unit)"))</f>
        <v>EACH</v>
      </c>
      <c r="H62" s="966"/>
      <c r="I62" s="30"/>
      <c r="J62" s="30"/>
      <c r="K62" s="251"/>
      <c r="L62" s="40"/>
      <c r="M62" s="40"/>
      <c r="N62" s="40"/>
      <c r="O62" s="30"/>
      <c r="P62" s="30"/>
      <c r="Q62" s="30"/>
      <c r="R62" s="30"/>
      <c r="S62" s="30"/>
      <c r="T62" s="30"/>
      <c r="U62" s="30"/>
      <c r="V62" s="30"/>
      <c r="W62" s="30"/>
      <c r="X62" s="30"/>
      <c r="Y62" s="30"/>
      <c r="Z62" s="30"/>
      <c r="AA62" s="30"/>
      <c r="AB62" s="30"/>
      <c r="AC62" s="30"/>
      <c r="AD62" s="30"/>
      <c r="AE62" s="30"/>
      <c r="AF62" s="30"/>
      <c r="AG62" s="30"/>
      <c r="AH62" s="30"/>
      <c r="AI62" s="30"/>
      <c r="AJ62" s="30"/>
      <c r="AK62" s="30"/>
      <c r="AL62" s="30"/>
      <c r="AM62" s="30"/>
      <c r="AN62" s="30"/>
      <c r="AO62" s="30"/>
      <c r="AP62" s="30"/>
      <c r="AQ62" s="30"/>
      <c r="AR62" s="30"/>
      <c r="AS62" s="30"/>
      <c r="AT62" s="30"/>
      <c r="AU62" s="30"/>
      <c r="AV62" s="30"/>
    </row>
    <row r="63" spans="1:48" ht="12.75" customHeight="1" x14ac:dyDescent="0.2">
      <c r="A63" s="30"/>
      <c r="B63" s="34">
        <f t="shared" si="1"/>
        <v>0</v>
      </c>
      <c r="C63" s="960" t="str">
        <f>IF(D63="Guardrail, W-Beam, 6 Ft 3 In Spacing","601-99105","(find code)")</f>
        <v>601-99105</v>
      </c>
      <c r="D63" s="964" t="str">
        <f>UPPER(Guardrail!M3)</f>
        <v>GUARDRAIL, W-BEAM, 6 FT 3 IN SPACING</v>
      </c>
      <c r="E63" s="963"/>
      <c r="F63" s="136">
        <f>Guardrail!M34</f>
        <v>0</v>
      </c>
      <c r="G63" s="788" t="str">
        <f>IF(Guardrail!M$4="(ea)","EACH",IF(Guardrail!M$4="(lft)","LFT","(find unit)"))</f>
        <v>LFT</v>
      </c>
      <c r="H63" s="966"/>
      <c r="I63" s="30"/>
      <c r="J63" s="30"/>
      <c r="K63" s="251"/>
      <c r="L63" s="40"/>
      <c r="M63" s="40"/>
      <c r="N63" s="40"/>
      <c r="O63" s="30"/>
      <c r="P63" s="30"/>
      <c r="Q63" s="30"/>
      <c r="R63" s="30"/>
      <c r="S63" s="30"/>
      <c r="T63" s="30"/>
      <c r="U63" s="30"/>
      <c r="V63" s="30"/>
      <c r="W63" s="30"/>
      <c r="X63" s="30"/>
      <c r="Y63" s="30"/>
      <c r="Z63" s="30"/>
      <c r="AA63" s="30"/>
      <c r="AB63" s="30"/>
      <c r="AC63" s="30"/>
      <c r="AD63" s="30"/>
      <c r="AE63" s="30"/>
      <c r="AF63" s="30"/>
      <c r="AG63" s="30"/>
      <c r="AH63" s="30"/>
      <c r="AI63" s="30"/>
      <c r="AJ63" s="30"/>
      <c r="AK63" s="30"/>
      <c r="AL63" s="30"/>
      <c r="AM63" s="30"/>
      <c r="AN63" s="30"/>
      <c r="AO63" s="30"/>
      <c r="AP63" s="30"/>
      <c r="AQ63" s="30"/>
      <c r="AR63" s="30"/>
      <c r="AS63" s="30"/>
      <c r="AT63" s="30"/>
      <c r="AU63" s="30"/>
      <c r="AV63" s="30"/>
    </row>
    <row r="64" spans="1:48" ht="12.75" customHeight="1" x14ac:dyDescent="0.2">
      <c r="A64" s="30"/>
      <c r="B64" s="34">
        <f t="shared" si="1"/>
        <v>0</v>
      </c>
      <c r="C64" s="960" t="str">
        <f>IF(D64="Guardrail, W-Beam, Double Faced, 6 Ft 3 In Spacing","601-99108","(find code)")</f>
        <v>601-99108</v>
      </c>
      <c r="D64" s="964" t="str">
        <f>UPPER(Guardrail!N3)</f>
        <v>GUARDRAIL, W-BEAM, DOUBLE FACED, 6 FT 3 IN SPACING</v>
      </c>
      <c r="E64" s="963"/>
      <c r="F64" s="136">
        <f>Guardrail!N34</f>
        <v>0</v>
      </c>
      <c r="G64" s="788" t="str">
        <f>IF(Guardrail!N$4="(ea)","EACH",IF(Guardrail!N$4="(lft)","LFT","(find unit)"))</f>
        <v>LFT</v>
      </c>
      <c r="H64" s="966"/>
      <c r="I64" s="30"/>
      <c r="J64" s="30"/>
      <c r="K64" s="251"/>
      <c r="L64" s="40"/>
      <c r="M64" s="40"/>
      <c r="N64" s="40"/>
      <c r="O64" s="30"/>
      <c r="P64" s="30"/>
      <c r="Q64" s="30"/>
      <c r="R64" s="30"/>
      <c r="S64" s="30"/>
      <c r="T64" s="30"/>
      <c r="U64" s="30"/>
      <c r="V64" s="30"/>
      <c r="W64" s="30"/>
      <c r="X64" s="30"/>
      <c r="Y64" s="30"/>
      <c r="Z64" s="30"/>
      <c r="AA64" s="30"/>
      <c r="AB64" s="30"/>
      <c r="AC64" s="30"/>
      <c r="AD64" s="30"/>
      <c r="AE64" s="30"/>
      <c r="AF64" s="30"/>
      <c r="AG64" s="30"/>
      <c r="AH64" s="30"/>
      <c r="AI64" s="30"/>
      <c r="AJ64" s="30"/>
      <c r="AK64" s="30"/>
      <c r="AL64" s="30"/>
      <c r="AM64" s="30"/>
      <c r="AN64" s="30"/>
      <c r="AO64" s="30"/>
      <c r="AP64" s="30"/>
      <c r="AQ64" s="30"/>
      <c r="AR64" s="30"/>
      <c r="AS64" s="30"/>
      <c r="AT64" s="30"/>
      <c r="AU64" s="30"/>
      <c r="AV64" s="30"/>
    </row>
    <row r="65" spans="1:48" ht="12.75" customHeight="1" x14ac:dyDescent="0.2">
      <c r="A65" s="30"/>
      <c r="B65" s="34">
        <f t="shared" si="1"/>
        <v>0</v>
      </c>
      <c r="C65" s="960" t="s">
        <v>300</v>
      </c>
      <c r="D65" s="964" t="s">
        <v>301</v>
      </c>
      <c r="E65" s="963"/>
      <c r="F65" s="136">
        <f>'Curb Ramps'!H53</f>
        <v>0</v>
      </c>
      <c r="G65" s="788" t="s">
        <v>288</v>
      </c>
      <c r="H65" s="966"/>
      <c r="I65" s="30"/>
      <c r="J65" s="30"/>
      <c r="K65" s="30"/>
      <c r="L65" s="30"/>
      <c r="M65" s="30"/>
      <c r="N65" s="30"/>
      <c r="O65" s="30"/>
      <c r="P65" s="30"/>
      <c r="Q65" s="30"/>
      <c r="R65" s="30"/>
      <c r="S65" s="30"/>
      <c r="T65" s="30"/>
      <c r="U65" s="30"/>
      <c r="V65" s="30"/>
      <c r="W65" s="30"/>
      <c r="X65" s="30"/>
      <c r="Y65" s="30"/>
      <c r="Z65" s="30"/>
      <c r="AA65" s="30"/>
      <c r="AB65" s="30"/>
      <c r="AC65" s="30"/>
      <c r="AD65" s="30"/>
      <c r="AE65" s="30"/>
      <c r="AF65" s="30"/>
      <c r="AG65" s="30"/>
      <c r="AH65" s="30"/>
      <c r="AI65" s="30"/>
      <c r="AJ65" s="30"/>
      <c r="AK65" s="30"/>
      <c r="AL65" s="30"/>
      <c r="AM65" s="30"/>
      <c r="AN65" s="30"/>
      <c r="AO65" s="30"/>
      <c r="AP65" s="30"/>
      <c r="AQ65" s="30"/>
      <c r="AR65" s="30"/>
      <c r="AS65" s="30"/>
      <c r="AT65" s="30"/>
      <c r="AU65" s="30"/>
      <c r="AV65" s="30"/>
    </row>
    <row r="66" spans="1:48" ht="12.75" customHeight="1" x14ac:dyDescent="0.2">
      <c r="A66" s="30"/>
      <c r="B66" s="34">
        <f t="shared" si="1"/>
        <v>0</v>
      </c>
      <c r="C66" s="960" t="s">
        <v>949</v>
      </c>
      <c r="D66" s="964" t="s">
        <v>950</v>
      </c>
      <c r="E66" s="963"/>
      <c r="F66" s="136">
        <f>'Curb Ramps'!E53</f>
        <v>0</v>
      </c>
      <c r="G66" s="788" t="s">
        <v>288</v>
      </c>
      <c r="H66" s="966"/>
      <c r="I66" s="30"/>
      <c r="J66" s="30"/>
      <c r="K66" s="30"/>
      <c r="L66" s="30"/>
      <c r="M66" s="30"/>
      <c r="N66" s="30"/>
      <c r="O66" s="30"/>
      <c r="P66" s="30"/>
      <c r="Q66" s="30"/>
      <c r="R66" s="30"/>
      <c r="S66" s="30"/>
      <c r="T66" s="30"/>
      <c r="U66" s="30"/>
      <c r="V66" s="30"/>
      <c r="W66" s="30"/>
      <c r="X66" s="30"/>
      <c r="Y66" s="30"/>
      <c r="Z66" s="30"/>
      <c r="AA66" s="30"/>
      <c r="AB66" s="30"/>
      <c r="AC66" s="30"/>
      <c r="AD66" s="30"/>
      <c r="AE66" s="30"/>
      <c r="AF66" s="30"/>
      <c r="AG66" s="30"/>
      <c r="AH66" s="30"/>
      <c r="AI66" s="30"/>
      <c r="AJ66" s="30"/>
      <c r="AK66" s="30"/>
      <c r="AL66" s="30"/>
      <c r="AM66" s="30"/>
      <c r="AN66" s="30"/>
      <c r="AO66" s="30"/>
      <c r="AP66" s="30"/>
      <c r="AQ66" s="30"/>
      <c r="AR66" s="30"/>
      <c r="AS66" s="30"/>
      <c r="AT66" s="30"/>
      <c r="AU66" s="30"/>
      <c r="AV66" s="30"/>
    </row>
    <row r="67" spans="1:48" ht="12.75" customHeight="1" x14ac:dyDescent="0.2">
      <c r="A67" s="30"/>
      <c r="B67" s="34">
        <f t="shared" si="1"/>
        <v>0</v>
      </c>
      <c r="C67" s="960" t="s">
        <v>953</v>
      </c>
      <c r="D67" s="964" t="s">
        <v>951</v>
      </c>
      <c r="E67" s="963"/>
      <c r="F67" s="136">
        <f>'Curb Ramps'!F53</f>
        <v>0</v>
      </c>
      <c r="G67" s="788" t="s">
        <v>288</v>
      </c>
      <c r="H67" s="966"/>
      <c r="I67" s="30"/>
      <c r="J67" s="30"/>
      <c r="K67" s="30"/>
      <c r="L67" s="30"/>
      <c r="M67" s="30"/>
      <c r="N67" s="30"/>
      <c r="O67" s="30"/>
      <c r="P67" s="30"/>
      <c r="Q67" s="30"/>
      <c r="R67" s="30"/>
      <c r="S67" s="30"/>
      <c r="T67" s="30"/>
      <c r="U67" s="30"/>
      <c r="V67" s="30"/>
      <c r="W67" s="30"/>
      <c r="X67" s="30"/>
      <c r="Y67" s="30"/>
      <c r="Z67" s="30"/>
      <c r="AA67" s="30"/>
      <c r="AB67" s="30"/>
      <c r="AC67" s="30"/>
      <c r="AD67" s="30"/>
      <c r="AE67" s="30"/>
      <c r="AF67" s="30"/>
      <c r="AG67" s="30"/>
      <c r="AH67" s="30"/>
      <c r="AI67" s="30"/>
      <c r="AJ67" s="30"/>
      <c r="AK67" s="30"/>
      <c r="AL67" s="30"/>
      <c r="AM67" s="30"/>
      <c r="AN67" s="30"/>
      <c r="AO67" s="30"/>
      <c r="AP67" s="30"/>
      <c r="AQ67" s="30"/>
      <c r="AR67" s="30"/>
      <c r="AS67" s="30"/>
      <c r="AT67" s="30"/>
      <c r="AU67" s="30"/>
      <c r="AV67" s="30"/>
    </row>
    <row r="68" spans="1:48" ht="12.75" customHeight="1" x14ac:dyDescent="0.2">
      <c r="A68" s="30"/>
      <c r="B68" s="34">
        <f t="shared" si="1"/>
        <v>0</v>
      </c>
      <c r="C68" s="960" t="s">
        <v>954</v>
      </c>
      <c r="D68" s="964" t="s">
        <v>952</v>
      </c>
      <c r="E68" s="963"/>
      <c r="F68" s="136">
        <f>'Curb Ramps'!G53</f>
        <v>0</v>
      </c>
      <c r="G68" s="788" t="s">
        <v>288</v>
      </c>
      <c r="H68" s="966"/>
      <c r="I68" s="30"/>
      <c r="J68" s="30"/>
      <c r="K68" s="30"/>
      <c r="L68" s="30"/>
      <c r="M68" s="30"/>
      <c r="N68" s="30"/>
      <c r="O68" s="30"/>
      <c r="P68" s="30"/>
      <c r="Q68" s="30"/>
      <c r="R68" s="30"/>
      <c r="S68" s="30"/>
      <c r="T68" s="30"/>
      <c r="U68" s="30"/>
      <c r="V68" s="30"/>
      <c r="W68" s="30"/>
      <c r="X68" s="30"/>
      <c r="Y68" s="30"/>
      <c r="Z68" s="30"/>
      <c r="AA68" s="30"/>
      <c r="AB68" s="30"/>
      <c r="AC68" s="30"/>
      <c r="AD68" s="30"/>
      <c r="AE68" s="30"/>
      <c r="AF68" s="30"/>
      <c r="AG68" s="30"/>
      <c r="AH68" s="30"/>
      <c r="AI68" s="30"/>
      <c r="AJ68" s="30"/>
      <c r="AK68" s="30"/>
      <c r="AL68" s="30"/>
      <c r="AM68" s="30"/>
      <c r="AN68" s="30"/>
      <c r="AO68" s="30"/>
      <c r="AP68" s="30"/>
      <c r="AQ68" s="30"/>
      <c r="AR68" s="30"/>
      <c r="AS68" s="30"/>
      <c r="AT68" s="30"/>
      <c r="AU68" s="30"/>
      <c r="AV68" s="30"/>
    </row>
    <row r="69" spans="1:48" ht="12.75" customHeight="1" x14ac:dyDescent="0.2">
      <c r="A69" s="30"/>
      <c r="B69" s="34">
        <f t="shared" si="1"/>
        <v>0</v>
      </c>
      <c r="C69" s="960" t="s">
        <v>740</v>
      </c>
      <c r="D69" s="964" t="str">
        <f>UPPER('Curb Ramps'!P2&amp;", "&amp;Summary!L69)</f>
        <v xml:space="preserve">, </v>
      </c>
      <c r="E69" s="963"/>
      <c r="F69" s="136">
        <f>ROUNDUP('Curb Ramps'!I53,0)</f>
        <v>0</v>
      </c>
      <c r="G69" s="788" t="s">
        <v>299</v>
      </c>
      <c r="H69" s="966"/>
      <c r="I69" s="30"/>
      <c r="J69" s="30"/>
      <c r="K69" s="251" t="s">
        <v>739</v>
      </c>
      <c r="L69" s="1001"/>
      <c r="M69" s="30"/>
      <c r="N69" s="30"/>
      <c r="O69" s="30"/>
      <c r="P69" s="30"/>
      <c r="Q69" s="30"/>
      <c r="R69" s="30"/>
      <c r="S69" s="30"/>
      <c r="T69" s="30"/>
      <c r="U69" s="30"/>
      <c r="V69" s="30"/>
      <c r="W69" s="30"/>
      <c r="X69" s="30"/>
      <c r="Y69" s="30"/>
      <c r="Z69" s="30"/>
      <c r="AA69" s="30"/>
      <c r="AB69" s="30"/>
      <c r="AC69" s="30"/>
      <c r="AD69" s="30"/>
      <c r="AE69" s="30"/>
      <c r="AF69" s="30"/>
      <c r="AG69" s="30"/>
      <c r="AH69" s="30"/>
      <c r="AI69" s="30"/>
      <c r="AJ69" s="30"/>
      <c r="AK69" s="30"/>
      <c r="AL69" s="30"/>
      <c r="AM69" s="30"/>
      <c r="AN69" s="30"/>
      <c r="AO69" s="30"/>
      <c r="AP69" s="30"/>
      <c r="AQ69" s="30"/>
      <c r="AR69" s="30"/>
      <c r="AS69" s="30"/>
      <c r="AT69" s="30"/>
      <c r="AU69" s="30"/>
      <c r="AV69" s="30"/>
    </row>
    <row r="70" spans="1:48" ht="12.75" customHeight="1" x14ac:dyDescent="0.2">
      <c r="A70" s="30"/>
      <c r="B70" s="34">
        <f>IF(F70&gt;0,"X",0)</f>
        <v>0</v>
      </c>
      <c r="C70" s="960" t="s">
        <v>753</v>
      </c>
      <c r="D70" s="964" t="s">
        <v>754</v>
      </c>
      <c r="E70" s="963"/>
      <c r="F70" s="136">
        <f>'Resurface, Milling, Agg.'!R58+'Resurface, Milling, Agg.'!R142+CLRS!E48+ELRS!F49</f>
        <v>0</v>
      </c>
      <c r="G70" s="788" t="s">
        <v>299</v>
      </c>
      <c r="H70" s="966"/>
      <c r="I70" s="30"/>
      <c r="J70" s="30"/>
      <c r="K70" s="251"/>
      <c r="L70" s="40"/>
      <c r="M70" s="30"/>
      <c r="N70" s="30"/>
      <c r="O70" s="30"/>
      <c r="P70" s="30"/>
      <c r="Q70" s="30"/>
      <c r="R70" s="30"/>
      <c r="S70" s="30"/>
      <c r="T70" s="30"/>
      <c r="U70" s="30"/>
      <c r="V70" s="30"/>
      <c r="W70" s="30"/>
      <c r="X70" s="30"/>
      <c r="Y70" s="30"/>
      <c r="Z70" s="30"/>
      <c r="AA70" s="30"/>
      <c r="AB70" s="30"/>
      <c r="AC70" s="30"/>
      <c r="AD70" s="30"/>
      <c r="AE70" s="30"/>
      <c r="AF70" s="30"/>
      <c r="AG70" s="30"/>
      <c r="AH70" s="30"/>
      <c r="AI70" s="30"/>
      <c r="AJ70" s="30"/>
      <c r="AK70" s="30"/>
      <c r="AL70" s="30"/>
      <c r="AM70" s="30"/>
      <c r="AN70" s="30"/>
      <c r="AO70" s="30"/>
      <c r="AP70" s="30"/>
      <c r="AQ70" s="30"/>
      <c r="AR70" s="30"/>
      <c r="AS70" s="30"/>
      <c r="AT70" s="30"/>
      <c r="AU70" s="30"/>
      <c r="AV70" s="30"/>
    </row>
    <row r="71" spans="1:48" ht="12.75" customHeight="1" x14ac:dyDescent="0.2">
      <c r="A71" s="30"/>
      <c r="B71" s="34">
        <f t="shared" si="1"/>
        <v>0</v>
      </c>
      <c r="C71" s="960">
        <f>IF('Major Appr.'!P48='Major Appr.'!R57,"610-07486",IF('Major Appr.'!P48='Major Appr.'!R58,"610-07487",IF('Major Appr.'!P48='Major Appr.'!R59,"610-07488",IF('Major Appr.'!P48='Major Appr.'!R60,"610-07788",0))))</f>
        <v>0</v>
      </c>
      <c r="D71" s="964" t="str">
        <f>"HMA FOR APPROACHES, TYPE "&amp;'Major Appr.'!P48</f>
        <v>HMA FOR APPROACHES, TYPE 0</v>
      </c>
      <c r="E71" s="963"/>
      <c r="F71" s="136">
        <f>'Major Appr.'!B50+'Minor Appr.'!C40+'Minor Appr.'!C87</f>
        <v>0</v>
      </c>
      <c r="G71" s="788" t="s">
        <v>290</v>
      </c>
      <c r="H71" s="966"/>
      <c r="I71" s="30"/>
      <c r="J71" s="30"/>
      <c r="K71" s="30"/>
      <c r="L71" s="155"/>
      <c r="M71" s="30"/>
      <c r="N71" s="30"/>
      <c r="O71" s="30"/>
      <c r="P71" s="30"/>
      <c r="Q71" s="30"/>
      <c r="R71" s="30"/>
      <c r="S71" s="30"/>
      <c r="T71" s="30"/>
      <c r="U71" s="30"/>
      <c r="V71" s="30"/>
      <c r="W71" s="30"/>
      <c r="X71" s="30"/>
      <c r="Y71" s="30"/>
      <c r="Z71" s="30"/>
      <c r="AA71" s="30"/>
      <c r="AB71" s="30"/>
      <c r="AC71" s="30"/>
      <c r="AD71" s="30"/>
      <c r="AE71" s="30"/>
      <c r="AF71" s="30"/>
      <c r="AG71" s="30"/>
      <c r="AH71" s="30"/>
      <c r="AI71" s="30"/>
      <c r="AJ71" s="30"/>
      <c r="AK71" s="30"/>
      <c r="AL71" s="30"/>
      <c r="AM71" s="30"/>
      <c r="AN71" s="30"/>
      <c r="AO71" s="30"/>
      <c r="AP71" s="30"/>
      <c r="AQ71" s="30"/>
      <c r="AR71" s="30"/>
      <c r="AS71" s="30"/>
      <c r="AT71" s="30"/>
      <c r="AU71" s="30"/>
      <c r="AV71" s="30"/>
    </row>
    <row r="72" spans="1:48" ht="12.75" customHeight="1" x14ac:dyDescent="0.2">
      <c r="A72" s="30"/>
      <c r="B72" s="34">
        <f t="shared" si="1"/>
        <v>0</v>
      </c>
      <c r="C72" s="960" t="s">
        <v>302</v>
      </c>
      <c r="D72" s="964" t="s">
        <v>303</v>
      </c>
      <c r="E72" s="963"/>
      <c r="F72" s="136">
        <f>'Minor Appr.'!C44+'Minor Appr.'!C91</f>
        <v>0</v>
      </c>
      <c r="G72" s="788" t="s">
        <v>287</v>
      </c>
      <c r="H72" s="966"/>
      <c r="I72" s="30"/>
      <c r="J72" s="30"/>
      <c r="K72" s="30"/>
      <c r="L72" s="155"/>
      <c r="M72" s="30"/>
      <c r="N72" s="30"/>
      <c r="O72" s="30"/>
      <c r="P72" s="30"/>
      <c r="Q72" s="30"/>
      <c r="R72" s="30"/>
      <c r="S72" s="30"/>
      <c r="T72" s="30"/>
      <c r="U72" s="30"/>
      <c r="V72" s="30"/>
      <c r="W72" s="30"/>
      <c r="X72" s="30"/>
      <c r="Y72" s="30"/>
      <c r="Z72" s="30"/>
      <c r="AA72" s="30"/>
      <c r="AB72" s="30"/>
      <c r="AC72" s="30"/>
      <c r="AD72" s="30"/>
      <c r="AE72" s="30"/>
      <c r="AF72" s="30"/>
      <c r="AG72" s="30"/>
      <c r="AH72" s="30"/>
      <c r="AI72" s="30"/>
      <c r="AJ72" s="30"/>
      <c r="AK72" s="30"/>
      <c r="AL72" s="30"/>
      <c r="AM72" s="30"/>
      <c r="AN72" s="30"/>
      <c r="AO72" s="30"/>
      <c r="AP72" s="30"/>
      <c r="AQ72" s="30"/>
      <c r="AR72" s="30"/>
      <c r="AS72" s="30"/>
      <c r="AT72" s="30"/>
      <c r="AU72" s="30"/>
      <c r="AV72" s="30"/>
    </row>
    <row r="73" spans="1:48" ht="12.75" customHeight="1" x14ac:dyDescent="0.2">
      <c r="A73" s="30"/>
      <c r="B73" s="34">
        <f t="shared" si="1"/>
        <v>0</v>
      </c>
      <c r="C73" s="960" t="s">
        <v>827</v>
      </c>
      <c r="D73" s="964" t="s">
        <v>829</v>
      </c>
      <c r="E73" s="963"/>
      <c r="F73" s="79">
        <f>Underseal!G51</f>
        <v>0</v>
      </c>
      <c r="G73" s="788" t="s">
        <v>290</v>
      </c>
      <c r="H73" s="966"/>
      <c r="I73" s="30"/>
      <c r="J73" s="30"/>
      <c r="K73" s="30"/>
      <c r="L73" s="155"/>
      <c r="M73" s="30"/>
      <c r="N73" s="30"/>
      <c r="O73" s="30"/>
      <c r="P73" s="30"/>
      <c r="Q73" s="30"/>
      <c r="R73" s="30"/>
      <c r="S73" s="30"/>
      <c r="T73" s="30"/>
      <c r="U73" s="30"/>
      <c r="V73" s="30"/>
      <c r="W73" s="30"/>
      <c r="X73" s="30"/>
      <c r="Y73" s="30"/>
      <c r="Z73" s="30"/>
      <c r="AA73" s="30"/>
      <c r="AB73" s="30"/>
      <c r="AC73" s="30"/>
      <c r="AD73" s="30"/>
      <c r="AE73" s="30"/>
      <c r="AF73" s="30"/>
      <c r="AG73" s="30"/>
      <c r="AH73" s="30"/>
      <c r="AI73" s="30"/>
      <c r="AJ73" s="30"/>
      <c r="AK73" s="30"/>
      <c r="AL73" s="30"/>
      <c r="AM73" s="30"/>
      <c r="AN73" s="30"/>
      <c r="AO73" s="30"/>
      <c r="AP73" s="30"/>
      <c r="AQ73" s="30"/>
      <c r="AR73" s="30"/>
      <c r="AS73" s="30"/>
      <c r="AT73" s="30"/>
      <c r="AU73" s="30"/>
      <c r="AV73" s="30"/>
    </row>
    <row r="74" spans="1:48" ht="12.75" customHeight="1" x14ac:dyDescent="0.2">
      <c r="A74" s="30"/>
      <c r="B74" s="34">
        <f t="shared" si="1"/>
        <v>0</v>
      </c>
      <c r="C74" s="960" t="s">
        <v>828</v>
      </c>
      <c r="D74" s="964" t="s">
        <v>830</v>
      </c>
      <c r="E74" s="963"/>
      <c r="F74" s="136">
        <f>Underseal!F51</f>
        <v>0</v>
      </c>
      <c r="G74" s="788" t="s">
        <v>287</v>
      </c>
      <c r="H74" s="966"/>
      <c r="I74" s="30"/>
      <c r="J74" s="30"/>
      <c r="K74" s="30"/>
      <c r="L74" s="155"/>
      <c r="M74" s="30"/>
      <c r="N74" s="30"/>
      <c r="O74" s="30"/>
      <c r="P74" s="30"/>
      <c r="Q74" s="30"/>
      <c r="R74" s="30"/>
      <c r="S74" s="30"/>
      <c r="T74" s="30"/>
      <c r="U74" s="30"/>
      <c r="V74" s="30"/>
      <c r="W74" s="30"/>
      <c r="X74" s="30"/>
      <c r="Y74" s="30"/>
      <c r="Z74" s="30"/>
      <c r="AA74" s="30"/>
      <c r="AB74" s="30"/>
      <c r="AC74" s="30"/>
      <c r="AD74" s="30"/>
      <c r="AE74" s="30"/>
      <c r="AF74" s="30"/>
      <c r="AG74" s="30"/>
      <c r="AH74" s="30"/>
      <c r="AI74" s="30"/>
      <c r="AJ74" s="30"/>
      <c r="AK74" s="30"/>
      <c r="AL74" s="30"/>
      <c r="AM74" s="30"/>
      <c r="AN74" s="30"/>
      <c r="AO74" s="30"/>
      <c r="AP74" s="30"/>
      <c r="AQ74" s="30"/>
      <c r="AR74" s="30"/>
      <c r="AS74" s="30"/>
      <c r="AT74" s="30"/>
      <c r="AU74" s="30"/>
      <c r="AV74" s="30"/>
    </row>
    <row r="75" spans="1:48" ht="12.75" customHeight="1" x14ac:dyDescent="0.2">
      <c r="A75" s="30"/>
      <c r="B75" s="34">
        <f t="shared" si="1"/>
        <v>0</v>
      </c>
      <c r="C75" s="960" t="str">
        <f>IF(Monuments!J61=Monuments!M57,"615-06500",IF(Monuments!J61=Monuments!M58,"615-06505", IF(Monuments!J61=Monuments!M59,"615-06510",IF(Monuments!J61=Monuments!M60,"615-06515",0))))</f>
        <v>615-06505</v>
      </c>
      <c r="D75" s="964" t="str">
        <f>"MONUMENT, "&amp;Monuments!J61</f>
        <v>MONUMENT, B</v>
      </c>
      <c r="E75" s="963"/>
      <c r="F75" s="136">
        <f>Monuments!B53</f>
        <v>0</v>
      </c>
      <c r="G75" s="788" t="s">
        <v>287</v>
      </c>
      <c r="H75" s="966"/>
      <c r="I75" s="30"/>
      <c r="J75" s="30"/>
      <c r="K75" s="30"/>
      <c r="L75" s="155"/>
      <c r="M75" s="30"/>
      <c r="N75" s="30"/>
      <c r="O75" s="30"/>
      <c r="P75" s="30"/>
      <c r="Q75" s="30"/>
      <c r="R75" s="30"/>
      <c r="S75" s="30"/>
      <c r="T75" s="30"/>
      <c r="U75" s="30"/>
      <c r="V75" s="30"/>
      <c r="W75" s="30"/>
      <c r="X75" s="30"/>
      <c r="Y75" s="30"/>
      <c r="Z75" s="30"/>
      <c r="AA75" s="30"/>
      <c r="AB75" s="30"/>
      <c r="AC75" s="30"/>
      <c r="AD75" s="30"/>
      <c r="AE75" s="30"/>
      <c r="AF75" s="30"/>
      <c r="AG75" s="30"/>
      <c r="AH75" s="30"/>
      <c r="AI75" s="30"/>
      <c r="AJ75" s="30"/>
      <c r="AK75" s="30"/>
      <c r="AL75" s="30"/>
      <c r="AM75" s="30"/>
      <c r="AN75" s="30"/>
      <c r="AO75" s="30"/>
      <c r="AP75" s="30"/>
      <c r="AQ75" s="30"/>
      <c r="AR75" s="30"/>
      <c r="AS75" s="30"/>
      <c r="AT75" s="30"/>
      <c r="AU75" s="30"/>
      <c r="AV75" s="30"/>
    </row>
    <row r="76" spans="1:48" ht="12.75" customHeight="1" x14ac:dyDescent="0.2">
      <c r="A76" s="30"/>
      <c r="B76" s="34">
        <f t="shared" si="1"/>
        <v>0</v>
      </c>
      <c r="C76" s="960" t="s">
        <v>746</v>
      </c>
      <c r="D76" s="964" t="s">
        <v>747</v>
      </c>
      <c r="E76" s="963"/>
      <c r="F76" s="136">
        <f>Monuments!B52</f>
        <v>0</v>
      </c>
      <c r="G76" s="788" t="s">
        <v>287</v>
      </c>
      <c r="H76" s="966"/>
      <c r="I76" s="30"/>
      <c r="J76" s="30"/>
      <c r="K76" s="30"/>
      <c r="L76" s="155"/>
      <c r="M76" s="30"/>
      <c r="N76" s="30"/>
      <c r="O76" s="30"/>
      <c r="P76" s="30"/>
      <c r="Q76" s="30"/>
      <c r="R76" s="30"/>
      <c r="S76" s="30"/>
      <c r="T76" s="30"/>
      <c r="U76" s="30"/>
      <c r="V76" s="30"/>
      <c r="W76" s="30"/>
      <c r="X76" s="30"/>
      <c r="Y76" s="30"/>
      <c r="Z76" s="30"/>
      <c r="AA76" s="30"/>
      <c r="AB76" s="30"/>
      <c r="AC76" s="30"/>
      <c r="AD76" s="30"/>
      <c r="AE76" s="30"/>
      <c r="AF76" s="30"/>
      <c r="AG76" s="30"/>
      <c r="AH76" s="30"/>
      <c r="AI76" s="30"/>
      <c r="AJ76" s="30"/>
      <c r="AK76" s="30"/>
      <c r="AL76" s="30"/>
      <c r="AM76" s="30"/>
      <c r="AN76" s="30"/>
      <c r="AO76" s="30"/>
      <c r="AP76" s="30"/>
      <c r="AQ76" s="30"/>
      <c r="AR76" s="30"/>
      <c r="AS76" s="30"/>
      <c r="AT76" s="30"/>
      <c r="AU76" s="30"/>
      <c r="AV76" s="30"/>
    </row>
    <row r="77" spans="1:48" ht="12.75" customHeight="1" x14ac:dyDescent="0.2">
      <c r="A77" s="30"/>
      <c r="B77" s="34">
        <f t="shared" si="1"/>
        <v>0</v>
      </c>
      <c r="C77" s="960" t="s">
        <v>748</v>
      </c>
      <c r="D77" s="964" t="s">
        <v>749</v>
      </c>
      <c r="E77" s="963"/>
      <c r="F77" s="136">
        <f>Monuments!B50</f>
        <v>0</v>
      </c>
      <c r="G77" s="788" t="s">
        <v>287</v>
      </c>
      <c r="H77" s="966"/>
      <c r="I77" s="30"/>
      <c r="J77" s="30"/>
      <c r="K77" s="30"/>
      <c r="L77" s="155"/>
      <c r="M77" s="30"/>
      <c r="N77" s="30"/>
      <c r="O77" s="30"/>
      <c r="P77" s="30"/>
      <c r="Q77" s="30"/>
      <c r="R77" s="30"/>
      <c r="S77" s="30"/>
      <c r="T77" s="30"/>
      <c r="U77" s="30"/>
      <c r="V77" s="30"/>
      <c r="W77" s="30"/>
      <c r="X77" s="30"/>
      <c r="Y77" s="30"/>
      <c r="Z77" s="30"/>
      <c r="AA77" s="30"/>
      <c r="AB77" s="30"/>
      <c r="AC77" s="30"/>
      <c r="AD77" s="30"/>
      <c r="AE77" s="30"/>
      <c r="AF77" s="30"/>
      <c r="AG77" s="30"/>
      <c r="AH77" s="30"/>
      <c r="AI77" s="30"/>
      <c r="AJ77" s="30"/>
      <c r="AK77" s="30"/>
      <c r="AL77" s="30"/>
      <c r="AM77" s="30"/>
      <c r="AN77" s="30"/>
      <c r="AO77" s="30"/>
      <c r="AP77" s="30"/>
      <c r="AQ77" s="30"/>
      <c r="AR77" s="30"/>
      <c r="AS77" s="30"/>
      <c r="AT77" s="30"/>
      <c r="AU77" s="30"/>
      <c r="AV77" s="30"/>
    </row>
    <row r="78" spans="1:48" ht="12.75" customHeight="1" x14ac:dyDescent="0.2">
      <c r="A78" s="30"/>
      <c r="B78" s="34">
        <f t="shared" si="1"/>
        <v>0</v>
      </c>
      <c r="C78" s="960" t="s">
        <v>304</v>
      </c>
      <c r="D78" s="964" t="s">
        <v>305</v>
      </c>
      <c r="E78" s="963"/>
      <c r="F78" s="136">
        <f>Monuments!B54</f>
        <v>0</v>
      </c>
      <c r="G78" s="788" t="s">
        <v>287</v>
      </c>
      <c r="H78" s="966"/>
      <c r="I78" s="30"/>
      <c r="J78" s="30"/>
      <c r="K78" s="30"/>
      <c r="L78" s="155"/>
      <c r="M78" s="30"/>
      <c r="N78" s="30"/>
      <c r="O78" s="30"/>
      <c r="P78" s="30"/>
      <c r="Q78" s="30"/>
      <c r="R78" s="30"/>
      <c r="S78" s="30"/>
      <c r="T78" s="30"/>
      <c r="U78" s="30"/>
      <c r="V78" s="30"/>
      <c r="W78" s="30"/>
      <c r="X78" s="30"/>
      <c r="Y78" s="30"/>
      <c r="Z78" s="30"/>
      <c r="AA78" s="30"/>
      <c r="AB78" s="30"/>
      <c r="AC78" s="30"/>
      <c r="AD78" s="30"/>
      <c r="AE78" s="30"/>
      <c r="AF78" s="30"/>
      <c r="AG78" s="30"/>
      <c r="AH78" s="30"/>
      <c r="AI78" s="30"/>
      <c r="AJ78" s="30"/>
      <c r="AK78" s="30"/>
      <c r="AL78" s="30"/>
      <c r="AM78" s="30"/>
      <c r="AN78" s="30"/>
      <c r="AO78" s="30"/>
      <c r="AP78" s="30"/>
      <c r="AQ78" s="30"/>
      <c r="AR78" s="30"/>
      <c r="AS78" s="30"/>
      <c r="AT78" s="30"/>
      <c r="AU78" s="30"/>
      <c r="AV78" s="30"/>
    </row>
    <row r="79" spans="1:48" ht="12.75" customHeight="1" x14ac:dyDescent="0.2">
      <c r="A79" s="30"/>
      <c r="B79" s="34">
        <f>IF(F79&gt;0,"X",0)</f>
        <v>0</v>
      </c>
      <c r="C79" s="960" t="s">
        <v>755</v>
      </c>
      <c r="D79" s="964" t="str">
        <f>UPPER(Monuments!I63)</f>
        <v/>
      </c>
      <c r="E79" s="963"/>
      <c r="F79" s="136">
        <f>Monuments!B55</f>
        <v>0</v>
      </c>
      <c r="G79" s="788" t="s">
        <v>287</v>
      </c>
      <c r="H79" s="966"/>
      <c r="I79" s="30"/>
      <c r="J79" s="30"/>
      <c r="K79" s="30"/>
      <c r="L79" s="155"/>
      <c r="M79" s="30"/>
      <c r="N79" s="30"/>
      <c r="O79" s="30"/>
      <c r="P79" s="30"/>
      <c r="Q79" s="30"/>
      <c r="R79" s="30"/>
      <c r="S79" s="30"/>
      <c r="T79" s="30"/>
      <c r="U79" s="30"/>
      <c r="V79" s="30"/>
      <c r="W79" s="30"/>
      <c r="X79" s="30"/>
      <c r="Y79" s="30"/>
      <c r="Z79" s="30"/>
      <c r="AA79" s="30"/>
      <c r="AB79" s="30"/>
      <c r="AC79" s="30"/>
      <c r="AD79" s="30"/>
      <c r="AE79" s="30"/>
      <c r="AF79" s="30"/>
      <c r="AG79" s="30"/>
      <c r="AH79" s="30"/>
      <c r="AI79" s="30"/>
      <c r="AJ79" s="30"/>
      <c r="AK79" s="30"/>
      <c r="AL79" s="30"/>
      <c r="AM79" s="30"/>
      <c r="AN79" s="30"/>
      <c r="AO79" s="30"/>
      <c r="AP79" s="30"/>
      <c r="AQ79" s="30"/>
      <c r="AR79" s="30"/>
      <c r="AS79" s="30"/>
      <c r="AT79" s="30"/>
      <c r="AU79" s="30"/>
      <c r="AV79" s="30"/>
    </row>
    <row r="80" spans="1:48" ht="12.75" customHeight="1" x14ac:dyDescent="0.2">
      <c r="A80" s="30"/>
      <c r="B80" s="34">
        <f>IF(F80&gt;0,"X",0)</f>
        <v>0</v>
      </c>
      <c r="C80" s="960" t="s">
        <v>757</v>
      </c>
      <c r="D80" s="964" t="s">
        <v>758</v>
      </c>
      <c r="E80" s="963"/>
      <c r="F80" s="136">
        <f>'Curb Ramps'!J53</f>
        <v>0</v>
      </c>
      <c r="G80" s="788" t="s">
        <v>288</v>
      </c>
      <c r="H80" s="966"/>
      <c r="I80" s="30"/>
      <c r="J80" s="30"/>
      <c r="K80" s="30"/>
      <c r="L80" s="155"/>
      <c r="M80" s="30"/>
      <c r="N80" s="30"/>
      <c r="O80" s="30"/>
      <c r="P80" s="30"/>
      <c r="Q80" s="30"/>
      <c r="R80" s="30"/>
      <c r="S80" s="30"/>
      <c r="T80" s="30"/>
      <c r="U80" s="30"/>
      <c r="V80" s="30"/>
      <c r="W80" s="30"/>
      <c r="X80" s="30"/>
      <c r="Y80" s="30"/>
      <c r="Z80" s="30"/>
      <c r="AA80" s="30"/>
      <c r="AB80" s="30"/>
      <c r="AC80" s="30"/>
      <c r="AD80" s="30"/>
      <c r="AE80" s="30"/>
      <c r="AF80" s="30"/>
      <c r="AG80" s="30"/>
      <c r="AH80" s="30"/>
      <c r="AI80" s="30"/>
      <c r="AJ80" s="30"/>
      <c r="AK80" s="30"/>
      <c r="AL80" s="30"/>
      <c r="AM80" s="30"/>
      <c r="AN80" s="30"/>
      <c r="AO80" s="30"/>
      <c r="AP80" s="30"/>
      <c r="AQ80" s="30"/>
      <c r="AR80" s="30"/>
      <c r="AS80" s="30"/>
      <c r="AT80" s="30"/>
      <c r="AU80" s="30"/>
      <c r="AV80" s="30"/>
    </row>
    <row r="81" spans="1:48" ht="12.75" customHeight="1" x14ac:dyDescent="0.2">
      <c r="A81" s="30"/>
      <c r="B81" s="34">
        <f t="shared" si="1"/>
        <v>0</v>
      </c>
      <c r="C81" s="960">
        <f>IF(L81=S152,"628-09401",IF(L81=S153,"628-09402",IF(L81=S154,"628-09403",0)))</f>
        <v>0</v>
      </c>
      <c r="D81" s="964" t="str">
        <f>"FIELD OFFICE, "&amp;L81</f>
        <v xml:space="preserve">FIELD OFFICE, </v>
      </c>
      <c r="E81" s="963"/>
      <c r="F81" s="136">
        <f>N81</f>
        <v>0</v>
      </c>
      <c r="G81" s="788" t="s">
        <v>306</v>
      </c>
      <c r="H81" s="966"/>
      <c r="I81" s="30"/>
      <c r="J81" s="30"/>
      <c r="K81" s="251" t="s">
        <v>759</v>
      </c>
      <c r="L81" s="1001"/>
      <c r="M81" s="251" t="s">
        <v>761</v>
      </c>
      <c r="N81" s="1001"/>
      <c r="O81" s="30"/>
      <c r="P81" s="30"/>
      <c r="Q81" s="30"/>
      <c r="R81" s="30"/>
      <c r="S81" s="30"/>
      <c r="T81" s="30"/>
      <c r="U81" s="30"/>
      <c r="V81" s="30"/>
      <c r="W81" s="30"/>
      <c r="X81" s="30"/>
      <c r="Y81" s="30"/>
      <c r="Z81" s="30"/>
      <c r="AA81" s="30"/>
      <c r="AB81" s="30"/>
      <c r="AC81" s="30"/>
      <c r="AD81" s="30"/>
      <c r="AE81" s="30"/>
      <c r="AF81" s="30"/>
      <c r="AG81" s="30"/>
      <c r="AH81" s="30"/>
      <c r="AI81" s="30"/>
      <c r="AJ81" s="30"/>
      <c r="AK81" s="30"/>
      <c r="AL81" s="30"/>
      <c r="AM81" s="30"/>
      <c r="AN81" s="30"/>
      <c r="AO81" s="30"/>
      <c r="AP81" s="30"/>
      <c r="AQ81" s="30"/>
      <c r="AR81" s="30"/>
      <c r="AS81" s="30"/>
      <c r="AT81" s="30"/>
      <c r="AU81" s="30"/>
      <c r="AV81" s="30"/>
    </row>
    <row r="82" spans="1:48" ht="12.75" customHeight="1" x14ac:dyDescent="0.2">
      <c r="A82" s="30"/>
      <c r="B82" s="34">
        <f t="shared" si="1"/>
        <v>0</v>
      </c>
      <c r="C82" s="960" t="s">
        <v>763</v>
      </c>
      <c r="D82" s="964" t="s">
        <v>764</v>
      </c>
      <c r="E82" s="963" t="str">
        <f>", "&amp;L82&amp;" EACH"</f>
        <v>,  EACH</v>
      </c>
      <c r="F82" s="136">
        <f>L82*N82</f>
        <v>0</v>
      </c>
      <c r="G82" s="788" t="s">
        <v>306</v>
      </c>
      <c r="H82" s="966"/>
      <c r="I82" s="30"/>
      <c r="J82" s="30"/>
      <c r="K82" s="251" t="s">
        <v>816</v>
      </c>
      <c r="L82" s="1001"/>
      <c r="M82" s="251" t="s">
        <v>761</v>
      </c>
      <c r="N82" s="1001"/>
      <c r="O82" s="30" t="s">
        <v>849</v>
      </c>
      <c r="P82" s="30"/>
      <c r="Q82" s="30"/>
      <c r="R82" s="30"/>
      <c r="S82" s="30"/>
      <c r="T82" s="30"/>
      <c r="U82" s="30"/>
      <c r="V82" s="30"/>
      <c r="W82" s="30"/>
      <c r="X82" s="30"/>
      <c r="Y82" s="30"/>
      <c r="Z82" s="30"/>
      <c r="AA82" s="30"/>
      <c r="AB82" s="30"/>
      <c r="AC82" s="30"/>
      <c r="AD82" s="30"/>
      <c r="AE82" s="30"/>
      <c r="AF82" s="30"/>
      <c r="AG82" s="30"/>
      <c r="AH82" s="30"/>
      <c r="AI82" s="30"/>
      <c r="AJ82" s="30"/>
      <c r="AK82" s="30"/>
      <c r="AL82" s="30"/>
      <c r="AM82" s="30"/>
      <c r="AN82" s="30"/>
      <c r="AO82" s="30"/>
      <c r="AP82" s="30"/>
      <c r="AQ82" s="30"/>
      <c r="AR82" s="30"/>
      <c r="AS82" s="30"/>
      <c r="AT82" s="30"/>
      <c r="AU82" s="30"/>
      <c r="AV82" s="30"/>
    </row>
    <row r="83" spans="1:48" ht="12.75" customHeight="1" x14ac:dyDescent="0.2">
      <c r="A83" s="30"/>
      <c r="B83" s="34">
        <f t="shared" si="1"/>
        <v>0</v>
      </c>
      <c r="C83" s="960" t="s">
        <v>765</v>
      </c>
      <c r="D83" s="964" t="s">
        <v>769</v>
      </c>
      <c r="E83" s="963"/>
      <c r="F83" s="136">
        <f>L83</f>
        <v>0</v>
      </c>
      <c r="G83" s="788" t="s">
        <v>287</v>
      </c>
      <c r="H83" s="966"/>
      <c r="I83" s="30"/>
      <c r="J83" s="30"/>
      <c r="K83" s="251" t="s">
        <v>817</v>
      </c>
      <c r="L83" s="1001"/>
      <c r="M83" s="251" t="s">
        <v>761</v>
      </c>
      <c r="N83" s="1001"/>
      <c r="O83" s="30" t="s">
        <v>849</v>
      </c>
      <c r="P83" s="30"/>
      <c r="Q83" s="30"/>
      <c r="R83" s="30"/>
      <c r="S83" s="30"/>
      <c r="T83" s="30"/>
      <c r="U83" s="30"/>
      <c r="V83" s="30"/>
      <c r="W83" s="30"/>
      <c r="X83" s="30"/>
      <c r="Y83" s="30"/>
      <c r="Z83" s="30"/>
      <c r="AA83" s="30"/>
      <c r="AB83" s="30"/>
      <c r="AC83" s="30"/>
      <c r="AD83" s="30"/>
      <c r="AE83" s="30"/>
      <c r="AF83" s="30"/>
      <c r="AG83" s="30"/>
      <c r="AH83" s="30"/>
      <c r="AI83" s="30"/>
      <c r="AJ83" s="30"/>
      <c r="AK83" s="30"/>
      <c r="AL83" s="30"/>
      <c r="AM83" s="30"/>
      <c r="AN83" s="30"/>
      <c r="AO83" s="30"/>
      <c r="AP83" s="30"/>
      <c r="AQ83" s="30"/>
      <c r="AR83" s="30"/>
      <c r="AS83" s="30"/>
      <c r="AT83" s="30"/>
      <c r="AU83" s="30"/>
      <c r="AV83" s="30"/>
    </row>
    <row r="84" spans="1:48" ht="12.75" customHeight="1" x14ac:dyDescent="0.2">
      <c r="A84" s="30"/>
      <c r="B84" s="34">
        <f t="shared" si="1"/>
        <v>0</v>
      </c>
      <c r="C84" s="960" t="s">
        <v>766</v>
      </c>
      <c r="D84" s="964" t="s">
        <v>770</v>
      </c>
      <c r="E84" s="963"/>
      <c r="F84" s="136">
        <f>L84</f>
        <v>0</v>
      </c>
      <c r="G84" s="788" t="s">
        <v>287</v>
      </c>
      <c r="H84" s="966"/>
      <c r="I84" s="30"/>
      <c r="J84" s="30"/>
      <c r="K84" s="251" t="s">
        <v>818</v>
      </c>
      <c r="L84" s="1001"/>
      <c r="M84" s="251" t="s">
        <v>761</v>
      </c>
      <c r="N84" s="1001"/>
      <c r="O84" s="30" t="s">
        <v>849</v>
      </c>
      <c r="P84" s="30"/>
      <c r="Q84" s="30"/>
      <c r="R84" s="30"/>
      <c r="S84" s="30"/>
      <c r="T84" s="30"/>
      <c r="U84" s="30"/>
      <c r="V84" s="30"/>
      <c r="W84" s="30"/>
      <c r="X84" s="30"/>
      <c r="Y84" s="30"/>
      <c r="Z84" s="30"/>
      <c r="AA84" s="30"/>
      <c r="AB84" s="30"/>
      <c r="AC84" s="30"/>
      <c r="AD84" s="30"/>
      <c r="AE84" s="30"/>
      <c r="AF84" s="30"/>
      <c r="AG84" s="30"/>
      <c r="AH84" s="30"/>
      <c r="AI84" s="30"/>
      <c r="AJ84" s="30"/>
      <c r="AK84" s="30"/>
      <c r="AL84" s="30"/>
      <c r="AM84" s="30"/>
      <c r="AN84" s="30"/>
      <c r="AO84" s="30"/>
      <c r="AP84" s="30"/>
      <c r="AQ84" s="30"/>
      <c r="AR84" s="30"/>
      <c r="AS84" s="30"/>
      <c r="AT84" s="30"/>
      <c r="AU84" s="30"/>
      <c r="AV84" s="30"/>
    </row>
    <row r="85" spans="1:48" ht="12.75" customHeight="1" x14ac:dyDescent="0.2">
      <c r="A85" s="30"/>
      <c r="B85" s="34">
        <f>IF(AND(F85&gt;0,F$83&gt;0),"X",0)</f>
        <v>0</v>
      </c>
      <c r="C85" s="960" t="s">
        <v>767</v>
      </c>
      <c r="D85" s="964" t="s">
        <v>771</v>
      </c>
      <c r="E85" s="963"/>
      <c r="F85" s="136">
        <v>1</v>
      </c>
      <c r="G85" s="788" t="s">
        <v>272</v>
      </c>
      <c r="H85" s="966"/>
      <c r="I85" s="30"/>
      <c r="J85" s="30"/>
      <c r="K85" s="30"/>
      <c r="L85" s="155"/>
      <c r="M85" s="30"/>
      <c r="N85" s="30"/>
      <c r="O85" s="30"/>
      <c r="P85" s="30"/>
      <c r="Q85" s="30"/>
      <c r="R85" s="30"/>
      <c r="S85" s="30"/>
      <c r="T85" s="30"/>
      <c r="U85" s="30"/>
      <c r="V85" s="30"/>
      <c r="W85" s="30"/>
      <c r="X85" s="30"/>
      <c r="Y85" s="30"/>
      <c r="Z85" s="30"/>
      <c r="AA85" s="30"/>
      <c r="AB85" s="30"/>
      <c r="AC85" s="30"/>
      <c r="AD85" s="30"/>
      <c r="AE85" s="30"/>
      <c r="AF85" s="30"/>
      <c r="AG85" s="30"/>
      <c r="AH85" s="30"/>
      <c r="AI85" s="30"/>
      <c r="AJ85" s="30"/>
      <c r="AK85" s="30"/>
      <c r="AL85" s="30"/>
      <c r="AM85" s="30"/>
      <c r="AN85" s="30"/>
      <c r="AO85" s="30"/>
      <c r="AP85" s="30"/>
      <c r="AQ85" s="30"/>
      <c r="AR85" s="30"/>
      <c r="AS85" s="30"/>
      <c r="AT85" s="30"/>
      <c r="AU85" s="30"/>
      <c r="AV85" s="30"/>
    </row>
    <row r="86" spans="1:48" ht="12.75" customHeight="1" x14ac:dyDescent="0.2">
      <c r="A86" s="30"/>
      <c r="B86" s="34">
        <f>IF(AND(F86&gt;0,OR(F$83&gt;0,F$84&gt;0)),"X",0)</f>
        <v>0</v>
      </c>
      <c r="C86" s="960" t="s">
        <v>768</v>
      </c>
      <c r="D86" s="964" t="s">
        <v>772</v>
      </c>
      <c r="E86" s="963"/>
      <c r="F86" s="136">
        <v>1</v>
      </c>
      <c r="G86" s="788" t="s">
        <v>272</v>
      </c>
      <c r="H86" s="966"/>
      <c r="I86" s="30"/>
      <c r="J86" s="30"/>
      <c r="K86" s="30"/>
      <c r="L86" s="155"/>
      <c r="M86" s="30"/>
      <c r="N86" s="30"/>
      <c r="O86" s="30"/>
      <c r="P86" s="30"/>
      <c r="Q86" s="30"/>
      <c r="R86" s="30"/>
      <c r="S86" s="30"/>
      <c r="T86" s="30"/>
      <c r="U86" s="30"/>
      <c r="V86" s="30"/>
      <c r="W86" s="30"/>
      <c r="X86" s="30"/>
      <c r="Y86" s="30"/>
      <c r="Z86" s="30"/>
      <c r="AA86" s="30"/>
      <c r="AB86" s="30"/>
      <c r="AC86" s="30"/>
      <c r="AD86" s="30"/>
      <c r="AE86" s="30"/>
      <c r="AF86" s="30"/>
      <c r="AG86" s="30"/>
      <c r="AH86" s="30"/>
      <c r="AI86" s="30"/>
      <c r="AJ86" s="30"/>
      <c r="AK86" s="30"/>
      <c r="AL86" s="30"/>
      <c r="AM86" s="30"/>
      <c r="AN86" s="30"/>
      <c r="AO86" s="30"/>
      <c r="AP86" s="30"/>
      <c r="AQ86" s="30"/>
      <c r="AR86" s="30"/>
      <c r="AS86" s="30"/>
      <c r="AT86" s="30"/>
      <c r="AU86" s="30"/>
      <c r="AV86" s="30"/>
    </row>
    <row r="87" spans="1:48" ht="12.75" customHeight="1" x14ac:dyDescent="0.2">
      <c r="A87" s="30"/>
      <c r="B87" s="34">
        <f t="shared" si="1"/>
        <v>0</v>
      </c>
      <c r="C87" s="960">
        <f>IF(L87=T152,"628-11780",IF(L87=T153,"628-11781",IF(L87=T154,"628-11782",IF(L87=T155,"628-11783",0))))</f>
        <v>0</v>
      </c>
      <c r="D87" s="964" t="str">
        <f>"CELLULAR TELEPHONE SERVICE, "&amp;L87</f>
        <v xml:space="preserve">CELLULAR TELEPHONE SERVICE, </v>
      </c>
      <c r="E87" s="963"/>
      <c r="F87" s="136">
        <f>L83*N83+L84*N84</f>
        <v>0</v>
      </c>
      <c r="G87" s="788" t="s">
        <v>306</v>
      </c>
      <c r="H87" s="966"/>
      <c r="I87" s="30"/>
      <c r="J87" s="30"/>
      <c r="K87" s="251" t="s">
        <v>819</v>
      </c>
      <c r="L87" s="1001"/>
      <c r="M87" s="30" t="s">
        <v>773</v>
      </c>
      <c r="N87" s="30"/>
      <c r="O87" s="30"/>
      <c r="P87" s="30"/>
      <c r="Q87" s="30"/>
      <c r="R87" s="30"/>
      <c r="S87" s="30"/>
      <c r="T87" s="30"/>
      <c r="U87" s="30"/>
      <c r="V87" s="30"/>
      <c r="W87" s="30"/>
      <c r="X87" s="30"/>
      <c r="Y87" s="30"/>
      <c r="Z87" s="30"/>
      <c r="AA87" s="30"/>
      <c r="AB87" s="30"/>
      <c r="AC87" s="30"/>
      <c r="AD87" s="30"/>
      <c r="AE87" s="30"/>
      <c r="AF87" s="30"/>
      <c r="AG87" s="30"/>
      <c r="AH87" s="30"/>
      <c r="AI87" s="30"/>
      <c r="AJ87" s="30"/>
      <c r="AK87" s="30"/>
      <c r="AL87" s="30"/>
      <c r="AM87" s="30"/>
      <c r="AN87" s="30"/>
      <c r="AO87" s="30"/>
      <c r="AP87" s="30"/>
      <c r="AQ87" s="30"/>
      <c r="AR87" s="30"/>
      <c r="AS87" s="30"/>
      <c r="AT87" s="30"/>
      <c r="AU87" s="30"/>
      <c r="AV87" s="30"/>
    </row>
    <row r="88" spans="1:48" ht="12.75" customHeight="1" x14ac:dyDescent="0.2">
      <c r="A88" s="30"/>
      <c r="B88" s="34">
        <f t="shared" si="1"/>
        <v>0</v>
      </c>
      <c r="C88" s="960" t="s">
        <v>894</v>
      </c>
      <c r="D88" s="964" t="s">
        <v>896</v>
      </c>
      <c r="E88" s="963"/>
      <c r="F88" s="136">
        <f>L88</f>
        <v>0</v>
      </c>
      <c r="G88" s="788" t="s">
        <v>287</v>
      </c>
      <c r="H88" s="966"/>
      <c r="I88" s="30"/>
      <c r="J88" s="30"/>
      <c r="K88" s="251" t="s">
        <v>898</v>
      </c>
      <c r="L88" s="1001"/>
      <c r="M88" s="86" t="s">
        <v>762</v>
      </c>
      <c r="N88" s="40"/>
      <c r="O88" s="401"/>
      <c r="P88" s="30"/>
      <c r="Q88" s="30"/>
      <c r="R88" s="30"/>
      <c r="S88" s="30"/>
      <c r="T88" s="30"/>
      <c r="U88" s="30"/>
      <c r="V88" s="30"/>
      <c r="W88" s="30"/>
      <c r="X88" s="30"/>
      <c r="Y88" s="30"/>
      <c r="Z88" s="30"/>
      <c r="AA88" s="30"/>
      <c r="AB88" s="30"/>
      <c r="AC88" s="30"/>
      <c r="AD88" s="30"/>
      <c r="AE88" s="30"/>
      <c r="AF88" s="30"/>
      <c r="AG88" s="30"/>
      <c r="AH88" s="30"/>
      <c r="AI88" s="30"/>
      <c r="AJ88" s="30"/>
      <c r="AK88" s="30"/>
      <c r="AL88" s="30"/>
      <c r="AM88" s="30"/>
      <c r="AN88" s="30"/>
      <c r="AO88" s="30"/>
      <c r="AP88" s="30"/>
      <c r="AQ88" s="30"/>
      <c r="AR88" s="30"/>
      <c r="AS88" s="30"/>
      <c r="AT88" s="30"/>
      <c r="AU88" s="30"/>
      <c r="AV88" s="30"/>
    </row>
    <row r="89" spans="1:48" ht="12.75" customHeight="1" x14ac:dyDescent="0.2">
      <c r="A89" s="30"/>
      <c r="B89" s="34">
        <f t="shared" si="1"/>
        <v>0</v>
      </c>
      <c r="C89" s="960" t="s">
        <v>895</v>
      </c>
      <c r="D89" s="964" t="s">
        <v>897</v>
      </c>
      <c r="E89" s="963"/>
      <c r="F89" s="136">
        <f>L89</f>
        <v>0</v>
      </c>
      <c r="G89" s="788" t="s">
        <v>287</v>
      </c>
      <c r="H89" s="966"/>
      <c r="I89" s="30"/>
      <c r="J89" s="30"/>
      <c r="K89" s="251" t="s">
        <v>899</v>
      </c>
      <c r="L89" s="1001"/>
      <c r="M89" s="86" t="s">
        <v>762</v>
      </c>
      <c r="N89" s="40"/>
      <c r="O89" s="401"/>
      <c r="P89" s="30"/>
      <c r="Q89" s="30"/>
      <c r="R89" s="30"/>
      <c r="S89" s="30"/>
      <c r="T89" s="30"/>
      <c r="U89" s="30"/>
      <c r="V89" s="30"/>
      <c r="W89" s="30"/>
      <c r="X89" s="30"/>
      <c r="Y89" s="30"/>
      <c r="Z89" s="30"/>
      <c r="AA89" s="30"/>
      <c r="AB89" s="30"/>
      <c r="AC89" s="30"/>
      <c r="AD89" s="30"/>
      <c r="AE89" s="30"/>
      <c r="AF89" s="30"/>
      <c r="AG89" s="30"/>
      <c r="AH89" s="30"/>
      <c r="AI89" s="30"/>
      <c r="AJ89" s="30"/>
      <c r="AK89" s="30"/>
      <c r="AL89" s="30"/>
      <c r="AM89" s="30"/>
      <c r="AN89" s="30"/>
      <c r="AO89" s="30"/>
      <c r="AP89" s="30"/>
      <c r="AQ89" s="30"/>
      <c r="AR89" s="30"/>
      <c r="AS89" s="30"/>
      <c r="AT89" s="30"/>
      <c r="AU89" s="30"/>
      <c r="AV89" s="30"/>
    </row>
    <row r="90" spans="1:48" ht="12.75" customHeight="1" x14ac:dyDescent="0.2">
      <c r="A90" s="30"/>
      <c r="B90" s="34">
        <f t="shared" si="1"/>
        <v>0</v>
      </c>
      <c r="C90" s="960" t="s">
        <v>750</v>
      </c>
      <c r="D90" s="964" t="s">
        <v>751</v>
      </c>
      <c r="E90" s="963" t="s">
        <v>752</v>
      </c>
      <c r="F90" s="136">
        <f>Monuments!B51</f>
        <v>0</v>
      </c>
      <c r="G90" s="788" t="s">
        <v>287</v>
      </c>
      <c r="H90" s="966"/>
      <c r="I90" s="30"/>
      <c r="J90" s="30"/>
      <c r="K90" s="30"/>
      <c r="L90" s="30"/>
      <c r="M90" s="30"/>
      <c r="N90" s="30"/>
      <c r="O90" s="30"/>
      <c r="P90" s="30"/>
      <c r="Q90" s="30"/>
      <c r="R90" s="30"/>
      <c r="S90" s="30"/>
      <c r="T90" s="30"/>
      <c r="U90" s="30"/>
      <c r="V90" s="30"/>
      <c r="W90" s="30"/>
      <c r="X90" s="30"/>
      <c r="Y90" s="30"/>
      <c r="Z90" s="30"/>
      <c r="AA90" s="30"/>
      <c r="AB90" s="30"/>
      <c r="AC90" s="30"/>
      <c r="AD90" s="30"/>
      <c r="AE90" s="30"/>
      <c r="AF90" s="30"/>
      <c r="AG90" s="30"/>
      <c r="AH90" s="30"/>
      <c r="AI90" s="30"/>
      <c r="AJ90" s="30"/>
      <c r="AK90" s="30"/>
      <c r="AL90" s="30"/>
      <c r="AM90" s="30"/>
      <c r="AN90" s="30"/>
      <c r="AO90" s="30"/>
      <c r="AP90" s="30"/>
      <c r="AQ90" s="30"/>
      <c r="AR90" s="30"/>
      <c r="AS90" s="30"/>
      <c r="AT90" s="30"/>
      <c r="AU90" s="30"/>
      <c r="AV90" s="30"/>
    </row>
    <row r="91" spans="1:48" ht="12.75" customHeight="1" x14ac:dyDescent="0.2">
      <c r="A91" s="30"/>
      <c r="B91" s="34">
        <f t="shared" si="1"/>
        <v>0</v>
      </c>
      <c r="C91" s="960" t="str">
        <f>IF(D91="Casting, Adjust to Grade","720-44000","(find code)")</f>
        <v>720-44000</v>
      </c>
      <c r="D91" s="964" t="str">
        <f>UPPER(Castings!I61)</f>
        <v>CASTING, ADJUST TO GRADE</v>
      </c>
      <c r="E91" s="964" t="str">
        <f>UPPER(Castings!J61)</f>
        <v>, INLET</v>
      </c>
      <c r="F91" s="136">
        <f>Castings!M47</f>
        <v>0</v>
      </c>
      <c r="G91" s="788" t="str">
        <f>IF(Castings!K61="ea","EACH",IF(Castings!K61="lft","LFT","(find unit)"))</f>
        <v>EACH</v>
      </c>
      <c r="H91" s="966"/>
      <c r="I91" s="30"/>
      <c r="J91" s="30"/>
      <c r="K91" s="30"/>
      <c r="L91" s="30"/>
      <c r="M91" s="30"/>
      <c r="N91" s="30"/>
      <c r="O91" s="30"/>
      <c r="P91" s="30"/>
      <c r="Q91" s="30"/>
      <c r="R91" s="30"/>
      <c r="S91" s="30"/>
      <c r="T91" s="30"/>
      <c r="U91" s="30"/>
      <c r="V91" s="30"/>
      <c r="W91" s="30"/>
      <c r="X91" s="30"/>
      <c r="Y91" s="30"/>
      <c r="Z91" s="30"/>
      <c r="AA91" s="30"/>
      <c r="AB91" s="30"/>
      <c r="AC91" s="30"/>
      <c r="AD91" s="30"/>
      <c r="AE91" s="30"/>
      <c r="AF91" s="30"/>
      <c r="AG91" s="30"/>
      <c r="AH91" s="30"/>
      <c r="AI91" s="30"/>
      <c r="AJ91" s="30"/>
      <c r="AK91" s="30"/>
      <c r="AL91" s="30"/>
      <c r="AM91" s="30"/>
      <c r="AN91" s="30"/>
      <c r="AO91" s="30"/>
      <c r="AP91" s="30"/>
      <c r="AQ91" s="30"/>
      <c r="AR91" s="30"/>
      <c r="AS91" s="30"/>
      <c r="AT91" s="30"/>
      <c r="AU91" s="30"/>
      <c r="AV91" s="30"/>
    </row>
    <row r="92" spans="1:48" ht="12.75" customHeight="1" x14ac:dyDescent="0.2">
      <c r="A92" s="30"/>
      <c r="B92" s="34">
        <f t="shared" si="1"/>
        <v>0</v>
      </c>
      <c r="C92" s="960" t="str">
        <f>IF(D92="Casting, Adjust to Grade","720-44000","(find code)")</f>
        <v>720-44000</v>
      </c>
      <c r="D92" s="964" t="str">
        <f>UPPER(Castings!I62)</f>
        <v>CASTING, ADJUST TO GRADE</v>
      </c>
      <c r="E92" s="964" t="str">
        <f>UPPER(Castings!J62)</f>
        <v>, MANHOLE</v>
      </c>
      <c r="F92" s="136">
        <f>Castings!N47</f>
        <v>0</v>
      </c>
      <c r="G92" s="788" t="str">
        <f>IF(Castings!K62="ea","EACH",IF(Castings!K62="lft","LFT","(find unit)"))</f>
        <v>EACH</v>
      </c>
      <c r="H92" s="966"/>
      <c r="I92" s="30"/>
      <c r="J92" s="30"/>
      <c r="K92" s="30"/>
      <c r="L92" s="30"/>
      <c r="M92" s="30"/>
      <c r="N92" s="30"/>
      <c r="O92" s="30"/>
      <c r="P92" s="30"/>
      <c r="Q92" s="30"/>
      <c r="R92" s="30"/>
      <c r="S92" s="30"/>
      <c r="T92" s="30"/>
      <c r="U92" s="30"/>
      <c r="V92" s="30"/>
      <c r="W92" s="30"/>
      <c r="X92" s="30"/>
      <c r="Y92" s="30"/>
      <c r="Z92" s="30"/>
      <c r="AA92" s="30"/>
      <c r="AB92" s="30"/>
      <c r="AC92" s="30"/>
      <c r="AD92" s="30"/>
      <c r="AE92" s="30"/>
      <c r="AF92" s="30"/>
      <c r="AG92" s="30"/>
      <c r="AH92" s="30"/>
      <c r="AI92" s="30"/>
      <c r="AJ92" s="30"/>
      <c r="AK92" s="30"/>
      <c r="AL92" s="30"/>
      <c r="AM92" s="30"/>
      <c r="AN92" s="30"/>
      <c r="AO92" s="30"/>
      <c r="AP92" s="30"/>
      <c r="AQ92" s="30"/>
      <c r="AR92" s="30"/>
      <c r="AS92" s="30"/>
      <c r="AT92" s="30"/>
      <c r="AU92" s="30"/>
      <c r="AV92" s="30"/>
    </row>
    <row r="93" spans="1:48" ht="12.75" customHeight="1" x14ac:dyDescent="0.2">
      <c r="A93" s="30"/>
      <c r="B93" s="34">
        <f t="shared" si="1"/>
        <v>0</v>
      </c>
      <c r="C93" s="960" t="str">
        <f>IF(D93="Casting, 15, Furnish and Adjust to Grade","720-44080","(find code)")</f>
        <v>720-44080</v>
      </c>
      <c r="D93" s="964" t="str">
        <f>UPPER(Castings!I60)</f>
        <v>CASTING, 15, FURNISH AND ADJUST TO GRADE</v>
      </c>
      <c r="E93" s="964" t="str">
        <f>UPPER(Castings!J60)</f>
        <v/>
      </c>
      <c r="F93" s="136">
        <f>Castings!L47</f>
        <v>0</v>
      </c>
      <c r="G93" s="788" t="str">
        <f>IF(Castings!K60="ea","EACH",IF(Castings!K60="lft","LFT","(find unit)"))</f>
        <v>EACH</v>
      </c>
      <c r="H93" s="966"/>
      <c r="I93" s="30"/>
      <c r="J93" s="30"/>
      <c r="K93" s="30"/>
      <c r="L93" s="30"/>
      <c r="M93" s="30"/>
      <c r="N93" s="30"/>
      <c r="O93" s="30"/>
      <c r="P93" s="30"/>
      <c r="Q93" s="30"/>
      <c r="R93" s="30"/>
      <c r="S93" s="30"/>
      <c r="T93" s="30"/>
      <c r="U93" s="30"/>
      <c r="V93" s="30"/>
      <c r="W93" s="30"/>
      <c r="X93" s="30"/>
      <c r="Y93" s="30"/>
      <c r="Z93" s="30"/>
      <c r="AA93" s="30"/>
      <c r="AB93" s="30"/>
      <c r="AC93" s="30"/>
      <c r="AD93" s="30"/>
      <c r="AE93" s="30"/>
      <c r="AF93" s="30"/>
      <c r="AG93" s="30"/>
      <c r="AH93" s="30"/>
      <c r="AI93" s="30"/>
      <c r="AJ93" s="30"/>
      <c r="AK93" s="30"/>
      <c r="AL93" s="30"/>
      <c r="AM93" s="30"/>
      <c r="AN93" s="30"/>
      <c r="AO93" s="30"/>
      <c r="AP93" s="30"/>
      <c r="AQ93" s="30"/>
      <c r="AR93" s="30"/>
      <c r="AS93" s="30"/>
      <c r="AT93" s="30"/>
      <c r="AU93" s="30"/>
      <c r="AV93" s="30"/>
    </row>
    <row r="94" spans="1:48" ht="12.75" customHeight="1" x14ac:dyDescent="0.2">
      <c r="A94" s="30"/>
      <c r="B94" s="34">
        <f t="shared" si="1"/>
        <v>0</v>
      </c>
      <c r="C94" s="960" t="str">
        <f>IF(D94="Structure, Manhole, Reconstructed","720-45605","(find code)")</f>
        <v>720-45605</v>
      </c>
      <c r="D94" s="964" t="str">
        <f>UPPER(Castings!I64)</f>
        <v>STRUCTURE, MANHOLE, RECONSTRUCTED</v>
      </c>
      <c r="E94" s="964" t="str">
        <f>UPPER(Castings!J64)</f>
        <v/>
      </c>
      <c r="F94" s="136">
        <f>Castings!P47</f>
        <v>0</v>
      </c>
      <c r="G94" s="788" t="str">
        <f>IF(Castings!K64="ea","EACH",IF(Castings!K64="lft","LFT","(find unit)"))</f>
        <v>LFT</v>
      </c>
      <c r="H94" s="966"/>
      <c r="I94" s="30"/>
      <c r="J94" s="30"/>
      <c r="K94" s="30"/>
      <c r="L94" s="30"/>
      <c r="M94" s="30"/>
      <c r="N94" s="30"/>
      <c r="O94" s="30"/>
      <c r="P94" s="30"/>
      <c r="Q94" s="30"/>
      <c r="R94" s="30"/>
      <c r="S94" s="30"/>
      <c r="T94" s="30"/>
      <c r="U94" s="30"/>
      <c r="V94" s="30"/>
      <c r="W94" s="30"/>
      <c r="X94" s="30"/>
      <c r="Y94" s="30"/>
      <c r="Z94" s="30"/>
      <c r="AA94" s="30"/>
      <c r="AB94" s="30"/>
      <c r="AC94" s="30"/>
      <c r="AD94" s="30"/>
      <c r="AE94" s="30"/>
      <c r="AF94" s="30"/>
      <c r="AG94" s="30"/>
      <c r="AH94" s="30"/>
      <c r="AI94" s="30"/>
      <c r="AJ94" s="30"/>
      <c r="AK94" s="30"/>
      <c r="AL94" s="30"/>
      <c r="AM94" s="30"/>
      <c r="AN94" s="30"/>
      <c r="AO94" s="30"/>
      <c r="AP94" s="30"/>
      <c r="AQ94" s="30"/>
      <c r="AR94" s="30"/>
      <c r="AS94" s="30"/>
      <c r="AT94" s="30"/>
      <c r="AU94" s="30"/>
      <c r="AV94" s="30"/>
    </row>
    <row r="95" spans="1:48" ht="12.75" customHeight="1" x14ac:dyDescent="0.2">
      <c r="A95" s="30"/>
      <c r="B95" s="34">
        <f t="shared" si="1"/>
        <v>0</v>
      </c>
      <c r="C95" s="960" t="str">
        <f>IF(D95="Structure, Inlet, Reconstructed","720-45615","(find code)")</f>
        <v>720-45615</v>
      </c>
      <c r="D95" s="964" t="str">
        <f>UPPER(Castings!I65)</f>
        <v>STRUCTURE, INLET, RECONSTRUCTED</v>
      </c>
      <c r="E95" s="964" t="str">
        <f>UPPER(Castings!J65)</f>
        <v/>
      </c>
      <c r="F95" s="136">
        <f>Castings!Q47</f>
        <v>0</v>
      </c>
      <c r="G95" s="788" t="str">
        <f>IF(Castings!K65="ea","EACH",IF(Castings!K65="lft","LFT","(find unit)"))</f>
        <v>LFT</v>
      </c>
      <c r="H95" s="966"/>
      <c r="I95" s="30"/>
      <c r="J95" s="30"/>
      <c r="K95" s="30"/>
      <c r="L95" s="30"/>
      <c r="M95" s="30"/>
      <c r="N95" s="30"/>
      <c r="O95" s="30"/>
      <c r="P95" s="30"/>
      <c r="Q95" s="30"/>
      <c r="R95" s="30"/>
      <c r="S95" s="30"/>
      <c r="T95" s="30"/>
      <c r="U95" s="30"/>
      <c r="V95" s="30"/>
      <c r="W95" s="30"/>
      <c r="X95" s="30"/>
      <c r="Y95" s="30"/>
      <c r="Z95" s="30"/>
      <c r="AA95" s="30"/>
      <c r="AB95" s="30"/>
      <c r="AC95" s="30"/>
      <c r="AD95" s="30"/>
      <c r="AE95" s="30"/>
      <c r="AF95" s="30"/>
      <c r="AG95" s="30"/>
      <c r="AH95" s="30"/>
      <c r="AI95" s="30"/>
      <c r="AJ95" s="30"/>
      <c r="AK95" s="30"/>
      <c r="AL95" s="30"/>
      <c r="AM95" s="30"/>
      <c r="AN95" s="30"/>
      <c r="AO95" s="30"/>
      <c r="AP95" s="30"/>
      <c r="AQ95" s="30"/>
      <c r="AR95" s="30"/>
      <c r="AS95" s="30"/>
      <c r="AT95" s="30"/>
      <c r="AU95" s="30"/>
      <c r="AV95" s="30"/>
    </row>
    <row r="96" spans="1:48" ht="12.75" customHeight="1" x14ac:dyDescent="0.2">
      <c r="A96" s="30"/>
      <c r="B96" s="34">
        <f t="shared" si="1"/>
        <v>0</v>
      </c>
      <c r="C96" s="960" t="str">
        <f>IF(D96="Casting, Water Valve, Adjust to Grade","720-94840","(find code)")</f>
        <v>720-94840</v>
      </c>
      <c r="D96" s="964" t="str">
        <f>UPPER(Castings!I63)</f>
        <v>CASTING, WATER VALVE, ADJUST TO GRADE</v>
      </c>
      <c r="E96" s="964" t="str">
        <f>UPPER(Castings!J63)</f>
        <v/>
      </c>
      <c r="F96" s="136">
        <f>Castings!O47</f>
        <v>0</v>
      </c>
      <c r="G96" s="788" t="str">
        <f>IF(Castings!K63="ea","EACH",IF(Castings!K63="lft","LFT","(find unit)"))</f>
        <v>EACH</v>
      </c>
      <c r="H96" s="966"/>
      <c r="I96" s="30"/>
      <c r="J96" s="30"/>
      <c r="K96" s="30"/>
      <c r="L96" s="30"/>
      <c r="M96" s="30"/>
      <c r="N96" s="30"/>
      <c r="O96" s="30"/>
      <c r="P96" s="30"/>
      <c r="Q96" s="30"/>
      <c r="R96" s="30"/>
      <c r="S96" s="30"/>
      <c r="T96" s="30"/>
      <c r="U96" s="30"/>
      <c r="V96" s="30"/>
      <c r="W96" s="30"/>
      <c r="X96" s="30"/>
      <c r="Y96" s="30"/>
      <c r="Z96" s="30"/>
      <c r="AA96" s="30"/>
      <c r="AB96" s="30"/>
      <c r="AC96" s="30"/>
      <c r="AD96" s="30"/>
      <c r="AE96" s="30"/>
      <c r="AF96" s="30"/>
      <c r="AG96" s="30"/>
      <c r="AH96" s="30"/>
      <c r="AI96" s="30"/>
      <c r="AJ96" s="30"/>
      <c r="AK96" s="30"/>
      <c r="AL96" s="30"/>
      <c r="AM96" s="30"/>
      <c r="AN96" s="30"/>
      <c r="AO96" s="30"/>
      <c r="AP96" s="30"/>
      <c r="AQ96" s="30"/>
      <c r="AR96" s="30"/>
      <c r="AS96" s="30"/>
      <c r="AT96" s="30"/>
      <c r="AU96" s="30"/>
      <c r="AV96" s="30"/>
    </row>
    <row r="97" spans="1:48" ht="12.75" customHeight="1" x14ac:dyDescent="0.2">
      <c r="A97" s="30"/>
      <c r="B97" s="34">
        <f t="shared" si="1"/>
        <v>0</v>
      </c>
      <c r="C97" s="960" t="s">
        <v>784</v>
      </c>
      <c r="D97" s="964" t="str">
        <f>UPPER(Castings!I66)</f>
        <v/>
      </c>
      <c r="E97" s="964" t="str">
        <f>UPPER(Castings!J66)</f>
        <v/>
      </c>
      <c r="F97" s="136">
        <f>Castings!R47</f>
        <v>0</v>
      </c>
      <c r="G97" s="788" t="str">
        <f>IF(Castings!K66="ea","EACH",IF(Castings!K66="lft","LFT","(find unit)"))</f>
        <v>(find unit)</v>
      </c>
      <c r="H97" s="966"/>
      <c r="I97" s="30"/>
      <c r="J97" s="30"/>
      <c r="K97" s="30"/>
      <c r="L97" s="30"/>
      <c r="M97" s="30"/>
      <c r="N97" s="30"/>
      <c r="O97" s="30"/>
      <c r="P97" s="30"/>
      <c r="Q97" s="30"/>
      <c r="R97" s="30"/>
      <c r="S97" s="30"/>
      <c r="T97" s="30"/>
      <c r="U97" s="30"/>
      <c r="V97" s="30"/>
      <c r="W97" s="30"/>
      <c r="X97" s="30"/>
      <c r="Y97" s="30"/>
      <c r="Z97" s="30"/>
      <c r="AA97" s="30"/>
      <c r="AB97" s="30"/>
      <c r="AC97" s="30"/>
      <c r="AD97" s="30"/>
      <c r="AE97" s="30"/>
      <c r="AF97" s="30"/>
      <c r="AG97" s="30"/>
      <c r="AH97" s="30"/>
      <c r="AI97" s="30"/>
      <c r="AJ97" s="30"/>
      <c r="AK97" s="30"/>
      <c r="AL97" s="30"/>
      <c r="AM97" s="30"/>
      <c r="AN97" s="30"/>
      <c r="AO97" s="30"/>
      <c r="AP97" s="30"/>
      <c r="AQ97" s="30"/>
      <c r="AR97" s="30"/>
      <c r="AS97" s="30"/>
      <c r="AT97" s="30"/>
      <c r="AU97" s="30"/>
      <c r="AV97" s="30"/>
    </row>
    <row r="98" spans="1:48" ht="12.75" customHeight="1" x14ac:dyDescent="0.2">
      <c r="A98" s="30"/>
      <c r="B98" s="34">
        <f t="shared" si="1"/>
        <v>0</v>
      </c>
      <c r="C98" s="960" t="s">
        <v>784</v>
      </c>
      <c r="D98" s="964" t="str">
        <f>UPPER(Castings!I67)</f>
        <v/>
      </c>
      <c r="E98" s="964" t="str">
        <f>UPPER(Castings!J67)</f>
        <v/>
      </c>
      <c r="F98" s="136">
        <f>Castings!S47</f>
        <v>0</v>
      </c>
      <c r="G98" s="788" t="str">
        <f>IF(Castings!K67="ea","EACH",IF(Castings!K67="lft","LFT","(find unit)"))</f>
        <v>(find unit)</v>
      </c>
      <c r="H98" s="966"/>
      <c r="I98" s="30"/>
      <c r="J98" s="30"/>
      <c r="K98" s="30"/>
      <c r="L98" s="30"/>
      <c r="M98" s="30"/>
      <c r="N98" s="30"/>
      <c r="O98" s="30"/>
      <c r="P98" s="30"/>
      <c r="Q98" s="30"/>
      <c r="R98" s="30"/>
      <c r="S98" s="30"/>
      <c r="T98" s="30"/>
      <c r="U98" s="30"/>
      <c r="V98" s="30"/>
      <c r="W98" s="30"/>
      <c r="X98" s="30"/>
      <c r="Y98" s="30"/>
      <c r="Z98" s="30"/>
      <c r="AA98" s="30"/>
      <c r="AB98" s="30"/>
      <c r="AC98" s="30"/>
      <c r="AD98" s="30"/>
      <c r="AE98" s="30"/>
      <c r="AF98" s="30"/>
      <c r="AG98" s="30"/>
      <c r="AH98" s="30"/>
      <c r="AI98" s="30"/>
      <c r="AJ98" s="30"/>
      <c r="AK98" s="30"/>
      <c r="AL98" s="30"/>
      <c r="AM98" s="30"/>
      <c r="AN98" s="30"/>
      <c r="AO98" s="30"/>
      <c r="AP98" s="30"/>
      <c r="AQ98" s="30"/>
      <c r="AR98" s="30"/>
      <c r="AS98" s="30"/>
      <c r="AT98" s="30"/>
      <c r="AU98" s="30"/>
      <c r="AV98" s="30"/>
    </row>
    <row r="99" spans="1:48" ht="12.75" customHeight="1" x14ac:dyDescent="0.2">
      <c r="A99" s="30"/>
      <c r="B99" s="34">
        <f t="shared" si="1"/>
        <v>0</v>
      </c>
      <c r="C99" s="960" t="s">
        <v>784</v>
      </c>
      <c r="D99" s="964" t="str">
        <f>UPPER(Castings!I68)</f>
        <v/>
      </c>
      <c r="E99" s="964" t="str">
        <f>UPPER(Castings!J68)</f>
        <v/>
      </c>
      <c r="F99" s="136">
        <f>Castings!T47</f>
        <v>0</v>
      </c>
      <c r="G99" s="788" t="str">
        <f>IF(Castings!K68="ea","EACH",IF(Castings!K68="lft","LFT","(find unit)"))</f>
        <v>(find unit)</v>
      </c>
      <c r="H99" s="966"/>
      <c r="I99" s="30"/>
      <c r="J99" s="30"/>
      <c r="K99" s="30"/>
      <c r="L99" s="30"/>
      <c r="M99" s="30"/>
      <c r="N99" s="30"/>
      <c r="O99" s="30"/>
      <c r="P99" s="30"/>
      <c r="Q99" s="30"/>
      <c r="R99" s="30"/>
      <c r="S99" s="30"/>
      <c r="T99" s="30"/>
      <c r="U99" s="30"/>
      <c r="V99" s="30"/>
      <c r="W99" s="30"/>
      <c r="X99" s="30"/>
      <c r="Y99" s="30"/>
      <c r="Z99" s="30"/>
      <c r="AA99" s="30"/>
      <c r="AB99" s="30"/>
      <c r="AC99" s="30"/>
      <c r="AD99" s="30"/>
      <c r="AE99" s="30"/>
      <c r="AF99" s="30"/>
      <c r="AG99" s="30"/>
      <c r="AH99" s="30"/>
      <c r="AI99" s="30"/>
      <c r="AJ99" s="30"/>
      <c r="AK99" s="30"/>
      <c r="AL99" s="30"/>
      <c r="AM99" s="30"/>
      <c r="AN99" s="30"/>
      <c r="AO99" s="30"/>
      <c r="AP99" s="30"/>
      <c r="AQ99" s="30"/>
      <c r="AR99" s="30"/>
      <c r="AS99" s="30"/>
      <c r="AT99" s="30"/>
      <c r="AU99" s="30"/>
      <c r="AV99" s="30"/>
    </row>
    <row r="100" spans="1:48" ht="12.75" customHeight="1" x14ac:dyDescent="0.2">
      <c r="A100" s="30"/>
      <c r="B100" s="34">
        <f t="shared" si="1"/>
        <v>0</v>
      </c>
      <c r="C100" s="960" t="s">
        <v>784</v>
      </c>
      <c r="D100" s="964" t="str">
        <f>UPPER(Castings!I69)</f>
        <v/>
      </c>
      <c r="E100" s="964" t="str">
        <f>UPPER(Castings!J69)</f>
        <v/>
      </c>
      <c r="F100" s="136">
        <f>Castings!U47</f>
        <v>0</v>
      </c>
      <c r="G100" s="788" t="str">
        <f>IF(Castings!K69="ea","EACH",IF(Castings!K69="lft","LFT","(find unit)"))</f>
        <v>(find unit)</v>
      </c>
      <c r="H100" s="966"/>
      <c r="I100" s="30"/>
      <c r="J100" s="30"/>
      <c r="K100" s="30"/>
      <c r="L100" s="30"/>
      <c r="M100" s="30"/>
      <c r="N100" s="30"/>
      <c r="O100" s="30"/>
      <c r="P100" s="30"/>
      <c r="Q100" s="30"/>
      <c r="R100" s="30"/>
      <c r="S100" s="30"/>
      <c r="T100" s="30"/>
      <c r="U100" s="30"/>
      <c r="V100" s="30"/>
      <c r="W100" s="30"/>
      <c r="X100" s="30"/>
      <c r="Y100" s="30"/>
      <c r="Z100" s="30"/>
      <c r="AA100" s="30"/>
      <c r="AB100" s="30"/>
      <c r="AC100" s="30"/>
      <c r="AD100" s="30"/>
      <c r="AE100" s="30"/>
      <c r="AF100" s="30"/>
      <c r="AG100" s="30"/>
      <c r="AH100" s="30"/>
      <c r="AI100" s="30"/>
      <c r="AJ100" s="30"/>
      <c r="AK100" s="30"/>
      <c r="AL100" s="30"/>
      <c r="AM100" s="30"/>
      <c r="AN100" s="30"/>
      <c r="AO100" s="30"/>
      <c r="AP100" s="30"/>
      <c r="AQ100" s="30"/>
      <c r="AR100" s="30"/>
      <c r="AS100" s="30"/>
      <c r="AT100" s="30"/>
      <c r="AU100" s="30"/>
      <c r="AV100" s="30"/>
    </row>
    <row r="101" spans="1:48" ht="12.75" customHeight="1" x14ac:dyDescent="0.2">
      <c r="A101" s="30"/>
      <c r="B101" s="34">
        <f t="shared" si="1"/>
        <v>0</v>
      </c>
      <c r="C101" s="960" t="s">
        <v>784</v>
      </c>
      <c r="D101" s="964" t="str">
        <f>UPPER(Castings!I70)</f>
        <v/>
      </c>
      <c r="E101" s="964" t="str">
        <f>UPPER(Castings!J70)</f>
        <v/>
      </c>
      <c r="F101" s="136">
        <f>Castings!V47</f>
        <v>0</v>
      </c>
      <c r="G101" s="788" t="str">
        <f>IF(Castings!K70="ea","EACH",IF(Castings!K70="lft","LFT","(find unit)"))</f>
        <v>(find unit)</v>
      </c>
      <c r="H101" s="966"/>
      <c r="I101" s="30"/>
      <c r="J101" s="30"/>
      <c r="K101" s="30"/>
      <c r="L101" s="30"/>
      <c r="M101" s="30"/>
      <c r="N101" s="30"/>
      <c r="O101" s="30"/>
      <c r="P101" s="30"/>
      <c r="Q101" s="30"/>
      <c r="R101" s="30"/>
      <c r="S101" s="30"/>
      <c r="T101" s="30"/>
      <c r="U101" s="30"/>
      <c r="V101" s="30"/>
      <c r="W101" s="30"/>
      <c r="X101" s="30"/>
      <c r="Y101" s="30"/>
      <c r="Z101" s="30"/>
      <c r="AA101" s="30"/>
      <c r="AB101" s="30"/>
      <c r="AC101" s="30"/>
      <c r="AD101" s="30"/>
      <c r="AE101" s="30"/>
      <c r="AF101" s="30"/>
      <c r="AG101" s="30"/>
      <c r="AH101" s="30"/>
      <c r="AI101" s="30"/>
      <c r="AJ101" s="30"/>
      <c r="AK101" s="30"/>
      <c r="AL101" s="30"/>
      <c r="AM101" s="30"/>
      <c r="AN101" s="30"/>
      <c r="AO101" s="30"/>
      <c r="AP101" s="30"/>
      <c r="AQ101" s="30"/>
      <c r="AR101" s="30"/>
      <c r="AS101" s="30"/>
      <c r="AT101" s="30"/>
      <c r="AU101" s="30"/>
      <c r="AV101" s="30"/>
    </row>
    <row r="102" spans="1:48" ht="12.75" customHeight="1" x14ac:dyDescent="0.2">
      <c r="A102" s="30"/>
      <c r="B102" s="34">
        <f t="shared" si="1"/>
        <v>0</v>
      </c>
      <c r="C102" s="960" t="s">
        <v>784</v>
      </c>
      <c r="D102" s="964" t="str">
        <f>UPPER(Castings!I71)</f>
        <v/>
      </c>
      <c r="E102" s="964" t="str">
        <f>UPPER(Castings!J71)</f>
        <v/>
      </c>
      <c r="F102" s="136">
        <f>Castings!W47</f>
        <v>0</v>
      </c>
      <c r="G102" s="788" t="str">
        <f>IF(Castings!K71="ea","EACH",IF(Castings!K71="lft","LFT","(find unit)"))</f>
        <v>(find unit)</v>
      </c>
      <c r="H102" s="966"/>
      <c r="I102" s="30"/>
      <c r="J102" s="30"/>
      <c r="K102" s="30"/>
      <c r="L102" s="30"/>
      <c r="M102" s="30"/>
      <c r="N102" s="30" t="s">
        <v>862</v>
      </c>
      <c r="O102" s="30"/>
      <c r="P102" s="30"/>
      <c r="Q102" s="1023"/>
      <c r="R102" s="30"/>
      <c r="S102" s="30"/>
      <c r="T102" s="30"/>
      <c r="U102" s="30"/>
      <c r="V102" s="30"/>
      <c r="W102" s="30"/>
      <c r="X102" s="30"/>
      <c r="Y102" s="30"/>
      <c r="Z102" s="30"/>
      <c r="AA102" s="30"/>
      <c r="AB102" s="30"/>
      <c r="AC102" s="30"/>
      <c r="AD102" s="30"/>
      <c r="AE102" s="30"/>
      <c r="AF102" s="30"/>
      <c r="AG102" s="30"/>
      <c r="AH102" s="30"/>
      <c r="AI102" s="30"/>
      <c r="AJ102" s="30"/>
      <c r="AK102" s="30"/>
      <c r="AL102" s="30"/>
      <c r="AM102" s="30"/>
      <c r="AN102" s="30"/>
      <c r="AO102" s="30"/>
      <c r="AP102" s="30"/>
      <c r="AQ102" s="30"/>
      <c r="AR102" s="30"/>
      <c r="AS102" s="30"/>
      <c r="AT102" s="30"/>
      <c r="AU102" s="30"/>
      <c r="AV102" s="30"/>
    </row>
    <row r="103" spans="1:48" ht="12.75" customHeight="1" x14ac:dyDescent="0.2">
      <c r="A103" s="30"/>
      <c r="B103" s="34">
        <f t="shared" si="1"/>
        <v>0</v>
      </c>
      <c r="C103" s="960" t="s">
        <v>785</v>
      </c>
      <c r="D103" s="964" t="s">
        <v>786</v>
      </c>
      <c r="E103" s="982"/>
      <c r="F103" s="136">
        <f>L103</f>
        <v>0</v>
      </c>
      <c r="G103" s="788" t="s">
        <v>287</v>
      </c>
      <c r="H103" s="966"/>
      <c r="I103" s="30"/>
      <c r="J103" s="30"/>
      <c r="K103" s="251" t="s">
        <v>845</v>
      </c>
      <c r="L103" s="1001"/>
      <c r="M103" s="101" t="s">
        <v>762</v>
      </c>
      <c r="N103" s="30" t="s">
        <v>865</v>
      </c>
      <c r="O103" s="30"/>
      <c r="P103" s="30"/>
      <c r="Q103" s="30"/>
      <c r="R103" s="30"/>
      <c r="S103" s="30"/>
      <c r="T103" s="30"/>
      <c r="U103" s="30"/>
      <c r="V103" s="30"/>
      <c r="W103" s="30"/>
      <c r="X103" s="30"/>
      <c r="Y103" s="30"/>
      <c r="Z103" s="30"/>
      <c r="AA103" s="30"/>
      <c r="AB103" s="30"/>
      <c r="AC103" s="30"/>
      <c r="AD103" s="30"/>
      <c r="AE103" s="30"/>
      <c r="AF103" s="30"/>
      <c r="AG103" s="30"/>
      <c r="AH103" s="30"/>
      <c r="AI103" s="30"/>
      <c r="AJ103" s="30"/>
      <c r="AK103" s="30"/>
      <c r="AL103" s="30"/>
      <c r="AM103" s="30"/>
      <c r="AN103" s="30"/>
      <c r="AO103" s="30"/>
      <c r="AP103" s="30"/>
      <c r="AQ103" s="30"/>
      <c r="AR103" s="30"/>
      <c r="AS103" s="30"/>
      <c r="AT103" s="30"/>
      <c r="AU103" s="30"/>
      <c r="AV103" s="30"/>
    </row>
    <row r="104" spans="1:48" ht="25.5" customHeight="1" x14ac:dyDescent="0.2">
      <c r="A104" s="30"/>
      <c r="B104" s="961">
        <f>IF(L104=$O$151,"X",0)</f>
        <v>0</v>
      </c>
      <c r="C104" s="960" t="s">
        <v>788</v>
      </c>
      <c r="D104" s="964" t="s">
        <v>789</v>
      </c>
      <c r="E104" s="982"/>
      <c r="F104" s="136">
        <f>IF(L104=$O$151,'Pave Mark (2)'!I36,0)+IF(AND(L104=$O$151,$Q$102=$O$151),$N$105*'Pave Mark (2)'!I36,0)</f>
        <v>0</v>
      </c>
      <c r="G104" s="788" t="s">
        <v>287</v>
      </c>
      <c r="H104" s="966"/>
      <c r="I104" s="30"/>
      <c r="J104" s="30"/>
      <c r="K104" s="251" t="s">
        <v>787</v>
      </c>
      <c r="L104" s="194"/>
      <c r="M104" s="101"/>
      <c r="N104" s="179"/>
      <c r="O104" s="101" t="s">
        <v>863</v>
      </c>
      <c r="P104" s="30"/>
      <c r="Q104" s="30"/>
      <c r="R104" s="30"/>
      <c r="S104" s="30"/>
      <c r="T104" s="30"/>
      <c r="U104" s="30"/>
      <c r="V104" s="30"/>
      <c r="W104" s="30"/>
      <c r="X104" s="30"/>
      <c r="Y104" s="30"/>
      <c r="Z104" s="30"/>
      <c r="AA104" s="30"/>
      <c r="AB104" s="30"/>
      <c r="AC104" s="30"/>
      <c r="AD104" s="30"/>
      <c r="AE104" s="30"/>
      <c r="AF104" s="30"/>
      <c r="AG104" s="30"/>
      <c r="AH104" s="30"/>
      <c r="AI104" s="30"/>
      <c r="AJ104" s="30"/>
      <c r="AK104" s="30"/>
      <c r="AL104" s="30"/>
      <c r="AM104" s="30"/>
      <c r="AN104" s="30"/>
      <c r="AO104" s="30"/>
      <c r="AP104" s="30"/>
      <c r="AQ104" s="30"/>
      <c r="AR104" s="30"/>
      <c r="AS104" s="30"/>
      <c r="AT104" s="30"/>
      <c r="AU104" s="30"/>
      <c r="AV104" s="30"/>
    </row>
    <row r="105" spans="1:48" ht="12.75" customHeight="1" x14ac:dyDescent="0.2">
      <c r="A105" s="30"/>
      <c r="B105" s="961">
        <f>IF(L105=$O$151,"X",0)</f>
        <v>0</v>
      </c>
      <c r="C105" s="960" t="s">
        <v>791</v>
      </c>
      <c r="D105" s="964" t="s">
        <v>792</v>
      </c>
      <c r="E105" s="982"/>
      <c r="F105" s="136">
        <f>IF(L105=$O$151,'Pave Mark (2)'!J36,0)+IF(AND(L105=$O$151,$Q$102=$O$151),$N$105*'Pave Mark (2)'!J36,0)</f>
        <v>0</v>
      </c>
      <c r="G105" s="788" t="s">
        <v>287</v>
      </c>
      <c r="H105" s="966"/>
      <c r="I105" s="30"/>
      <c r="J105" s="30"/>
      <c r="K105" s="251" t="s">
        <v>787</v>
      </c>
      <c r="L105" s="194"/>
      <c r="M105" s="101"/>
      <c r="N105" s="179"/>
      <c r="O105" s="30" t="s">
        <v>864</v>
      </c>
      <c r="P105" s="30"/>
      <c r="Q105" s="30"/>
      <c r="R105" s="30"/>
      <c r="S105" s="30"/>
      <c r="T105" s="30"/>
      <c r="U105" s="30"/>
      <c r="V105" s="30"/>
      <c r="W105" s="30"/>
      <c r="X105" s="30"/>
      <c r="Y105" s="30"/>
      <c r="Z105" s="30"/>
      <c r="AA105" s="30"/>
      <c r="AB105" s="30"/>
      <c r="AC105" s="30"/>
      <c r="AD105" s="30"/>
      <c r="AE105" s="30"/>
      <c r="AF105" s="30"/>
      <c r="AG105" s="30"/>
      <c r="AH105" s="30"/>
      <c r="AI105" s="30"/>
      <c r="AJ105" s="30"/>
      <c r="AK105" s="30"/>
      <c r="AL105" s="30"/>
      <c r="AM105" s="30"/>
      <c r="AN105" s="30"/>
      <c r="AO105" s="30"/>
      <c r="AP105" s="30"/>
      <c r="AQ105" s="30"/>
      <c r="AR105" s="30"/>
      <c r="AS105" s="30"/>
      <c r="AT105" s="30"/>
      <c r="AU105" s="30"/>
      <c r="AV105" s="30"/>
    </row>
    <row r="106" spans="1:48" ht="12.75" customHeight="1" x14ac:dyDescent="0.2">
      <c r="A106" s="30"/>
      <c r="B106" s="961">
        <f>IF(L106=$O$151,"X",0)</f>
        <v>0</v>
      </c>
      <c r="C106" s="960" t="s">
        <v>307</v>
      </c>
      <c r="D106" s="964" t="s">
        <v>677</v>
      </c>
      <c r="E106" s="982"/>
      <c r="F106" s="136">
        <f>IF(L106=$O$151,'Pave Mark (2)'!K36,0)+IF(AND(L106=$O$151,$Q$102=$O$151),$N$105*'Pave Mark (2)'!K36,0)</f>
        <v>0</v>
      </c>
      <c r="G106" s="788" t="s">
        <v>287</v>
      </c>
      <c r="H106" s="966"/>
      <c r="I106" s="30"/>
      <c r="J106" s="30"/>
      <c r="K106" s="251" t="s">
        <v>787</v>
      </c>
      <c r="L106" s="194"/>
      <c r="M106" s="101"/>
      <c r="N106" s="30"/>
      <c r="O106" s="30"/>
      <c r="P106" s="30"/>
      <c r="Q106" s="30"/>
      <c r="R106" s="30"/>
      <c r="S106" s="30"/>
      <c r="T106" s="30"/>
      <c r="U106" s="30"/>
      <c r="V106" s="30"/>
      <c r="W106" s="30"/>
      <c r="X106" s="30"/>
      <c r="Y106" s="30"/>
      <c r="Z106" s="30"/>
      <c r="AA106" s="30"/>
      <c r="AB106" s="30"/>
      <c r="AC106" s="30"/>
      <c r="AD106" s="30"/>
      <c r="AE106" s="30"/>
      <c r="AF106" s="30"/>
      <c r="AG106" s="30"/>
      <c r="AH106" s="30"/>
      <c r="AI106" s="30"/>
      <c r="AJ106" s="30"/>
      <c r="AK106" s="30"/>
      <c r="AL106" s="30"/>
      <c r="AM106" s="30"/>
      <c r="AN106" s="30"/>
      <c r="AO106" s="30"/>
      <c r="AP106" s="30"/>
      <c r="AQ106" s="30"/>
      <c r="AR106" s="30"/>
      <c r="AS106" s="30"/>
      <c r="AT106" s="30"/>
      <c r="AU106" s="30"/>
      <c r="AV106" s="30"/>
    </row>
    <row r="107" spans="1:48" ht="12.75" customHeight="1" x14ac:dyDescent="0.2">
      <c r="A107" s="30"/>
      <c r="B107" s="34">
        <f t="shared" si="1"/>
        <v>0</v>
      </c>
      <c r="C107" s="960" t="s">
        <v>308</v>
      </c>
      <c r="D107" s="964" t="s">
        <v>309</v>
      </c>
      <c r="E107" s="963"/>
      <c r="F107" s="136">
        <f>L107</f>
        <v>0</v>
      </c>
      <c r="G107" s="788" t="s">
        <v>287</v>
      </c>
      <c r="H107" s="966"/>
      <c r="I107" s="30"/>
      <c r="J107" s="30"/>
      <c r="K107" s="251" t="s">
        <v>820</v>
      </c>
      <c r="L107" s="194"/>
      <c r="M107" s="101" t="s">
        <v>762</v>
      </c>
      <c r="N107" s="86" t="s">
        <v>872</v>
      </c>
      <c r="O107" s="30"/>
      <c r="P107" s="30"/>
      <c r="Q107" s="30"/>
      <c r="R107" s="30"/>
      <c r="S107" s="30"/>
      <c r="T107" s="30"/>
      <c r="U107" s="30"/>
      <c r="V107" s="30"/>
      <c r="W107" s="30"/>
      <c r="X107" s="30"/>
      <c r="Y107" s="30"/>
      <c r="Z107" s="30"/>
      <c r="AA107" s="30"/>
      <c r="AB107" s="30"/>
      <c r="AC107" s="30"/>
      <c r="AD107" s="30"/>
      <c r="AE107" s="30"/>
      <c r="AF107" s="30"/>
      <c r="AG107" s="30"/>
      <c r="AH107" s="30"/>
      <c r="AI107" s="30"/>
      <c r="AJ107" s="30"/>
      <c r="AK107" s="30"/>
      <c r="AL107" s="30"/>
      <c r="AM107" s="30"/>
      <c r="AN107" s="30"/>
      <c r="AO107" s="30"/>
      <c r="AP107" s="30"/>
      <c r="AQ107" s="30"/>
      <c r="AR107" s="30"/>
      <c r="AS107" s="30"/>
      <c r="AT107" s="30"/>
      <c r="AU107" s="30"/>
      <c r="AV107" s="30"/>
    </row>
    <row r="108" spans="1:48" ht="12.75" customHeight="1" x14ac:dyDescent="0.2">
      <c r="A108" s="30"/>
      <c r="B108" s="34">
        <f t="shared" si="1"/>
        <v>0</v>
      </c>
      <c r="C108" s="960" t="s">
        <v>793</v>
      </c>
      <c r="D108" s="964" t="s">
        <v>794</v>
      </c>
      <c r="E108" s="963"/>
      <c r="F108" s="136">
        <f>L108</f>
        <v>0</v>
      </c>
      <c r="G108" s="788" t="s">
        <v>287</v>
      </c>
      <c r="H108" s="966"/>
      <c r="I108" s="30"/>
      <c r="J108" s="30"/>
      <c r="K108" s="251" t="s">
        <v>821</v>
      </c>
      <c r="L108" s="1001"/>
      <c r="M108" s="101" t="s">
        <v>762</v>
      </c>
      <c r="N108" s="30"/>
      <c r="O108" s="30"/>
      <c r="P108" s="30"/>
      <c r="Q108" s="30"/>
      <c r="R108" s="30"/>
      <c r="S108" s="30"/>
      <c r="T108" s="30"/>
      <c r="U108" s="30"/>
      <c r="V108" s="30"/>
      <c r="W108" s="30"/>
      <c r="X108" s="30"/>
      <c r="Y108" s="30"/>
      <c r="Z108" s="30"/>
      <c r="AA108" s="30"/>
      <c r="AB108" s="30"/>
      <c r="AC108" s="30"/>
      <c r="AD108" s="30"/>
      <c r="AE108" s="30"/>
      <c r="AF108" s="30"/>
      <c r="AG108" s="30"/>
      <c r="AH108" s="30"/>
      <c r="AI108" s="30"/>
      <c r="AJ108" s="30"/>
      <c r="AK108" s="30"/>
      <c r="AL108" s="30"/>
      <c r="AM108" s="30"/>
      <c r="AN108" s="30"/>
      <c r="AO108" s="30"/>
      <c r="AP108" s="30"/>
      <c r="AQ108" s="30"/>
      <c r="AR108" s="30"/>
      <c r="AS108" s="30"/>
      <c r="AT108" s="30"/>
      <c r="AU108" s="30"/>
      <c r="AV108" s="30"/>
    </row>
    <row r="109" spans="1:48" ht="12.75" customHeight="1" x14ac:dyDescent="0.2">
      <c r="A109" s="30"/>
      <c r="B109" s="961">
        <f t="shared" ref="B109:B115" si="2">IF(L109=$O$151,"X",0)</f>
        <v>0</v>
      </c>
      <c r="C109" s="983" t="s">
        <v>234</v>
      </c>
      <c r="D109" s="988" t="s">
        <v>310</v>
      </c>
      <c r="E109" s="963"/>
      <c r="F109" s="136">
        <f>IF(L109=$O$151,'Pave Mark'!Q48,0)+IF(AND(L109=$O$151,$Q$102=$O$151),$N$105*'Pave Mark'!Q48,0)</f>
        <v>0</v>
      </c>
      <c r="G109" s="788" t="s">
        <v>299</v>
      </c>
      <c r="H109" s="966"/>
      <c r="I109" s="30"/>
      <c r="J109" s="30"/>
      <c r="K109" s="251" t="s">
        <v>787</v>
      </c>
      <c r="L109" s="194"/>
      <c r="M109" s="30"/>
      <c r="N109" s="30"/>
      <c r="O109" s="30"/>
      <c r="P109" s="30"/>
      <c r="Q109" s="30"/>
      <c r="R109" s="30"/>
      <c r="S109" s="30"/>
      <c r="T109" s="30"/>
      <c r="U109" s="30"/>
      <c r="V109" s="30"/>
      <c r="W109" s="30"/>
      <c r="X109" s="30"/>
      <c r="Y109" s="30"/>
      <c r="Z109" s="30"/>
      <c r="AA109" s="30"/>
      <c r="AB109" s="30"/>
      <c r="AC109" s="30"/>
      <c r="AD109" s="30"/>
      <c r="AE109" s="30"/>
      <c r="AF109" s="30"/>
      <c r="AG109" s="30"/>
      <c r="AH109" s="30"/>
      <c r="AI109" s="30"/>
      <c r="AJ109" s="30"/>
      <c r="AK109" s="30"/>
      <c r="AL109" s="30"/>
      <c r="AM109" s="30"/>
      <c r="AN109" s="30"/>
      <c r="AO109" s="30"/>
      <c r="AP109" s="30"/>
      <c r="AQ109" s="30"/>
      <c r="AR109" s="30"/>
      <c r="AS109" s="30"/>
      <c r="AT109" s="30"/>
      <c r="AU109" s="30"/>
      <c r="AV109" s="30"/>
    </row>
    <row r="110" spans="1:48" ht="12.75" customHeight="1" x14ac:dyDescent="0.2">
      <c r="A110" s="30"/>
      <c r="B110" s="961">
        <f t="shared" si="2"/>
        <v>0</v>
      </c>
      <c r="C110" s="983" t="s">
        <v>311</v>
      </c>
      <c r="D110" s="988" t="s">
        <v>312</v>
      </c>
      <c r="E110" s="963"/>
      <c r="F110" s="136">
        <f>IF(L110=$O$151,'Pave Mark'!Q48,0)+IF(AND(L110=$O$151,$Q$102=$O$151),$N$104*'Pave Mark'!Q48,0)</f>
        <v>0</v>
      </c>
      <c r="G110" s="788" t="s">
        <v>299</v>
      </c>
      <c r="H110" s="966"/>
      <c r="I110" s="30"/>
      <c r="J110" s="30"/>
      <c r="K110" s="251" t="s">
        <v>787</v>
      </c>
      <c r="L110" s="194"/>
      <c r="M110" s="30"/>
      <c r="N110" s="30"/>
      <c r="O110" s="30"/>
      <c r="P110" s="30"/>
      <c r="Q110" s="30"/>
      <c r="R110" s="30"/>
      <c r="S110" s="30"/>
      <c r="T110" s="30"/>
      <c r="U110" s="30"/>
      <c r="V110" s="30"/>
      <c r="W110" s="30"/>
      <c r="X110" s="30"/>
      <c r="Y110" s="30"/>
      <c r="Z110" s="30"/>
      <c r="AA110" s="30"/>
      <c r="AB110" s="30"/>
      <c r="AC110" s="30"/>
      <c r="AD110" s="30"/>
      <c r="AE110" s="30"/>
      <c r="AF110" s="30"/>
      <c r="AG110" s="30"/>
      <c r="AH110" s="30"/>
      <c r="AI110" s="30"/>
      <c r="AJ110" s="30"/>
      <c r="AK110" s="30"/>
      <c r="AL110" s="30"/>
      <c r="AM110" s="30"/>
      <c r="AN110" s="30"/>
      <c r="AO110" s="30"/>
      <c r="AP110" s="30"/>
      <c r="AQ110" s="30"/>
      <c r="AR110" s="30"/>
      <c r="AS110" s="30"/>
      <c r="AT110" s="30"/>
      <c r="AU110" s="30"/>
      <c r="AV110" s="30"/>
    </row>
    <row r="111" spans="1:48" ht="25.5" customHeight="1" x14ac:dyDescent="0.2">
      <c r="A111" s="30"/>
      <c r="B111" s="961">
        <f t="shared" si="2"/>
        <v>0</v>
      </c>
      <c r="C111" s="960" t="s">
        <v>795</v>
      </c>
      <c r="D111" s="964" t="s">
        <v>797</v>
      </c>
      <c r="E111" s="982"/>
      <c r="F111" s="136">
        <f>IF(L111=$O$151,'Pave Mark (2)'!I36,0)+IF(AND(L111=$O$151,$Q$102=$O$151),$N$104*'Pave Mark (2)'!I36,0)</f>
        <v>0</v>
      </c>
      <c r="G111" s="788" t="s">
        <v>287</v>
      </c>
      <c r="H111" s="966"/>
      <c r="I111" s="30"/>
      <c r="J111" s="30"/>
      <c r="K111" s="251" t="s">
        <v>787</v>
      </c>
      <c r="L111" s="194"/>
      <c r="M111" s="30"/>
      <c r="N111" s="30"/>
      <c r="O111" s="30"/>
      <c r="P111" s="30"/>
      <c r="Q111" s="30"/>
      <c r="R111" s="30"/>
      <c r="S111" s="30"/>
      <c r="T111" s="30"/>
      <c r="U111" s="30"/>
      <c r="V111" s="30"/>
      <c r="W111" s="30"/>
      <c r="X111" s="30"/>
      <c r="Y111" s="30"/>
      <c r="Z111" s="30"/>
      <c r="AA111" s="30"/>
      <c r="AB111" s="30"/>
      <c r="AC111" s="30"/>
      <c r="AD111" s="30"/>
      <c r="AE111" s="30"/>
      <c r="AF111" s="30"/>
      <c r="AG111" s="30"/>
      <c r="AH111" s="30"/>
      <c r="AI111" s="30"/>
      <c r="AJ111" s="30"/>
      <c r="AK111" s="30"/>
      <c r="AL111" s="30"/>
      <c r="AM111" s="30"/>
      <c r="AN111" s="30"/>
      <c r="AO111" s="30"/>
      <c r="AP111" s="30"/>
      <c r="AQ111" s="30"/>
      <c r="AR111" s="30"/>
      <c r="AS111" s="30"/>
      <c r="AT111" s="30"/>
      <c r="AU111" s="30"/>
      <c r="AV111" s="30"/>
    </row>
    <row r="112" spans="1:48" ht="12.75" customHeight="1" x14ac:dyDescent="0.2">
      <c r="A112" s="30"/>
      <c r="B112" s="961">
        <f t="shared" si="2"/>
        <v>0</v>
      </c>
      <c r="C112" s="960" t="s">
        <v>796</v>
      </c>
      <c r="D112" s="964" t="s">
        <v>798</v>
      </c>
      <c r="E112" s="982"/>
      <c r="F112" s="136">
        <f>IF(L112=$O$151,'Pave Mark (2)'!J36,0)+IF(AND(L112=$O$151,$Q$102=$O$151),$N$104*'Pave Mark (2)'!J36,0)</f>
        <v>0</v>
      </c>
      <c r="G112" s="788" t="s">
        <v>287</v>
      </c>
      <c r="H112" s="966"/>
      <c r="I112" s="30"/>
      <c r="J112" s="30"/>
      <c r="K112" s="251" t="s">
        <v>787</v>
      </c>
      <c r="L112" s="194"/>
      <c r="M112" s="30"/>
      <c r="N112" s="30"/>
      <c r="O112" s="30"/>
      <c r="P112" s="30"/>
      <c r="Q112" s="30"/>
      <c r="R112" s="30"/>
      <c r="S112" s="30"/>
      <c r="T112" s="30"/>
      <c r="U112" s="30"/>
      <c r="V112" s="30"/>
      <c r="W112" s="30"/>
      <c r="X112" s="30"/>
      <c r="Y112" s="30"/>
      <c r="Z112" s="30"/>
      <c r="AA112" s="30"/>
      <c r="AB112" s="30"/>
      <c r="AC112" s="30"/>
      <c r="AD112" s="30"/>
      <c r="AE112" s="30"/>
      <c r="AF112" s="30"/>
      <c r="AG112" s="30"/>
      <c r="AH112" s="30"/>
      <c r="AI112" s="30"/>
      <c r="AJ112" s="30"/>
      <c r="AK112" s="30"/>
      <c r="AL112" s="30"/>
      <c r="AM112" s="30"/>
      <c r="AN112" s="30"/>
      <c r="AO112" s="30"/>
      <c r="AP112" s="30"/>
      <c r="AQ112" s="30"/>
      <c r="AR112" s="30"/>
      <c r="AS112" s="30"/>
      <c r="AT112" s="30"/>
      <c r="AU112" s="30"/>
      <c r="AV112" s="30"/>
    </row>
    <row r="113" spans="1:48" ht="12.75" customHeight="1" x14ac:dyDescent="0.2">
      <c r="A113" s="30"/>
      <c r="B113" s="961">
        <f t="shared" si="2"/>
        <v>0</v>
      </c>
      <c r="C113" s="960" t="s">
        <v>313</v>
      </c>
      <c r="D113" s="964" t="s">
        <v>799</v>
      </c>
      <c r="E113" s="982"/>
      <c r="F113" s="136">
        <f>IF(L113=$O$151,'Pave Mark (2)'!K36,0)+IF(AND(L113=$O$151,$Q$102=$O$151),$N$104*'Pave Mark (2)'!K36,0)</f>
        <v>0</v>
      </c>
      <c r="G113" s="788" t="s">
        <v>287</v>
      </c>
      <c r="H113" s="966"/>
      <c r="I113" s="30"/>
      <c r="J113" s="30"/>
      <c r="K113" s="251" t="s">
        <v>787</v>
      </c>
      <c r="L113" s="194"/>
      <c r="M113" s="30"/>
      <c r="N113" s="30"/>
      <c r="O113" s="30"/>
      <c r="P113" s="30"/>
      <c r="Q113" s="30"/>
      <c r="R113" s="30"/>
      <c r="S113" s="30"/>
      <c r="T113" s="30"/>
      <c r="U113" s="30"/>
      <c r="V113" s="30"/>
      <c r="W113" s="30"/>
      <c r="X113" s="30"/>
      <c r="Y113" s="30"/>
      <c r="Z113" s="30"/>
      <c r="AA113" s="30"/>
      <c r="AB113" s="30"/>
      <c r="AC113" s="30"/>
      <c r="AD113" s="30"/>
      <c r="AE113" s="30"/>
      <c r="AF113" s="30"/>
      <c r="AG113" s="30"/>
      <c r="AH113" s="30"/>
      <c r="AI113" s="30"/>
      <c r="AJ113" s="30"/>
      <c r="AK113" s="30"/>
      <c r="AL113" s="30"/>
      <c r="AM113" s="30"/>
      <c r="AN113" s="30"/>
      <c r="AO113" s="30"/>
      <c r="AP113" s="30"/>
      <c r="AQ113" s="30"/>
      <c r="AR113" s="30"/>
      <c r="AS113" s="30"/>
      <c r="AT113" s="30"/>
      <c r="AU113" s="30"/>
      <c r="AV113" s="30"/>
    </row>
    <row r="114" spans="1:48" ht="12.75" customHeight="1" x14ac:dyDescent="0.2">
      <c r="A114" s="30"/>
      <c r="B114" s="961">
        <f t="shared" si="2"/>
        <v>0</v>
      </c>
      <c r="C114" s="960" t="s">
        <v>236</v>
      </c>
      <c r="D114" s="964" t="s">
        <v>314</v>
      </c>
      <c r="E114" s="963"/>
      <c r="F114" s="136">
        <f>IF(L114=$O$151,'Pave Mark (2)'!D36,0)+IF(AND(L114=$O$151,$Q$102=$O$151),$N$105*'Pave Mark (2)'!D36,0)</f>
        <v>0</v>
      </c>
      <c r="G114" s="788" t="s">
        <v>299</v>
      </c>
      <c r="H114" s="966"/>
      <c r="I114" s="30"/>
      <c r="J114" s="30"/>
      <c r="K114" s="251" t="s">
        <v>787</v>
      </c>
      <c r="L114" s="194"/>
      <c r="M114" s="30"/>
      <c r="N114" s="30"/>
      <c r="O114" s="30"/>
      <c r="P114" s="30"/>
      <c r="Q114" s="30"/>
      <c r="R114" s="30"/>
      <c r="S114" s="30"/>
      <c r="T114" s="30"/>
      <c r="U114" s="30"/>
      <c r="V114" s="30"/>
      <c r="W114" s="30"/>
      <c r="X114" s="30"/>
      <c r="Y114" s="30"/>
      <c r="Z114" s="30"/>
      <c r="AA114" s="30"/>
      <c r="AB114" s="30"/>
      <c r="AC114" s="30"/>
      <c r="AD114" s="30"/>
      <c r="AE114" s="30"/>
      <c r="AF114" s="30"/>
      <c r="AG114" s="30"/>
      <c r="AH114" s="30"/>
      <c r="AI114" s="30"/>
      <c r="AJ114" s="30"/>
      <c r="AK114" s="30"/>
      <c r="AL114" s="30"/>
      <c r="AM114" s="30"/>
      <c r="AN114" s="30"/>
      <c r="AO114" s="30"/>
      <c r="AP114" s="30"/>
      <c r="AQ114" s="30"/>
      <c r="AR114" s="30"/>
      <c r="AS114" s="30"/>
      <c r="AT114" s="30"/>
      <c r="AU114" s="30"/>
      <c r="AV114" s="30"/>
    </row>
    <row r="115" spans="1:48" ht="12.75" customHeight="1" x14ac:dyDescent="0.2">
      <c r="A115" s="30"/>
      <c r="B115" s="961">
        <f t="shared" si="2"/>
        <v>0</v>
      </c>
      <c r="C115" s="960" t="s">
        <v>237</v>
      </c>
      <c r="D115" s="988" t="s">
        <v>315</v>
      </c>
      <c r="E115" s="963"/>
      <c r="F115" s="136">
        <f>IF(L115=$O$151,'Pave Mark (2)'!D36,0)+IF(AND(L115=$O$151,$Q$102=$O$151),$N$104*'Pave Mark (2)'!D36,0)</f>
        <v>0</v>
      </c>
      <c r="G115" s="788" t="s">
        <v>299</v>
      </c>
      <c r="H115" s="966"/>
      <c r="I115" s="30"/>
      <c r="J115" s="30"/>
      <c r="K115" s="251" t="s">
        <v>787</v>
      </c>
      <c r="L115" s="194"/>
      <c r="M115" s="30"/>
      <c r="N115" s="30"/>
      <c r="O115" s="30"/>
      <c r="P115" s="30"/>
      <c r="Q115" s="30"/>
      <c r="R115" s="30"/>
      <c r="S115" s="30"/>
      <c r="T115" s="30"/>
      <c r="U115" s="30"/>
      <c r="V115" s="30"/>
      <c r="W115" s="30"/>
      <c r="X115" s="30"/>
      <c r="Y115" s="30"/>
      <c r="Z115" s="30"/>
      <c r="AA115" s="30"/>
      <c r="AB115" s="30"/>
      <c r="AC115" s="30"/>
      <c r="AD115" s="30"/>
      <c r="AE115" s="30"/>
      <c r="AF115" s="30"/>
      <c r="AG115" s="30"/>
      <c r="AH115" s="30"/>
      <c r="AI115" s="30"/>
      <c r="AJ115" s="30"/>
      <c r="AK115" s="30"/>
      <c r="AL115" s="30"/>
      <c r="AM115" s="30"/>
      <c r="AN115" s="30"/>
      <c r="AO115" s="30"/>
      <c r="AP115" s="30"/>
      <c r="AQ115" s="30"/>
      <c r="AR115" s="30"/>
      <c r="AS115" s="30"/>
      <c r="AT115" s="30"/>
      <c r="AU115" s="30"/>
      <c r="AV115" s="30"/>
    </row>
    <row r="116" spans="1:48" ht="12.75" customHeight="1" x14ac:dyDescent="0.2">
      <c r="A116" s="30"/>
      <c r="B116" s="34">
        <f t="shared" si="1"/>
        <v>0</v>
      </c>
      <c r="C116" s="960" t="s">
        <v>316</v>
      </c>
      <c r="D116" s="964" t="s">
        <v>317</v>
      </c>
      <c r="E116" s="963"/>
      <c r="F116" s="136">
        <f>L116</f>
        <v>0</v>
      </c>
      <c r="G116" s="788" t="s">
        <v>287</v>
      </c>
      <c r="H116" s="966"/>
      <c r="I116" s="30"/>
      <c r="J116" s="30"/>
      <c r="K116" s="251" t="s">
        <v>822</v>
      </c>
      <c r="L116" s="194"/>
      <c r="M116" s="101" t="s">
        <v>762</v>
      </c>
      <c r="N116" s="30" t="s">
        <v>873</v>
      </c>
      <c r="O116" s="30"/>
      <c r="P116" s="30"/>
      <c r="Q116" s="30"/>
      <c r="R116" s="30"/>
      <c r="S116" s="30"/>
      <c r="T116" s="30"/>
      <c r="U116" s="30"/>
      <c r="V116" s="30"/>
      <c r="W116" s="30"/>
      <c r="X116" s="30"/>
      <c r="Y116" s="30"/>
      <c r="Z116" s="30"/>
      <c r="AA116" s="30"/>
      <c r="AB116" s="30"/>
      <c r="AC116" s="30"/>
      <c r="AD116" s="30"/>
      <c r="AE116" s="30"/>
      <c r="AF116" s="30"/>
      <c r="AG116" s="30"/>
      <c r="AH116" s="30"/>
      <c r="AI116" s="30"/>
      <c r="AJ116" s="30"/>
      <c r="AK116" s="30"/>
      <c r="AL116" s="30"/>
      <c r="AM116" s="30"/>
      <c r="AN116" s="30"/>
      <c r="AO116" s="30"/>
      <c r="AP116" s="30"/>
      <c r="AQ116" s="30"/>
      <c r="AR116" s="30"/>
      <c r="AS116" s="30"/>
      <c r="AT116" s="30"/>
      <c r="AU116" s="30"/>
      <c r="AV116" s="30"/>
    </row>
    <row r="117" spans="1:48" ht="12.75" customHeight="1" x14ac:dyDescent="0.2">
      <c r="A117" s="30"/>
      <c r="B117" s="34">
        <f t="shared" si="1"/>
        <v>0</v>
      </c>
      <c r="C117" s="960" t="s">
        <v>800</v>
      </c>
      <c r="D117" s="964" t="s">
        <v>801</v>
      </c>
      <c r="E117" s="963"/>
      <c r="F117" s="136">
        <f>L117</f>
        <v>0</v>
      </c>
      <c r="G117" s="788" t="s">
        <v>287</v>
      </c>
      <c r="H117" s="966"/>
      <c r="I117" s="30"/>
      <c r="J117" s="30"/>
      <c r="K117" s="251" t="s">
        <v>823</v>
      </c>
      <c r="L117" s="1001"/>
      <c r="M117" s="101" t="s">
        <v>762</v>
      </c>
      <c r="N117" s="86" t="s">
        <v>874</v>
      </c>
      <c r="O117" s="30"/>
      <c r="P117" s="1612" t="str">
        <f>IF($L$6=$U$153,"&lt;--- Fort Wayne District typically assumes 1 corner at each intersection is closed at a time, thus calculating 6 type B signs "&amp;" per intersection, 1 ''Sidewalk Closed'' or ''Sidewalk Closed (w/ double arrow) Use Other Side'' for closing each sidewalk going to that corner (4 max.) "&amp;" and 1 ''Sidewalk Closed Ahead (w/ arrow) Cross Here'' for giving warning of the closure ahead (2 max.) in accordance with "&amp;" MUTCD Fig. 6H-29.  But if sidewalk does not exist along each leg of the intersection, the maximum of 6 signs should be reduced, but should still account "&amp;" for the worst-case at each intersection."," ")</f>
        <v xml:space="preserve"> </v>
      </c>
      <c r="Q117" s="1612"/>
      <c r="R117" s="1612"/>
      <c r="S117" s="1612"/>
      <c r="T117" s="1612"/>
      <c r="U117" s="1612"/>
      <c r="V117" s="1612"/>
      <c r="W117" s="1612"/>
      <c r="X117" s="1612"/>
      <c r="Y117" s="1612"/>
      <c r="Z117" s="1612"/>
      <c r="AA117" s="1612"/>
      <c r="AB117" s="1612"/>
      <c r="AC117" s="1612"/>
      <c r="AD117" s="1612"/>
      <c r="AE117" s="30"/>
      <c r="AF117" s="30"/>
      <c r="AG117" s="30"/>
      <c r="AH117" s="30"/>
      <c r="AI117" s="30"/>
      <c r="AJ117" s="30"/>
      <c r="AK117" s="30"/>
      <c r="AL117" s="30"/>
      <c r="AM117" s="30"/>
      <c r="AN117" s="30"/>
      <c r="AO117" s="30"/>
      <c r="AP117" s="30"/>
      <c r="AQ117" s="30"/>
      <c r="AR117" s="30"/>
      <c r="AS117" s="30"/>
      <c r="AT117" s="30"/>
      <c r="AU117" s="30"/>
      <c r="AV117" s="30"/>
    </row>
    <row r="118" spans="1:48" ht="12.75" customHeight="1" x14ac:dyDescent="0.2">
      <c r="A118" s="30"/>
      <c r="B118" s="34">
        <f t="shared" si="1"/>
        <v>0</v>
      </c>
      <c r="C118" s="983" t="s">
        <v>802</v>
      </c>
      <c r="D118" s="988" t="s">
        <v>803</v>
      </c>
      <c r="E118" s="963"/>
      <c r="F118" s="136">
        <f>L118</f>
        <v>0</v>
      </c>
      <c r="G118" s="788" t="s">
        <v>322</v>
      </c>
      <c r="H118" s="966"/>
      <c r="I118" s="30"/>
      <c r="J118" s="30"/>
      <c r="K118" s="251" t="s">
        <v>824</v>
      </c>
      <c r="L118" s="1001"/>
      <c r="M118" s="101" t="s">
        <v>804</v>
      </c>
      <c r="N118" s="30"/>
      <c r="O118" s="30"/>
      <c r="P118" s="1612"/>
      <c r="Q118" s="1612"/>
      <c r="R118" s="1612"/>
      <c r="S118" s="1612"/>
      <c r="T118" s="1612"/>
      <c r="U118" s="1612"/>
      <c r="V118" s="1612"/>
      <c r="W118" s="1612"/>
      <c r="X118" s="1612"/>
      <c r="Y118" s="1612"/>
      <c r="Z118" s="1612"/>
      <c r="AA118" s="1612"/>
      <c r="AB118" s="1612"/>
      <c r="AC118" s="1612"/>
      <c r="AD118" s="1612"/>
      <c r="AE118" s="30"/>
      <c r="AF118" s="30"/>
      <c r="AG118" s="30"/>
      <c r="AH118" s="30"/>
      <c r="AI118" s="30"/>
      <c r="AJ118" s="30"/>
      <c r="AK118" s="30"/>
      <c r="AL118" s="30"/>
      <c r="AM118" s="30"/>
      <c r="AN118" s="30"/>
      <c r="AO118" s="30"/>
      <c r="AP118" s="30"/>
      <c r="AQ118" s="30"/>
      <c r="AR118" s="30"/>
      <c r="AS118" s="30"/>
      <c r="AT118" s="30"/>
      <c r="AU118" s="30"/>
      <c r="AV118" s="30"/>
    </row>
    <row r="119" spans="1:48" ht="12.75" customHeight="1" x14ac:dyDescent="0.2">
      <c r="A119" s="30"/>
      <c r="B119" s="34" t="str">
        <f t="shared" si="1"/>
        <v>X</v>
      </c>
      <c r="C119" s="983" t="s">
        <v>318</v>
      </c>
      <c r="D119" s="988" t="s">
        <v>319</v>
      </c>
      <c r="E119" s="963"/>
      <c r="F119" s="786">
        <v>1</v>
      </c>
      <c r="G119" s="788" t="s">
        <v>269</v>
      </c>
      <c r="H119" s="966"/>
      <c r="I119" s="30"/>
      <c r="J119" s="30"/>
      <c r="K119" s="30"/>
      <c r="L119" s="155"/>
      <c r="M119" s="30"/>
      <c r="N119" s="30"/>
      <c r="O119" s="30"/>
      <c r="P119" s="1612"/>
      <c r="Q119" s="1612"/>
      <c r="R119" s="1612"/>
      <c r="S119" s="1612"/>
      <c r="T119" s="1612"/>
      <c r="U119" s="1612"/>
      <c r="V119" s="1612"/>
      <c r="W119" s="1612"/>
      <c r="X119" s="1612"/>
      <c r="Y119" s="1612"/>
      <c r="Z119" s="1612"/>
      <c r="AA119" s="1612"/>
      <c r="AB119" s="1612"/>
      <c r="AC119" s="1612"/>
      <c r="AD119" s="1612"/>
      <c r="AE119" s="30"/>
      <c r="AF119" s="30"/>
      <c r="AG119" s="30"/>
      <c r="AH119" s="30"/>
      <c r="AI119" s="30"/>
      <c r="AJ119" s="30"/>
      <c r="AK119" s="30"/>
      <c r="AL119" s="30"/>
      <c r="AM119" s="30"/>
      <c r="AN119" s="30"/>
      <c r="AO119" s="30"/>
      <c r="AP119" s="30"/>
      <c r="AQ119" s="30"/>
      <c r="AR119" s="30"/>
      <c r="AS119" s="30"/>
      <c r="AT119" s="30"/>
      <c r="AU119" s="30"/>
      <c r="AV119" s="30"/>
    </row>
    <row r="120" spans="1:48" ht="12.75" customHeight="1" x14ac:dyDescent="0.2">
      <c r="A120" s="30"/>
      <c r="B120" s="34">
        <f>IF(F120&gt;0,"X",0)</f>
        <v>0</v>
      </c>
      <c r="C120" s="983" t="s">
        <v>875</v>
      </c>
      <c r="D120" s="988" t="s">
        <v>876</v>
      </c>
      <c r="E120" s="963"/>
      <c r="F120" s="136">
        <f>L120</f>
        <v>0</v>
      </c>
      <c r="G120" s="788" t="s">
        <v>299</v>
      </c>
      <c r="H120" s="966"/>
      <c r="I120" s="30"/>
      <c r="J120" s="30"/>
      <c r="K120" s="251" t="s">
        <v>877</v>
      </c>
      <c r="L120" s="1001"/>
      <c r="M120" s="101" t="s">
        <v>101</v>
      </c>
      <c r="N120" s="86" t="s">
        <v>878</v>
      </c>
      <c r="O120" s="30"/>
      <c r="P120" s="1630" t="str">
        <f>IF($L$6=$U$153,"&lt;--- Fort Wayne District typically assumes 1 corner at each intersection is closed at a time, thus calculating 4 barricades (times 8 lft each = 32 lft) "&amp;" per intersection, in accordance with MUTCD Fig. 6H-29.  But if sidewalk does not exist along each leg of the intersection, the maximum of 4 barricades should be reduced, but should still account for the worst-case at each intersection."," ")</f>
        <v xml:space="preserve"> </v>
      </c>
      <c r="Q120" s="1630"/>
      <c r="R120" s="1630"/>
      <c r="S120" s="1630"/>
      <c r="T120" s="1630"/>
      <c r="U120" s="1630"/>
      <c r="V120" s="1630"/>
      <c r="W120" s="1630"/>
      <c r="X120" s="1630"/>
      <c r="Y120" s="1630"/>
      <c r="Z120" s="1630"/>
      <c r="AA120" s="1630"/>
      <c r="AB120" s="1630"/>
      <c r="AC120" s="1630"/>
      <c r="AD120" s="1630"/>
      <c r="AE120" s="30"/>
      <c r="AF120" s="30"/>
      <c r="AG120" s="30"/>
      <c r="AH120" s="30"/>
      <c r="AI120" s="30"/>
      <c r="AJ120" s="30"/>
      <c r="AK120" s="30"/>
      <c r="AL120" s="30"/>
      <c r="AM120" s="30"/>
      <c r="AN120" s="30"/>
      <c r="AO120" s="30"/>
      <c r="AP120" s="30"/>
      <c r="AQ120" s="30"/>
      <c r="AR120" s="30"/>
      <c r="AS120" s="30"/>
      <c r="AT120" s="30"/>
      <c r="AU120" s="30"/>
      <c r="AV120" s="30"/>
    </row>
    <row r="121" spans="1:48" ht="12.75" customHeight="1" x14ac:dyDescent="0.2">
      <c r="A121" s="30"/>
      <c r="B121" s="34">
        <f t="shared" si="1"/>
        <v>0</v>
      </c>
      <c r="C121" s="983" t="s">
        <v>320</v>
      </c>
      <c r="D121" s="988" t="s">
        <v>321</v>
      </c>
      <c r="E121" s="963"/>
      <c r="F121" s="136">
        <f>L121</f>
        <v>0</v>
      </c>
      <c r="G121" s="788" t="s">
        <v>322</v>
      </c>
      <c r="H121" s="966"/>
      <c r="I121" s="30"/>
      <c r="J121" s="30"/>
      <c r="K121" s="251" t="s">
        <v>825</v>
      </c>
      <c r="L121" s="1001"/>
      <c r="M121" s="101" t="s">
        <v>804</v>
      </c>
      <c r="N121" s="30" t="str">
        <f>IF($L$6=$U$153,"(typically 6 times # days working)"," ")</f>
        <v xml:space="preserve"> </v>
      </c>
      <c r="O121" s="30"/>
      <c r="P121" s="1630"/>
      <c r="Q121" s="1630"/>
      <c r="R121" s="1630"/>
      <c r="S121" s="1630"/>
      <c r="T121" s="1630"/>
      <c r="U121" s="1630"/>
      <c r="V121" s="1630"/>
      <c r="W121" s="1630"/>
      <c r="X121" s="1630"/>
      <c r="Y121" s="1630"/>
      <c r="Z121" s="1630"/>
      <c r="AA121" s="1630"/>
      <c r="AB121" s="1630"/>
      <c r="AC121" s="1630"/>
      <c r="AD121" s="1630"/>
      <c r="AE121" s="30"/>
      <c r="AF121" s="30"/>
      <c r="AG121" s="30"/>
      <c r="AH121" s="30"/>
      <c r="AI121" s="30"/>
      <c r="AJ121" s="30"/>
      <c r="AK121" s="30"/>
      <c r="AL121" s="30"/>
      <c r="AM121" s="30"/>
      <c r="AN121" s="30"/>
      <c r="AO121" s="30"/>
      <c r="AP121" s="30"/>
      <c r="AQ121" s="30"/>
      <c r="AR121" s="30"/>
      <c r="AS121" s="30"/>
      <c r="AT121" s="30"/>
      <c r="AU121" s="30"/>
      <c r="AV121" s="30"/>
    </row>
    <row r="122" spans="1:48" ht="12.75" customHeight="1" x14ac:dyDescent="0.2">
      <c r="A122" s="30"/>
      <c r="B122" s="34">
        <f t="shared" si="1"/>
        <v>0</v>
      </c>
      <c r="C122" s="960" t="str">
        <f>IF(D122="Conduit, Steel, Galvanized, 2 In","805-01844","(find code)")</f>
        <v>805-01844</v>
      </c>
      <c r="D122" s="988" t="str">
        <f>UPPER(Signals!J3)</f>
        <v>CONDUIT, STEEL, GALVANIZED, 2 IN</v>
      </c>
      <c r="E122" s="963"/>
      <c r="F122" s="136">
        <f>Signals!J34</f>
        <v>0</v>
      </c>
      <c r="G122" s="788" t="str">
        <f>IF(Signals!J4="ea","EACH",IF(Signals!J4="lft","LFT","(find unit)"))</f>
        <v>LFT</v>
      </c>
      <c r="H122" s="966"/>
      <c r="I122" s="30"/>
      <c r="J122" s="30"/>
      <c r="K122" s="30"/>
      <c r="L122" s="30"/>
      <c r="M122" s="30"/>
      <c r="N122" s="30"/>
      <c r="O122" s="30"/>
      <c r="P122" s="1050"/>
      <c r="Q122" s="1050"/>
      <c r="R122" s="1050"/>
      <c r="S122" s="1050"/>
      <c r="T122" s="1050"/>
      <c r="U122" s="1050"/>
      <c r="V122" s="1050"/>
      <c r="W122" s="1050"/>
      <c r="X122" s="1050"/>
      <c r="Y122" s="1050"/>
      <c r="Z122" s="1050"/>
      <c r="AA122" s="1050"/>
      <c r="AB122" s="1050"/>
      <c r="AC122" s="1050"/>
      <c r="AD122" s="1050"/>
      <c r="AE122" s="30"/>
      <c r="AF122" s="30"/>
      <c r="AG122" s="30"/>
      <c r="AH122" s="30"/>
      <c r="AI122" s="30"/>
      <c r="AJ122" s="30"/>
      <c r="AK122" s="30"/>
      <c r="AL122" s="30"/>
      <c r="AM122" s="30"/>
      <c r="AN122" s="30"/>
      <c r="AO122" s="30"/>
      <c r="AP122" s="30"/>
      <c r="AQ122" s="30"/>
      <c r="AR122" s="30"/>
      <c r="AS122" s="30"/>
      <c r="AT122" s="30"/>
      <c r="AU122" s="30"/>
      <c r="AV122" s="30"/>
    </row>
    <row r="123" spans="1:48" ht="12.75" customHeight="1" x14ac:dyDescent="0.2">
      <c r="A123" s="30"/>
      <c r="B123" s="34">
        <f t="shared" si="1"/>
        <v>0</v>
      </c>
      <c r="C123" s="960" t="str">
        <f>IF(D123="Signal Cable, Roadway Loop, Copper 1C/14 Ga","805-78470","(find code)")</f>
        <v>805-78470</v>
      </c>
      <c r="D123" s="988" t="str">
        <f>UPPER(Signals!E3)</f>
        <v>SIGNAL CABLE, ROADWAY LOOP, COPPER 1C/14 GA</v>
      </c>
      <c r="E123" s="963"/>
      <c r="F123" s="136">
        <f>Signals!E34</f>
        <v>0</v>
      </c>
      <c r="G123" s="788" t="str">
        <f>IF(Signals!E4="ea","EACH",IF(Signals!E4="lft","LFT","(find unit)"))</f>
        <v>LFT</v>
      </c>
      <c r="H123" s="966"/>
      <c r="I123" s="30"/>
      <c r="J123" s="30"/>
      <c r="K123" s="30"/>
      <c r="L123" s="30"/>
      <c r="M123" s="30"/>
      <c r="N123" s="30"/>
      <c r="O123" s="30"/>
      <c r="P123" s="30"/>
      <c r="Q123" s="30"/>
      <c r="R123" s="30"/>
      <c r="S123" s="30"/>
      <c r="T123" s="30"/>
      <c r="U123" s="30"/>
      <c r="V123" s="30"/>
      <c r="W123" s="30"/>
      <c r="X123" s="30"/>
      <c r="Y123" s="30"/>
      <c r="Z123" s="30"/>
      <c r="AA123" s="30"/>
      <c r="AB123" s="30"/>
      <c r="AC123" s="30"/>
      <c r="AD123" s="30"/>
      <c r="AE123" s="30"/>
      <c r="AF123" s="30"/>
      <c r="AG123" s="30"/>
      <c r="AH123" s="30"/>
      <c r="AI123" s="30"/>
      <c r="AJ123" s="30"/>
      <c r="AK123" s="30"/>
      <c r="AL123" s="30"/>
      <c r="AM123" s="30"/>
      <c r="AN123" s="30"/>
      <c r="AO123" s="30"/>
      <c r="AP123" s="30"/>
      <c r="AQ123" s="30"/>
      <c r="AR123" s="30"/>
      <c r="AS123" s="30"/>
      <c r="AT123" s="30"/>
      <c r="AU123" s="30"/>
      <c r="AV123" s="30"/>
    </row>
    <row r="124" spans="1:48" ht="12.75" customHeight="1" x14ac:dyDescent="0.2">
      <c r="A124" s="30"/>
      <c r="B124" s="34">
        <f t="shared" si="1"/>
        <v>0</v>
      </c>
      <c r="C124" s="960" t="str">
        <f>IF(D124="Signal Cable, Detector Lead-in, Copper 2C/16 Ga","805-78510","(find code)")</f>
        <v>805-78510</v>
      </c>
      <c r="D124" s="988" t="str">
        <f>UPPER(Signals!I3)</f>
        <v>SIGNAL CABLE, DETECTOR LEAD-IN, COPPER 2C/16 GA</v>
      </c>
      <c r="E124" s="963"/>
      <c r="F124" s="136">
        <f>Signals!I34</f>
        <v>0</v>
      </c>
      <c r="G124" s="788" t="str">
        <f>IF(Signals!I4="ea","EACH",IF(Signals!I4="lft","LFT","(find unit)"))</f>
        <v>LFT</v>
      </c>
      <c r="H124" s="966"/>
      <c r="I124" s="30"/>
      <c r="J124" s="30"/>
      <c r="K124" s="30"/>
      <c r="L124" s="30"/>
      <c r="M124" s="30"/>
      <c r="N124" s="30"/>
      <c r="O124" s="30"/>
      <c r="P124" s="30"/>
      <c r="Q124" s="30"/>
      <c r="R124" s="30"/>
      <c r="S124" s="30"/>
      <c r="T124" s="30"/>
      <c r="U124" s="30"/>
      <c r="V124" s="30"/>
      <c r="W124" s="30"/>
      <c r="X124" s="30"/>
      <c r="Y124" s="30"/>
      <c r="Z124" s="30"/>
      <c r="AA124" s="30"/>
      <c r="AB124" s="30"/>
      <c r="AC124" s="30"/>
      <c r="AD124" s="30"/>
      <c r="AE124" s="30"/>
      <c r="AF124" s="30"/>
      <c r="AG124" s="30"/>
      <c r="AH124" s="30"/>
      <c r="AI124" s="30"/>
      <c r="AJ124" s="30"/>
      <c r="AK124" s="30"/>
      <c r="AL124" s="30"/>
      <c r="AM124" s="30"/>
      <c r="AN124" s="30"/>
      <c r="AO124" s="30"/>
      <c r="AP124" s="30"/>
      <c r="AQ124" s="30"/>
      <c r="AR124" s="30"/>
      <c r="AS124" s="30"/>
      <c r="AT124" s="30"/>
      <c r="AU124" s="30"/>
      <c r="AV124" s="30"/>
    </row>
    <row r="125" spans="1:48" ht="12.75" customHeight="1" x14ac:dyDescent="0.2">
      <c r="A125" s="30"/>
      <c r="B125" s="34">
        <f t="shared" si="1"/>
        <v>0</v>
      </c>
      <c r="C125" s="960" t="str">
        <f>IF(D125="Signal Detector Housing","805-78785","(find code)")</f>
        <v>805-78785</v>
      </c>
      <c r="D125" s="988" t="str">
        <f>UPPER(Signals!G3)</f>
        <v>SIGNAL DETECTOR HOUSING</v>
      </c>
      <c r="E125" s="963"/>
      <c r="F125" s="136">
        <f>Signals!G34</f>
        <v>0</v>
      </c>
      <c r="G125" s="788" t="str">
        <f>IF(Signals!G4="ea","EACH",IF(Signals!G4="lft","LFT","(find unit)"))</f>
        <v>EACH</v>
      </c>
      <c r="H125" s="966"/>
      <c r="I125" s="30"/>
      <c r="J125" s="30"/>
      <c r="K125" s="30"/>
      <c r="L125" s="30"/>
      <c r="M125" s="30"/>
      <c r="N125" s="30"/>
      <c r="O125" s="30"/>
      <c r="P125" s="30"/>
      <c r="Q125" s="30"/>
      <c r="R125" s="30"/>
      <c r="S125" s="30"/>
      <c r="T125" s="30"/>
      <c r="U125" s="30"/>
      <c r="V125" s="30"/>
      <c r="W125" s="30"/>
      <c r="X125" s="30"/>
      <c r="Y125" s="30"/>
      <c r="Z125" s="30"/>
      <c r="AA125" s="30"/>
      <c r="AB125" s="30"/>
      <c r="AC125" s="30"/>
      <c r="AD125" s="30"/>
      <c r="AE125" s="30"/>
      <c r="AF125" s="30"/>
      <c r="AG125" s="30"/>
      <c r="AH125" s="30"/>
      <c r="AI125" s="30"/>
      <c r="AJ125" s="30"/>
      <c r="AK125" s="30"/>
      <c r="AL125" s="30"/>
      <c r="AM125" s="30"/>
      <c r="AN125" s="30"/>
      <c r="AO125" s="30"/>
      <c r="AP125" s="30"/>
      <c r="AQ125" s="30"/>
      <c r="AR125" s="30"/>
      <c r="AS125" s="30"/>
      <c r="AT125" s="30"/>
      <c r="AU125" s="30"/>
      <c r="AV125" s="30"/>
    </row>
    <row r="126" spans="1:48" ht="12.75" customHeight="1" x14ac:dyDescent="0.2">
      <c r="A126" s="30"/>
      <c r="B126" s="34">
        <f t="shared" si="1"/>
        <v>0</v>
      </c>
      <c r="C126" s="960" t="str">
        <f>IF(D126="Saw Cut for Roadway Loop and Sealant","805-78795","(find code)")</f>
        <v>805-78795</v>
      </c>
      <c r="D126" s="988" t="str">
        <f>UPPER(Signals!F3)</f>
        <v>SAW CUT FOR ROADWAY LOOP AND SEALANT</v>
      </c>
      <c r="E126" s="963"/>
      <c r="F126" s="136">
        <f>Signals!F34</f>
        <v>0</v>
      </c>
      <c r="G126" s="788" t="str">
        <f>IF(Signals!F4="ea","EACH",IF(Signals!F4="lft","LFT","(find unit)"))</f>
        <v>LFT</v>
      </c>
      <c r="H126" s="966"/>
      <c r="I126" s="30"/>
      <c r="J126" s="30"/>
      <c r="K126" s="30"/>
      <c r="L126" s="30"/>
      <c r="M126" s="30"/>
      <c r="N126" s="30"/>
      <c r="O126" s="30"/>
      <c r="P126" s="30"/>
      <c r="Q126" s="30"/>
      <c r="R126" s="30"/>
      <c r="S126" s="30"/>
      <c r="T126" s="30"/>
      <c r="U126" s="30"/>
      <c r="V126" s="30"/>
      <c r="W126" s="30"/>
      <c r="X126" s="30"/>
      <c r="Y126" s="30"/>
      <c r="Z126" s="30"/>
      <c r="AA126" s="30"/>
      <c r="AB126" s="30"/>
      <c r="AC126" s="30"/>
      <c r="AD126" s="30"/>
      <c r="AE126" s="30"/>
      <c r="AF126" s="30"/>
      <c r="AG126" s="30"/>
      <c r="AH126" s="30"/>
      <c r="AI126" s="30"/>
      <c r="AJ126" s="30"/>
      <c r="AK126" s="30"/>
      <c r="AL126" s="30"/>
      <c r="AM126" s="30"/>
      <c r="AN126" s="30"/>
      <c r="AO126" s="30"/>
      <c r="AP126" s="30"/>
      <c r="AQ126" s="30"/>
      <c r="AR126" s="30"/>
      <c r="AS126" s="30"/>
      <c r="AT126" s="30"/>
      <c r="AU126" s="30"/>
      <c r="AV126" s="30"/>
    </row>
    <row r="127" spans="1:48" ht="12.75" customHeight="1" x14ac:dyDescent="0.2">
      <c r="A127" s="30"/>
      <c r="B127" s="34">
        <f t="shared" si="1"/>
        <v>0</v>
      </c>
      <c r="C127" s="960" t="s">
        <v>809</v>
      </c>
      <c r="D127" s="988" t="str">
        <f>UPPER('Pave Mark'!$I$4)&amp;UPPER('Pave Mark'!L$5)</f>
        <v>LINE, BROKEN, WHITE, 4 IN</v>
      </c>
      <c r="E127" s="963"/>
      <c r="F127" s="786">
        <f>'Pave Mark'!L$48</f>
        <v>0</v>
      </c>
      <c r="G127" s="788" t="s">
        <v>299</v>
      </c>
      <c r="H127" s="966"/>
      <c r="I127" s="30"/>
      <c r="J127" s="30"/>
      <c r="K127" s="30"/>
      <c r="L127" s="30"/>
      <c r="M127" s="30"/>
      <c r="N127" s="30"/>
      <c r="O127" s="30"/>
      <c r="P127" s="30"/>
      <c r="Q127" s="30"/>
      <c r="R127" s="30"/>
      <c r="S127" s="30"/>
      <c r="T127" s="30"/>
      <c r="U127" s="30"/>
      <c r="V127" s="30"/>
      <c r="W127" s="30"/>
      <c r="X127" s="30"/>
      <c r="Y127" s="30"/>
      <c r="Z127" s="30"/>
      <c r="AA127" s="30"/>
      <c r="AB127" s="30"/>
      <c r="AC127" s="30"/>
      <c r="AD127" s="30"/>
      <c r="AE127" s="30"/>
      <c r="AF127" s="30"/>
      <c r="AG127" s="30"/>
      <c r="AH127" s="30"/>
      <c r="AI127" s="30"/>
      <c r="AJ127" s="30"/>
      <c r="AK127" s="30"/>
      <c r="AL127" s="30"/>
      <c r="AM127" s="30"/>
      <c r="AN127" s="30"/>
      <c r="AO127" s="30"/>
      <c r="AP127" s="30"/>
      <c r="AQ127" s="30"/>
      <c r="AR127" s="30"/>
      <c r="AS127" s="30"/>
      <c r="AT127" s="30"/>
      <c r="AU127" s="30"/>
      <c r="AV127" s="30"/>
    </row>
    <row r="128" spans="1:48" ht="12.75" customHeight="1" x14ac:dyDescent="0.2">
      <c r="A128" s="30"/>
      <c r="B128" s="34">
        <f t="shared" si="1"/>
        <v>0</v>
      </c>
      <c r="C128" s="960" t="s">
        <v>809</v>
      </c>
      <c r="D128" s="988" t="str">
        <f>UPPER('Pave Mark'!$I$4)&amp;UPPER('Pave Mark'!J$5)</f>
        <v>LINE, BROKEN, YELLOW, 4 IN</v>
      </c>
      <c r="E128" s="963"/>
      <c r="F128" s="786">
        <f>'Pave Mark'!J$48</f>
        <v>0</v>
      </c>
      <c r="G128" s="788" t="s">
        <v>299</v>
      </c>
      <c r="H128" s="966"/>
      <c r="I128" s="30"/>
      <c r="J128" s="30"/>
      <c r="K128" s="30"/>
      <c r="L128" s="30"/>
      <c r="M128" s="30"/>
      <c r="N128" s="30"/>
      <c r="O128" s="30"/>
      <c r="P128" s="30"/>
      <c r="Q128" s="30"/>
      <c r="R128" s="30"/>
      <c r="S128" s="30"/>
      <c r="T128" s="30"/>
      <c r="U128" s="30"/>
      <c r="V128" s="30"/>
      <c r="W128" s="30"/>
      <c r="X128" s="30"/>
      <c r="Y128" s="30"/>
      <c r="Z128" s="30"/>
      <c r="AA128" s="30"/>
      <c r="AB128" s="30"/>
      <c r="AC128" s="30"/>
      <c r="AD128" s="30"/>
      <c r="AE128" s="30"/>
      <c r="AF128" s="30"/>
      <c r="AG128" s="30"/>
      <c r="AH128" s="30"/>
      <c r="AI128" s="30"/>
      <c r="AJ128" s="30"/>
      <c r="AK128" s="30"/>
      <c r="AL128" s="30"/>
      <c r="AM128" s="30"/>
      <c r="AN128" s="30"/>
      <c r="AO128" s="30"/>
      <c r="AP128" s="30"/>
      <c r="AQ128" s="30"/>
      <c r="AR128" s="30"/>
      <c r="AS128" s="30"/>
      <c r="AT128" s="30"/>
      <c r="AU128" s="30"/>
      <c r="AV128" s="30"/>
    </row>
    <row r="129" spans="1:48" ht="12.75" customHeight="1" x14ac:dyDescent="0.2">
      <c r="A129" s="30"/>
      <c r="B129" s="34">
        <f t="shared" si="1"/>
        <v>0</v>
      </c>
      <c r="C129" s="960" t="s">
        <v>809</v>
      </c>
      <c r="D129" s="988" t="str">
        <f>UPPER('Pave Mark'!$I$4)&amp;UPPER('Pave Mark'!M$5)</f>
        <v>LINE, DOTTED, WHITE, 4 IN</v>
      </c>
      <c r="E129" s="963"/>
      <c r="F129" s="786">
        <f>'Pave Mark'!M$48</f>
        <v>0</v>
      </c>
      <c r="G129" s="788" t="s">
        <v>299</v>
      </c>
      <c r="H129" s="966"/>
      <c r="I129" s="30"/>
      <c r="J129" s="30"/>
      <c r="K129" s="30"/>
      <c r="L129" s="30"/>
      <c r="M129" s="30"/>
      <c r="N129" s="30"/>
      <c r="O129" s="30"/>
      <c r="P129" s="30"/>
      <c r="Q129" s="30"/>
      <c r="R129" s="30"/>
      <c r="S129" s="30"/>
      <c r="T129" s="30"/>
      <c r="U129" s="30"/>
      <c r="V129" s="30"/>
      <c r="W129" s="30"/>
      <c r="X129" s="30"/>
      <c r="Y129" s="30"/>
      <c r="Z129" s="30"/>
      <c r="AA129" s="30"/>
      <c r="AB129" s="30"/>
      <c r="AC129" s="30"/>
      <c r="AD129" s="30"/>
      <c r="AE129" s="30"/>
      <c r="AF129" s="30"/>
      <c r="AG129" s="30"/>
      <c r="AH129" s="30"/>
      <c r="AI129" s="30"/>
      <c r="AJ129" s="30"/>
      <c r="AK129" s="30"/>
      <c r="AL129" s="30"/>
      <c r="AM129" s="30"/>
      <c r="AN129" s="30"/>
      <c r="AO129" s="30"/>
      <c r="AP129" s="30"/>
      <c r="AQ129" s="30"/>
      <c r="AR129" s="30"/>
      <c r="AS129" s="30"/>
      <c r="AT129" s="30"/>
      <c r="AU129" s="30"/>
      <c r="AV129" s="30"/>
    </row>
    <row r="130" spans="1:48" ht="12.75" customHeight="1" x14ac:dyDescent="0.2">
      <c r="A130" s="30"/>
      <c r="B130" s="34">
        <f t="shared" si="1"/>
        <v>0</v>
      </c>
      <c r="C130" s="960" t="s">
        <v>809</v>
      </c>
      <c r="D130" s="988" t="str">
        <f>UPPER('Pave Mark'!$I$4)&amp;UPPER('Pave Mark'!K$5)</f>
        <v>LINE, SOLID, WHITE, 4 IN</v>
      </c>
      <c r="E130" s="963"/>
      <c r="F130" s="786">
        <f>'Pave Mark'!K$48</f>
        <v>0</v>
      </c>
      <c r="G130" s="788" t="s">
        <v>299</v>
      </c>
      <c r="H130" s="966"/>
      <c r="I130" s="30"/>
      <c r="J130" s="30"/>
      <c r="K130" s="30"/>
      <c r="L130" s="30"/>
      <c r="M130" s="30"/>
      <c r="N130" s="30"/>
      <c r="O130" s="30"/>
      <c r="P130" s="30"/>
      <c r="Q130" s="30"/>
      <c r="R130" s="30"/>
      <c r="S130" s="30"/>
      <c r="T130" s="30"/>
      <c r="U130" s="30"/>
      <c r="V130" s="30"/>
      <c r="W130" s="30"/>
      <c r="X130" s="30"/>
      <c r="Y130" s="30"/>
      <c r="Z130" s="30"/>
      <c r="AA130" s="30"/>
      <c r="AB130" s="30"/>
      <c r="AC130" s="30"/>
      <c r="AD130" s="30"/>
      <c r="AE130" s="30"/>
      <c r="AF130" s="30"/>
      <c r="AG130" s="30"/>
      <c r="AH130" s="30"/>
      <c r="AI130" s="30"/>
      <c r="AJ130" s="30"/>
      <c r="AK130" s="30"/>
      <c r="AL130" s="30"/>
      <c r="AM130" s="30"/>
      <c r="AN130" s="30"/>
      <c r="AO130" s="30"/>
      <c r="AP130" s="30"/>
      <c r="AQ130" s="30"/>
      <c r="AR130" s="30"/>
      <c r="AS130" s="30"/>
      <c r="AT130" s="30"/>
      <c r="AU130" s="30"/>
      <c r="AV130" s="30"/>
    </row>
    <row r="131" spans="1:48" ht="12.75" customHeight="1" x14ac:dyDescent="0.2">
      <c r="A131" s="30"/>
      <c r="B131" s="34">
        <f t="shared" si="1"/>
        <v>0</v>
      </c>
      <c r="C131" s="960" t="s">
        <v>809</v>
      </c>
      <c r="D131" s="988" t="str">
        <f>UPPER('Pave Mark'!$I$4)&amp;UPPER('Pave Mark'!O$5)</f>
        <v>LINE, SOLID, WHITE, 8 IN</v>
      </c>
      <c r="E131" s="963"/>
      <c r="F131" s="786">
        <f>'Pave Mark'!O$48</f>
        <v>0</v>
      </c>
      <c r="G131" s="788" t="s">
        <v>299</v>
      </c>
      <c r="H131" s="966"/>
      <c r="I131" s="30"/>
      <c r="J131" s="30"/>
      <c r="K131" s="30"/>
      <c r="L131" s="30"/>
      <c r="M131" s="30"/>
      <c r="N131" s="30"/>
      <c r="O131" s="30"/>
      <c r="P131" s="30"/>
      <c r="Q131" s="30"/>
      <c r="R131" s="30"/>
      <c r="S131" s="30"/>
      <c r="T131" s="30"/>
      <c r="U131" s="30"/>
      <c r="V131" s="30"/>
      <c r="W131" s="30"/>
      <c r="X131" s="30"/>
      <c r="Y131" s="30"/>
      <c r="Z131" s="30"/>
      <c r="AA131" s="30"/>
      <c r="AB131" s="30"/>
      <c r="AC131" s="30"/>
      <c r="AD131" s="30"/>
      <c r="AE131" s="30"/>
      <c r="AF131" s="30"/>
      <c r="AG131" s="30"/>
      <c r="AH131" s="30"/>
      <c r="AI131" s="30"/>
      <c r="AJ131" s="30"/>
      <c r="AK131" s="30"/>
      <c r="AL131" s="30"/>
      <c r="AM131" s="30"/>
      <c r="AN131" s="30"/>
      <c r="AO131" s="30"/>
      <c r="AP131" s="30"/>
      <c r="AQ131" s="30"/>
      <c r="AR131" s="30"/>
      <c r="AS131" s="30"/>
      <c r="AT131" s="30"/>
      <c r="AU131" s="30"/>
      <c r="AV131" s="30"/>
    </row>
    <row r="132" spans="1:48" ht="12.75" customHeight="1" x14ac:dyDescent="0.2">
      <c r="A132" s="30"/>
      <c r="B132" s="34">
        <f t="shared" si="1"/>
        <v>0</v>
      </c>
      <c r="C132" s="960" t="s">
        <v>809</v>
      </c>
      <c r="D132" s="988" t="str">
        <f>UPPER('Pave Mark'!$I$4)&amp;UPPER('Pave Mark'!I$5)</f>
        <v>LINE, SOLID, YELLOW, 4 IN</v>
      </c>
      <c r="E132" s="963"/>
      <c r="F132" s="786">
        <f>'Pave Mark'!I$48</f>
        <v>0</v>
      </c>
      <c r="G132" s="788" t="s">
        <v>299</v>
      </c>
      <c r="H132" s="966"/>
      <c r="I132" s="30"/>
      <c r="J132" s="30"/>
      <c r="K132" s="30"/>
      <c r="L132" s="30"/>
      <c r="M132" s="30"/>
      <c r="N132" s="30"/>
      <c r="O132" s="30"/>
      <c r="P132" s="30"/>
      <c r="Q132" s="30"/>
      <c r="R132" s="30"/>
      <c r="S132" s="30"/>
      <c r="T132" s="30"/>
      <c r="U132" s="30"/>
      <c r="V132" s="30"/>
      <c r="W132" s="30"/>
      <c r="X132" s="30"/>
      <c r="Y132" s="30"/>
      <c r="Z132" s="30"/>
      <c r="AA132" s="30"/>
      <c r="AB132" s="30"/>
      <c r="AC132" s="30"/>
      <c r="AD132" s="30"/>
      <c r="AE132" s="30"/>
      <c r="AF132" s="30"/>
      <c r="AG132" s="30"/>
      <c r="AH132" s="30"/>
      <c r="AI132" s="30"/>
      <c r="AJ132" s="30"/>
      <c r="AK132" s="30"/>
      <c r="AL132" s="30"/>
      <c r="AM132" s="30"/>
      <c r="AN132" s="30"/>
      <c r="AO132" s="30"/>
      <c r="AP132" s="30"/>
      <c r="AQ132" s="30"/>
      <c r="AR132" s="30"/>
      <c r="AS132" s="30"/>
      <c r="AT132" s="30"/>
      <c r="AU132" s="30"/>
      <c r="AV132" s="30"/>
    </row>
    <row r="133" spans="1:48" ht="12.75" customHeight="1" x14ac:dyDescent="0.2">
      <c r="A133" s="30"/>
      <c r="B133" s="34">
        <f t="shared" si="1"/>
        <v>0</v>
      </c>
      <c r="C133" s="960" t="s">
        <v>809</v>
      </c>
      <c r="D133" s="988" t="str">
        <f>UPPER('Pave Mark'!$I$4)&amp;UPPER('Pave Mark'!N5)</f>
        <v>LINE, SOLID, YELLOW, 8 IN</v>
      </c>
      <c r="E133" s="963"/>
      <c r="F133" s="786">
        <f>'Pave Mark'!N$48</f>
        <v>0</v>
      </c>
      <c r="G133" s="788" t="s">
        <v>299</v>
      </c>
      <c r="H133" s="966"/>
      <c r="I133" s="30"/>
      <c r="J133" s="30"/>
      <c r="K133" s="30"/>
      <c r="L133" s="30"/>
      <c r="M133" s="30"/>
      <c r="N133" s="30"/>
      <c r="O133" s="30"/>
      <c r="P133" s="30"/>
      <c r="Q133" s="30"/>
      <c r="R133" s="30"/>
      <c r="S133" s="30"/>
      <c r="T133" s="30"/>
      <c r="U133" s="30"/>
      <c r="V133" s="30"/>
      <c r="W133" s="30"/>
      <c r="X133" s="30"/>
      <c r="Y133" s="30"/>
      <c r="Z133" s="30"/>
      <c r="AA133" s="30"/>
      <c r="AB133" s="30"/>
      <c r="AC133" s="30"/>
      <c r="AD133" s="30"/>
      <c r="AE133" s="30"/>
      <c r="AF133" s="30"/>
      <c r="AG133" s="30"/>
      <c r="AH133" s="30"/>
      <c r="AI133" s="30"/>
      <c r="AJ133" s="30"/>
      <c r="AK133" s="30"/>
      <c r="AL133" s="30"/>
      <c r="AM133" s="30"/>
      <c r="AN133" s="30"/>
      <c r="AO133" s="30"/>
      <c r="AP133" s="30"/>
      <c r="AQ133" s="30"/>
      <c r="AR133" s="30"/>
      <c r="AS133" s="30"/>
      <c r="AT133" s="30"/>
      <c r="AU133" s="30"/>
      <c r="AV133" s="30"/>
    </row>
    <row r="134" spans="1:48" ht="12.75" customHeight="1" x14ac:dyDescent="0.2">
      <c r="A134" s="30"/>
      <c r="B134" s="34">
        <f t="shared" si="1"/>
        <v>0</v>
      </c>
      <c r="C134" s="960" t="s">
        <v>809</v>
      </c>
      <c r="D134" s="988" t="str">
        <f>UPPER('Pave Mark (2)'!$D$4)&amp;UPPER('Pave Mark (2)'!D$5)</f>
        <v>TRANSVERSE MARKING, STOP LINE, WHITE,
24 IN</v>
      </c>
      <c r="E134" s="963"/>
      <c r="F134" s="786">
        <f>'Pave Mark (2)'!D$36</f>
        <v>0</v>
      </c>
      <c r="G134" s="788" t="s">
        <v>299</v>
      </c>
      <c r="H134" s="966"/>
      <c r="I134" s="30"/>
      <c r="J134" s="30"/>
      <c r="K134" s="30"/>
      <c r="L134" s="30"/>
      <c r="M134" s="30"/>
      <c r="N134" s="30"/>
      <c r="O134" s="30"/>
      <c r="P134" s="30"/>
      <c r="Q134" s="30"/>
      <c r="R134" s="30"/>
      <c r="S134" s="30"/>
      <c r="T134" s="30"/>
      <c r="U134" s="30"/>
      <c r="V134" s="30"/>
      <c r="W134" s="30"/>
      <c r="X134" s="30"/>
      <c r="Y134" s="30"/>
      <c r="Z134" s="30"/>
      <c r="AA134" s="30"/>
      <c r="AB134" s="30"/>
      <c r="AC134" s="30"/>
      <c r="AD134" s="30"/>
      <c r="AE134" s="30"/>
      <c r="AF134" s="30"/>
      <c r="AG134" s="30"/>
      <c r="AH134" s="30"/>
      <c r="AI134" s="30"/>
      <c r="AJ134" s="30"/>
      <c r="AK134" s="30"/>
      <c r="AL134" s="30"/>
      <c r="AM134" s="30"/>
      <c r="AN134" s="30"/>
      <c r="AO134" s="30"/>
      <c r="AP134" s="30"/>
      <c r="AQ134" s="30"/>
      <c r="AR134" s="30"/>
      <c r="AS134" s="30"/>
      <c r="AT134" s="30"/>
      <c r="AU134" s="30"/>
      <c r="AV134" s="30"/>
    </row>
    <row r="135" spans="1:48" ht="12.75" customHeight="1" x14ac:dyDescent="0.2">
      <c r="A135" s="30"/>
      <c r="B135" s="34">
        <f t="shared" si="1"/>
        <v>0</v>
      </c>
      <c r="C135" s="960" t="s">
        <v>809</v>
      </c>
      <c r="D135" s="988" t="str">
        <f>UPPER('Pave Mark (2)'!$D$4)&amp;UPPER('Pave Mark (2)'!E$5)</f>
        <v>TRANSVERSE MARKING, CROSSWALK LINE, WHITE, 6 IN</v>
      </c>
      <c r="E135" s="963"/>
      <c r="F135" s="786">
        <f>'Pave Mark (2)'!E$36</f>
        <v>0</v>
      </c>
      <c r="G135" s="788" t="s">
        <v>299</v>
      </c>
      <c r="H135" s="966"/>
      <c r="I135" s="30"/>
      <c r="J135" s="30"/>
      <c r="K135" s="30"/>
      <c r="L135" s="30"/>
      <c r="M135" s="30"/>
      <c r="N135" s="30"/>
      <c r="O135" s="30"/>
      <c r="P135" s="30"/>
      <c r="Q135" s="30"/>
      <c r="R135" s="30"/>
      <c r="S135" s="30"/>
      <c r="T135" s="30"/>
      <c r="U135" s="30"/>
      <c r="V135" s="30"/>
      <c r="W135" s="30"/>
      <c r="X135" s="30"/>
      <c r="Y135" s="30"/>
      <c r="Z135" s="30"/>
      <c r="AA135" s="30"/>
      <c r="AB135" s="30"/>
      <c r="AC135" s="30"/>
      <c r="AD135" s="30"/>
      <c r="AE135" s="30"/>
      <c r="AF135" s="30"/>
      <c r="AG135" s="30"/>
      <c r="AH135" s="30"/>
      <c r="AI135" s="30"/>
      <c r="AJ135" s="30"/>
      <c r="AK135" s="30"/>
      <c r="AL135" s="30"/>
      <c r="AM135" s="30"/>
      <c r="AN135" s="30"/>
      <c r="AO135" s="30"/>
      <c r="AP135" s="30"/>
      <c r="AQ135" s="30"/>
      <c r="AR135" s="30"/>
      <c r="AS135" s="30"/>
      <c r="AT135" s="30"/>
      <c r="AU135" s="30"/>
      <c r="AV135" s="30"/>
    </row>
    <row r="136" spans="1:48" ht="25.5" customHeight="1" x14ac:dyDescent="0.2">
      <c r="A136" s="30"/>
      <c r="B136" s="34">
        <f t="shared" si="1"/>
        <v>0</v>
      </c>
      <c r="C136" s="960" t="s">
        <v>809</v>
      </c>
      <c r="D136" s="988" t="str">
        <f>UPPER('Pave Mark (2)'!$D$4)&amp;UPPER('Pave Mark (2)'!F$5)</f>
        <v>TRANSVERSE MARKING, SOLID, CROSS-HATCH LINE, YELLOW, 12 IN</v>
      </c>
      <c r="E136" s="963"/>
      <c r="F136" s="786">
        <f>'Pave Mark (2)'!F$36</f>
        <v>0</v>
      </c>
      <c r="G136" s="788" t="s">
        <v>299</v>
      </c>
      <c r="H136" s="966"/>
      <c r="I136" s="30"/>
      <c r="J136" s="30"/>
      <c r="K136" s="30"/>
      <c r="L136" s="30"/>
      <c r="M136" s="30"/>
      <c r="N136" s="30"/>
      <c r="O136" s="30"/>
      <c r="P136" s="30"/>
      <c r="Q136" s="30"/>
      <c r="R136" s="30"/>
      <c r="S136" s="30"/>
      <c r="T136" s="30"/>
      <c r="U136" s="30"/>
      <c r="V136" s="30"/>
      <c r="W136" s="30"/>
      <c r="X136" s="30"/>
      <c r="Y136" s="30"/>
      <c r="Z136" s="30"/>
      <c r="AA136" s="30"/>
      <c r="AB136" s="30"/>
      <c r="AC136" s="30"/>
      <c r="AD136" s="30"/>
      <c r="AE136" s="30"/>
      <c r="AF136" s="30"/>
      <c r="AG136" s="30"/>
      <c r="AH136" s="30"/>
      <c r="AI136" s="30"/>
      <c r="AJ136" s="30"/>
      <c r="AK136" s="30"/>
      <c r="AL136" s="30"/>
      <c r="AM136" s="30"/>
      <c r="AN136" s="30"/>
      <c r="AO136" s="30"/>
      <c r="AP136" s="30"/>
      <c r="AQ136" s="30"/>
      <c r="AR136" s="30"/>
      <c r="AS136" s="30"/>
      <c r="AT136" s="30"/>
      <c r="AU136" s="30"/>
      <c r="AV136" s="30"/>
    </row>
    <row r="137" spans="1:48" ht="25.5" customHeight="1" x14ac:dyDescent="0.2">
      <c r="A137" s="30"/>
      <c r="B137" s="34">
        <f t="shared" si="1"/>
        <v>0</v>
      </c>
      <c r="C137" s="960" t="s">
        <v>809</v>
      </c>
      <c r="D137" s="988" t="str">
        <f>UPPER('Pave Mark (2)'!$D$4)&amp;UPPER('Pave Mark (2)'!G$5)</f>
        <v>TRANSVERSE MARKING, SOLID, CROSS-HATCH LINE, YELLOW, 24 IN</v>
      </c>
      <c r="E137" s="963"/>
      <c r="F137" s="786">
        <f>'Pave Mark (2)'!G$36</f>
        <v>0</v>
      </c>
      <c r="G137" s="788" t="s">
        <v>299</v>
      </c>
      <c r="H137" s="966"/>
      <c r="I137" s="30"/>
      <c r="J137" s="30"/>
      <c r="K137" s="30"/>
      <c r="L137" s="30"/>
      <c r="M137" s="30"/>
      <c r="N137" s="30"/>
      <c r="O137" s="30"/>
      <c r="P137" s="30"/>
      <c r="Q137" s="30"/>
      <c r="R137" s="30"/>
      <c r="S137" s="30"/>
      <c r="T137" s="30"/>
      <c r="U137" s="30"/>
      <c r="V137" s="30"/>
      <c r="W137" s="30"/>
      <c r="X137" s="30"/>
      <c r="Y137" s="30"/>
      <c r="Z137" s="30"/>
      <c r="AA137" s="30"/>
      <c r="AB137" s="30"/>
      <c r="AC137" s="30"/>
      <c r="AD137" s="30"/>
      <c r="AE137" s="30"/>
      <c r="AF137" s="30"/>
      <c r="AG137" s="30"/>
      <c r="AH137" s="30"/>
      <c r="AI137" s="30"/>
      <c r="AJ137" s="30"/>
      <c r="AK137" s="30"/>
      <c r="AL137" s="30"/>
      <c r="AM137" s="30"/>
      <c r="AN137" s="30"/>
      <c r="AO137" s="30"/>
      <c r="AP137" s="30"/>
      <c r="AQ137" s="30"/>
      <c r="AR137" s="30"/>
      <c r="AS137" s="30"/>
      <c r="AT137" s="30"/>
      <c r="AU137" s="30"/>
      <c r="AV137" s="30"/>
    </row>
    <row r="138" spans="1:48" ht="25.5" customHeight="1" x14ac:dyDescent="0.2">
      <c r="A138" s="30"/>
      <c r="B138" s="34">
        <f t="shared" si="1"/>
        <v>0</v>
      </c>
      <c r="C138" s="960" t="s">
        <v>809</v>
      </c>
      <c r="D138" s="988" t="str">
        <f>UPPER('Pave Mark (2)'!$D$4)&amp;UPPER('Pave Mark (2)'!H$5)</f>
        <v>TRANSVERSE MARKING, SOLID, CROSS-HATCH LINE, WHITE, 12 IN</v>
      </c>
      <c r="E138" s="963"/>
      <c r="F138" s="786">
        <f>'Pave Mark (2)'!H$36</f>
        <v>0</v>
      </c>
      <c r="G138" s="788" t="s">
        <v>299</v>
      </c>
      <c r="H138" s="966"/>
      <c r="I138" s="30"/>
      <c r="J138" s="30"/>
      <c r="K138" s="30"/>
      <c r="L138" s="30"/>
      <c r="M138" s="30"/>
      <c r="N138" s="30"/>
      <c r="O138" s="30"/>
      <c r="P138" s="30"/>
      <c r="Q138" s="30"/>
      <c r="R138" s="30"/>
      <c r="S138" s="30"/>
      <c r="T138" s="30"/>
      <c r="U138" s="30"/>
      <c r="V138" s="30"/>
      <c r="W138" s="30"/>
      <c r="X138" s="30"/>
      <c r="Y138" s="30"/>
      <c r="Z138" s="30"/>
      <c r="AA138" s="30"/>
      <c r="AB138" s="30"/>
      <c r="AC138" s="30"/>
      <c r="AD138" s="30"/>
      <c r="AE138" s="30"/>
      <c r="AF138" s="30"/>
      <c r="AG138" s="30"/>
      <c r="AH138" s="30"/>
      <c r="AI138" s="30"/>
      <c r="AJ138" s="30"/>
      <c r="AK138" s="30"/>
      <c r="AL138" s="30"/>
      <c r="AM138" s="30"/>
      <c r="AN138" s="30"/>
      <c r="AO138" s="30"/>
      <c r="AP138" s="30"/>
      <c r="AQ138" s="30"/>
      <c r="AR138" s="30"/>
      <c r="AS138" s="30"/>
      <c r="AT138" s="30"/>
      <c r="AU138" s="30"/>
      <c r="AV138" s="30"/>
    </row>
    <row r="139" spans="1:48" ht="25.5" customHeight="1" x14ac:dyDescent="0.2">
      <c r="A139" s="30"/>
      <c r="B139" s="34">
        <f t="shared" si="1"/>
        <v>0</v>
      </c>
      <c r="C139" s="960" t="s">
        <v>809</v>
      </c>
      <c r="D139" s="988" t="str">
        <f>"PAVEMENT MESSAGE MARKINGS, "&amp;UPPER('Pave Mark (2)'!$R$3)&amp;UPPER('Pave Mark (2)'!I$5)</f>
        <v>PAVEMENT MESSAGE MARKINGS, LANE INDICATION ARROW</v>
      </c>
      <c r="E139" s="963"/>
      <c r="F139" s="786">
        <f>'Pave Mark (2)'!I$36</f>
        <v>0</v>
      </c>
      <c r="G139" s="788" t="s">
        <v>287</v>
      </c>
      <c r="H139" s="966"/>
      <c r="I139" s="30"/>
      <c r="J139" s="30"/>
      <c r="K139" s="30"/>
      <c r="L139" s="30"/>
      <c r="M139" s="30"/>
      <c r="N139" s="30"/>
      <c r="O139" s="30"/>
      <c r="P139" s="30"/>
      <c r="Q139" s="30"/>
      <c r="R139" s="30"/>
      <c r="S139" s="30"/>
      <c r="T139" s="30"/>
      <c r="U139" s="30"/>
      <c r="V139" s="30"/>
      <c r="W139" s="30"/>
      <c r="X139" s="30"/>
      <c r="Y139" s="30"/>
      <c r="Z139" s="30"/>
      <c r="AA139" s="30"/>
      <c r="AB139" s="30"/>
      <c r="AC139" s="30"/>
      <c r="AD139" s="30"/>
      <c r="AE139" s="30"/>
      <c r="AF139" s="30"/>
      <c r="AG139" s="30"/>
      <c r="AH139" s="30"/>
      <c r="AI139" s="30"/>
      <c r="AJ139" s="30"/>
      <c r="AK139" s="30"/>
      <c r="AL139" s="30"/>
      <c r="AM139" s="30"/>
      <c r="AN139" s="30"/>
      <c r="AO139" s="30"/>
      <c r="AP139" s="30"/>
      <c r="AQ139" s="30"/>
      <c r="AR139" s="30"/>
      <c r="AS139" s="30"/>
      <c r="AT139" s="30"/>
      <c r="AU139" s="30"/>
      <c r="AV139" s="30"/>
    </row>
    <row r="140" spans="1:48" ht="12.75" customHeight="1" x14ac:dyDescent="0.2">
      <c r="A140" s="30"/>
      <c r="B140" s="34">
        <f t="shared" si="1"/>
        <v>0</v>
      </c>
      <c r="C140" s="960" t="s">
        <v>809</v>
      </c>
      <c r="D140" s="988" t="str">
        <f>"PAVEMENT MESSAGE MARKINGS, "&amp;UPPER('Pave Mark (2)'!$R$3)&amp;UPPER('Pave Mark (2)'!J$5)</f>
        <v>PAVEMENT MESSAGE MARKINGS, WORD (ONLY)</v>
      </c>
      <c r="E140" s="963"/>
      <c r="F140" s="786">
        <f>'Pave Mark (2)'!J$36</f>
        <v>0</v>
      </c>
      <c r="G140" s="788" t="s">
        <v>287</v>
      </c>
      <c r="H140" s="966"/>
      <c r="I140" s="30"/>
      <c r="J140" s="30"/>
      <c r="K140" s="30"/>
      <c r="L140" s="30"/>
      <c r="M140" s="30"/>
      <c r="N140" s="30"/>
      <c r="O140" s="30"/>
      <c r="P140" s="30"/>
      <c r="Q140" s="30"/>
      <c r="R140" s="30"/>
      <c r="S140" s="30"/>
      <c r="T140" s="30"/>
      <c r="U140" s="30"/>
      <c r="V140" s="30"/>
      <c r="W140" s="30"/>
      <c r="X140" s="30"/>
      <c r="Y140" s="30"/>
      <c r="Z140" s="30"/>
      <c r="AA140" s="30"/>
      <c r="AB140" s="30"/>
      <c r="AC140" s="30"/>
      <c r="AD140" s="30"/>
      <c r="AE140" s="30"/>
      <c r="AF140" s="30"/>
      <c r="AG140" s="30"/>
      <c r="AH140" s="30"/>
      <c r="AI140" s="30"/>
      <c r="AJ140" s="30"/>
      <c r="AK140" s="30"/>
      <c r="AL140" s="30"/>
      <c r="AM140" s="30"/>
      <c r="AN140" s="30"/>
      <c r="AO140" s="30"/>
      <c r="AP140" s="30"/>
      <c r="AQ140" s="30"/>
      <c r="AR140" s="30"/>
      <c r="AS140" s="30"/>
      <c r="AT140" s="30"/>
      <c r="AU140" s="30"/>
      <c r="AV140" s="30"/>
    </row>
    <row r="141" spans="1:48" ht="12.75" customHeight="1" x14ac:dyDescent="0.2">
      <c r="A141" s="30"/>
      <c r="B141" s="34">
        <f t="shared" ref="B141:B148" si="3">IF(F141&gt;0,"X",0)</f>
        <v>0</v>
      </c>
      <c r="C141" s="960" t="s">
        <v>809</v>
      </c>
      <c r="D141" s="988" t="str">
        <f>"PAVEMENT MESSAGE MARKINGS, "&amp;UPPER('Pave Mark (2)'!$R$3)&amp;UPPER('Pave Mark (2)'!K$5)</f>
        <v>PAVEMENT MESSAGE MARKINGS, WORD (RXR)</v>
      </c>
      <c r="E141" s="963"/>
      <c r="F141" s="786">
        <f>'Pave Mark (2)'!K$36</f>
        <v>0</v>
      </c>
      <c r="G141" s="788" t="s">
        <v>287</v>
      </c>
      <c r="H141" s="966"/>
      <c r="I141" s="30"/>
      <c r="J141" s="30"/>
      <c r="K141" s="30"/>
      <c r="L141" s="30"/>
      <c r="M141" s="30"/>
      <c r="N141" s="30"/>
      <c r="O141" s="30"/>
      <c r="P141" s="30"/>
      <c r="Q141" s="30"/>
      <c r="R141" s="30"/>
      <c r="S141" s="30"/>
      <c r="T141" s="30"/>
      <c r="U141" s="30"/>
      <c r="V141" s="30"/>
      <c r="W141" s="30"/>
      <c r="X141" s="30"/>
      <c r="Y141" s="30"/>
      <c r="Z141" s="30"/>
      <c r="AA141" s="30"/>
      <c r="AB141" s="30"/>
      <c r="AC141" s="30"/>
      <c r="AD141" s="30"/>
      <c r="AE141" s="30"/>
      <c r="AF141" s="30"/>
      <c r="AG141" s="30"/>
      <c r="AH141" s="30"/>
      <c r="AI141" s="30"/>
      <c r="AJ141" s="30"/>
      <c r="AK141" s="30"/>
      <c r="AL141" s="30"/>
      <c r="AM141" s="30"/>
      <c r="AN141" s="30"/>
      <c r="AO141" s="30"/>
      <c r="AP141" s="30"/>
      <c r="AQ141" s="30"/>
      <c r="AR141" s="30"/>
      <c r="AS141" s="30"/>
      <c r="AT141" s="30"/>
      <c r="AU141" s="30"/>
      <c r="AV141" s="30"/>
    </row>
    <row r="142" spans="1:48" ht="12.75" customHeight="1" x14ac:dyDescent="0.2">
      <c r="A142" s="30"/>
      <c r="B142" s="34">
        <f t="shared" si="3"/>
        <v>0</v>
      </c>
      <c r="C142" s="983" t="s">
        <v>323</v>
      </c>
      <c r="D142" s="984" t="s">
        <v>324</v>
      </c>
      <c r="E142" s="985"/>
      <c r="F142" s="136">
        <f>IF(AND('Pave Mark'!AD4='Pave Mark'!AW53,SUM('Pave Mark'!I48:Q48)&gt;49999.9),1,IF(AND(OR('Pave Mark'!AD4='Pave Mark'!AW54,'Pave Mark'!AD4='Pave Mark'!AW55),SUM('Pave Mark'!I48:O48)&gt;999.9),1,0))</f>
        <v>0</v>
      </c>
      <c r="G142" s="986" t="s">
        <v>269</v>
      </c>
      <c r="H142" s="966"/>
      <c r="I142" s="30"/>
      <c r="J142" s="30"/>
      <c r="K142" s="30"/>
      <c r="L142" s="30"/>
      <c r="M142" s="30"/>
      <c r="N142" s="30"/>
      <c r="O142" s="30"/>
      <c r="P142" s="30"/>
      <c r="Q142" s="30"/>
      <c r="R142" s="30"/>
      <c r="S142" s="30"/>
      <c r="T142" s="30"/>
      <c r="U142" s="30"/>
      <c r="V142" s="30"/>
      <c r="W142" s="30"/>
      <c r="X142" s="30"/>
      <c r="Y142" s="30"/>
      <c r="Z142" s="30"/>
      <c r="AA142" s="30"/>
      <c r="AB142" s="30"/>
      <c r="AC142" s="30"/>
      <c r="AD142" s="30"/>
      <c r="AE142" s="30"/>
      <c r="AF142" s="30"/>
      <c r="AG142" s="30"/>
      <c r="AH142" s="30"/>
      <c r="AI142" s="30"/>
      <c r="AJ142" s="30"/>
      <c r="AK142" s="30"/>
      <c r="AL142" s="30"/>
      <c r="AM142" s="30"/>
      <c r="AN142" s="30"/>
      <c r="AO142" s="30"/>
      <c r="AP142" s="30"/>
      <c r="AQ142" s="30"/>
      <c r="AR142" s="30"/>
      <c r="AS142" s="30"/>
      <c r="AT142" s="30"/>
      <c r="AU142" s="30"/>
      <c r="AV142" s="30"/>
    </row>
    <row r="143" spans="1:48" ht="12.75" customHeight="1" x14ac:dyDescent="0.2">
      <c r="A143" s="30"/>
      <c r="B143" s="34">
        <f t="shared" si="3"/>
        <v>0</v>
      </c>
      <c r="C143" s="983" t="s">
        <v>835</v>
      </c>
      <c r="D143" s="984" t="s">
        <v>836</v>
      </c>
      <c r="E143" s="985"/>
      <c r="F143" s="136">
        <f>IF(AND($L$6=$O$151,OR('Resurface, Milling, Agg.'!$W$52='Resurface, Milling, Agg.'!$AA$56,'Resurface, Milling, Agg.'!$W$52='Resurface, Milling, Agg.'!$AA$57)),'Pave Mark (2)'!I36*1.7+'Pave Mark (2)'!J36*2.5+'Pave Mark (2)'!K36*7.7-IF(L143&lt;&gt;"(fill-in #)",L143,0),0)</f>
        <v>0</v>
      </c>
      <c r="G143" s="986" t="s">
        <v>288</v>
      </c>
      <c r="H143" s="966"/>
      <c r="I143" s="30"/>
      <c r="J143" s="30"/>
      <c r="K143" s="251">
        <f>IF(AND($L$6=$U$153,OR('Resurface, Milling, Agg.'!$W$52='Resurface, Milling, Agg.'!$AA$56,'Resurface, Milling, Agg.'!$W$52='Resurface, Milling, Agg.'!$AA$57)),"Portion of PPM that is not req'd. to be removed",0)</f>
        <v>0</v>
      </c>
      <c r="L143" s="40">
        <f>IF(AND($L$6=$U$153,OR('Resurface, Milling, Agg.'!$W$52='Resurface, Milling, Agg.'!$AA$56,'Resurface, Milling, Agg.'!$W$52='Resurface, Milling, Agg.'!$AA$57)),"(fill-in #)",0)</f>
        <v>0</v>
      </c>
      <c r="M143" s="556">
        <f>IF(AND($L$6=$U$153,OR('Resurface, Milling, Agg.'!$W$52='Resurface, Milling, Agg.'!$AA$56,'Resurface, Milling, Agg.'!$W$52='Resurface, Milling, Agg.'!$AA$57)),"sys",0)</f>
        <v>0</v>
      </c>
      <c r="N143" s="1163">
        <f>IF(AND($L$6=$U$153,OR('Resurface, Milling, Agg.'!$W$52='Resurface, Milling, Agg.'!$AA$56,'Resurface, Milling, Agg.'!$W$52='Resurface, Milling, Agg.'!$AA$57)),"This item was estimated by adding all of the pavement message markings together.  If there are some that don't require removal for surface preparation, enter quantity to left in yellow space.",0)</f>
        <v>0</v>
      </c>
      <c r="O143" s="1163"/>
      <c r="P143" s="1163"/>
      <c r="Q143" s="1163"/>
      <c r="R143" s="1163"/>
      <c r="S143" s="1163"/>
      <c r="T143" s="1163"/>
      <c r="U143" s="1163"/>
      <c r="V143" s="1163"/>
      <c r="W143" s="1163"/>
      <c r="X143" s="1163"/>
      <c r="Y143" s="1163"/>
      <c r="Z143" s="1163"/>
      <c r="AA143" s="1163"/>
      <c r="AB143" s="30"/>
      <c r="AC143" s="30"/>
      <c r="AD143" s="30"/>
      <c r="AE143" s="30"/>
      <c r="AF143" s="30"/>
      <c r="AG143" s="30"/>
      <c r="AH143" s="30"/>
      <c r="AI143" s="30"/>
      <c r="AJ143" s="30"/>
      <c r="AK143" s="30"/>
      <c r="AL143" s="30"/>
      <c r="AM143" s="30"/>
      <c r="AN143" s="30"/>
      <c r="AO143" s="30"/>
      <c r="AP143" s="30"/>
      <c r="AQ143" s="30"/>
      <c r="AR143" s="30"/>
      <c r="AS143" s="30"/>
      <c r="AT143" s="30"/>
      <c r="AU143" s="30"/>
      <c r="AV143" s="30"/>
    </row>
    <row r="144" spans="1:48" ht="12.75" customHeight="1" x14ac:dyDescent="0.2">
      <c r="A144" s="30"/>
      <c r="B144" s="34">
        <f>IF(F144&gt;0,"X",0)</f>
        <v>0</v>
      </c>
      <c r="C144" s="983" t="s">
        <v>833</v>
      </c>
      <c r="D144" s="984" t="s">
        <v>834</v>
      </c>
      <c r="E144" s="985"/>
      <c r="F144" s="136">
        <f>IF(AND($L$6=$O$151,OR('Resurface, Milling, Agg.'!$W$52='Resurface, Milling, Agg.'!$AA$56,'Resurface, Milling, Agg.'!$W$52='Resurface, Milling, Agg.'!$AA$57)),SUM('Pave Mark (2)'!D36:H36)-IF(L144&lt;&gt;"(fill-in #)",L144,0),0)</f>
        <v>0</v>
      </c>
      <c r="G144" s="986" t="s">
        <v>299</v>
      </c>
      <c r="H144" s="966"/>
      <c r="I144" s="30"/>
      <c r="J144" s="30"/>
      <c r="K144" s="251">
        <f>IF(AND($L$6=$U$153,OR('Resurface, Milling, Agg.'!$W$52='Resurface, Milling, Agg.'!$AA$56,'Resurface, Milling, Agg.'!$W$52='Resurface, Milling, Agg.'!$AA$57)),"Portion of transv. mark. that is not req'd. to be removed",0)</f>
        <v>0</v>
      </c>
      <c r="L144" s="40">
        <f>IF(AND($L$6=$U$153,OR('Resurface, Milling, Agg.'!$W$52='Resurface, Milling, Agg.'!$AA$56,'Resurface, Milling, Agg.'!$W$52='Resurface, Milling, Agg.'!$AA$57)),"(fill-in #)",0)</f>
        <v>0</v>
      </c>
      <c r="M144" s="556">
        <f>IF(AND($L$6=$U$153,OR('Resurface, Milling, Agg.'!$W$52='Resurface, Milling, Agg.'!$AA$56,'Resurface, Milling, Agg.'!$W$52='Resurface, Milling, Agg.'!$AA$57)),"lft",0)</f>
        <v>0</v>
      </c>
      <c r="N144" s="1163">
        <f>IF(AND($L$6=$U$153,OR('Resurface, Milling, Agg.'!$W$52='Resurface, Milling, Agg.'!$AA$56,'Resurface, Milling, Agg.'!$W$52='Resurface, Milling, Agg.'!$AA$57)),"This item was estimated by adding all of the transverse markings together.  If there are some that don't require removal for surface preparation, enter quantity to left in yellow space.",0)</f>
        <v>0</v>
      </c>
      <c r="O144" s="1163"/>
      <c r="P144" s="1163"/>
      <c r="Q144" s="1163"/>
      <c r="R144" s="1163"/>
      <c r="S144" s="1163"/>
      <c r="T144" s="1163"/>
      <c r="U144" s="1163"/>
      <c r="V144" s="1163"/>
      <c r="W144" s="1163"/>
      <c r="X144" s="1163"/>
      <c r="Y144" s="1163"/>
      <c r="Z144" s="1163"/>
      <c r="AA144" s="1163"/>
      <c r="AB144" s="30"/>
      <c r="AC144" s="30"/>
      <c r="AD144" s="30"/>
      <c r="AE144" s="30"/>
      <c r="AF144" s="30"/>
      <c r="AG144" s="30"/>
      <c r="AH144" s="30"/>
      <c r="AI144" s="30"/>
      <c r="AJ144" s="30"/>
      <c r="AK144" s="30"/>
      <c r="AL144" s="30"/>
      <c r="AM144" s="30"/>
      <c r="AN144" s="30"/>
      <c r="AO144" s="30"/>
      <c r="AP144" s="30"/>
      <c r="AQ144" s="30"/>
      <c r="AR144" s="30"/>
      <c r="AS144" s="30"/>
      <c r="AT144" s="30"/>
      <c r="AU144" s="30"/>
      <c r="AV144" s="30"/>
    </row>
    <row r="145" spans="1:48" ht="12.75" customHeight="1" x14ac:dyDescent="0.2">
      <c r="A145" s="30"/>
      <c r="B145" s="34">
        <f>IF(F145&gt;0,"X",0)</f>
        <v>0</v>
      </c>
      <c r="C145" s="983" t="s">
        <v>831</v>
      </c>
      <c r="D145" s="984" t="s">
        <v>832</v>
      </c>
      <c r="E145" s="985"/>
      <c r="F145" s="136">
        <f>IF(AND($L$6=$O$151,OR('Resurface, Milling, Agg.'!$W$52='Resurface, Milling, Agg.'!$AA$56,'Resurface, Milling, Agg.'!$W$52='Resurface, Milling, Agg.'!$AA$57)),SUM('Pave Mark'!I48:O48)-IF(L145&lt;&gt;"(fill-in #)",L145,0),0)</f>
        <v>0</v>
      </c>
      <c r="G145" s="986" t="s">
        <v>299</v>
      </c>
      <c r="H145" s="966"/>
      <c r="I145" s="30"/>
      <c r="J145" s="30"/>
      <c r="K145" s="251">
        <f>IF(AND($L$6=$U$153,OR('Resurface, Milling, Agg.'!$W$52='Resurface, Milling, Agg.'!$AA$56,'Resurface, Milling, Agg.'!$W$52='Resurface, Milling, Agg.'!$AA$57)),"Portion of lines that is not req'd. to be removed",0)</f>
        <v>0</v>
      </c>
      <c r="L145" s="40">
        <f>IF(AND($L$6=$U$153,OR('Resurface, Milling, Agg.'!$W$52='Resurface, Milling, Agg.'!$AA$56,'Resurface, Milling, Agg.'!$W$52='Resurface, Milling, Agg.'!$AA$57)),"(fill-in #)",0)</f>
        <v>0</v>
      </c>
      <c r="M145" s="556">
        <f>IF(AND($L$6=$U$153,OR('Resurface, Milling, Agg.'!$W$52='Resurface, Milling, Agg.'!$AA$56,'Resurface, Milling, Agg.'!$W$52='Resurface, Milling, Agg.'!$AA$57)),"lft",0)</f>
        <v>0</v>
      </c>
      <c r="N145" s="1163">
        <f>IF(AND($L$6=$U$153,OR('Resurface, Milling, Agg.'!$W$52='Resurface, Milling, Agg.'!$AA$56,'Resurface, Milling, Agg.'!$W$52='Resurface, Milling, Agg.'!$AA$57)),"This item was estimated by adding all of the pavement marking lines together.  If there are some that don't require removal for surface preparation, enter quantity to left in yellow space.",0)</f>
        <v>0</v>
      </c>
      <c r="O145" s="1163"/>
      <c r="P145" s="1163"/>
      <c r="Q145" s="1163"/>
      <c r="R145" s="1163"/>
      <c r="S145" s="1163"/>
      <c r="T145" s="1163"/>
      <c r="U145" s="1163"/>
      <c r="V145" s="1163"/>
      <c r="W145" s="1163"/>
      <c r="X145" s="1163"/>
      <c r="Y145" s="1163"/>
      <c r="Z145" s="1163"/>
      <c r="AA145" s="1163"/>
      <c r="AB145" s="30"/>
      <c r="AC145" s="30"/>
      <c r="AD145" s="30"/>
      <c r="AE145" s="30"/>
      <c r="AF145" s="30"/>
      <c r="AG145" s="30"/>
      <c r="AH145" s="30"/>
      <c r="AI145" s="30"/>
      <c r="AJ145" s="30"/>
      <c r="AK145" s="30"/>
      <c r="AL145" s="30"/>
      <c r="AM145" s="30"/>
      <c r="AN145" s="30"/>
      <c r="AO145" s="30"/>
      <c r="AP145" s="30"/>
      <c r="AQ145" s="30"/>
      <c r="AR145" s="30"/>
      <c r="AS145" s="30"/>
      <c r="AT145" s="30"/>
      <c r="AU145" s="30"/>
      <c r="AV145" s="30"/>
    </row>
    <row r="146" spans="1:48" ht="12.75" customHeight="1" x14ac:dyDescent="0.2">
      <c r="A146" s="30"/>
      <c r="B146" s="34">
        <f>IF(F146&gt;0,"X",0)</f>
        <v>0</v>
      </c>
      <c r="C146" s="983" t="s">
        <v>941</v>
      </c>
      <c r="D146" s="984" t="s">
        <v>942</v>
      </c>
      <c r="E146" s="985"/>
      <c r="F146" s="136">
        <f>IF(OR(CLRS!E48&gt;0,ELRS!F49&gt;0),'Pave Mark'!P48-(CLRS!E48+ELRS!F49),'Pave Mark'!P48)</f>
        <v>0</v>
      </c>
      <c r="G146" s="986" t="s">
        <v>299</v>
      </c>
      <c r="H146" s="966"/>
      <c r="I146" s="30"/>
      <c r="J146" s="30"/>
      <c r="K146" s="251"/>
      <c r="L146" s="40"/>
      <c r="M146" s="556"/>
      <c r="N146" s="556"/>
      <c r="O146" s="556"/>
      <c r="P146" s="556"/>
      <c r="Q146" s="556"/>
      <c r="R146" s="556"/>
      <c r="S146" s="556"/>
      <c r="T146" s="556"/>
      <c r="U146" s="556"/>
      <c r="V146" s="556"/>
      <c r="W146" s="556"/>
      <c r="X146" s="556"/>
      <c r="Y146" s="556"/>
      <c r="Z146" s="556"/>
      <c r="AA146" s="556"/>
      <c r="AB146" s="30"/>
      <c r="AC146" s="30"/>
      <c r="AD146" s="30"/>
      <c r="AE146" s="30"/>
      <c r="AF146" s="30"/>
      <c r="AG146" s="30"/>
      <c r="AH146" s="30"/>
      <c r="AI146" s="30"/>
      <c r="AJ146" s="30"/>
      <c r="AK146" s="30"/>
      <c r="AL146" s="30"/>
      <c r="AM146" s="30"/>
      <c r="AN146" s="30"/>
      <c r="AO146" s="30"/>
      <c r="AP146" s="30"/>
      <c r="AQ146" s="30"/>
      <c r="AR146" s="30"/>
      <c r="AS146" s="30"/>
      <c r="AT146" s="30"/>
      <c r="AU146" s="30"/>
      <c r="AV146" s="30"/>
    </row>
    <row r="147" spans="1:48" ht="12.75" customHeight="1" x14ac:dyDescent="0.2">
      <c r="A147" s="30"/>
      <c r="B147" s="34">
        <f t="shared" si="3"/>
        <v>0</v>
      </c>
      <c r="C147" s="983" t="s">
        <v>325</v>
      </c>
      <c r="D147" s="988" t="s">
        <v>326</v>
      </c>
      <c r="E147" s="985"/>
      <c r="F147" s="136">
        <f>'Pave Mark'!R48</f>
        <v>0</v>
      </c>
      <c r="G147" s="986" t="s">
        <v>287</v>
      </c>
      <c r="H147" s="966"/>
      <c r="I147" s="30"/>
      <c r="J147" s="30"/>
      <c r="K147" s="30"/>
      <c r="L147" s="30"/>
      <c r="M147" s="30"/>
      <c r="N147" s="30"/>
      <c r="O147" s="30"/>
      <c r="P147" s="30"/>
      <c r="Q147" s="30"/>
      <c r="R147" s="30"/>
      <c r="S147" s="30"/>
      <c r="T147" s="30"/>
      <c r="U147" s="30"/>
      <c r="V147" s="30"/>
      <c r="W147" s="30"/>
      <c r="X147" s="30"/>
      <c r="Y147" s="30"/>
      <c r="Z147" s="30"/>
      <c r="AA147" s="30"/>
      <c r="AB147" s="30"/>
      <c r="AC147" s="30"/>
      <c r="AD147" s="30"/>
      <c r="AE147" s="30"/>
      <c r="AF147" s="30"/>
      <c r="AG147" s="30"/>
      <c r="AH147" s="30"/>
      <c r="AI147" s="30"/>
      <c r="AJ147" s="30"/>
      <c r="AK147" s="30"/>
      <c r="AL147" s="30"/>
      <c r="AM147" s="30"/>
      <c r="AN147" s="30"/>
      <c r="AO147" s="30"/>
      <c r="AP147" s="30"/>
      <c r="AQ147" s="30"/>
      <c r="AR147" s="30"/>
      <c r="AS147" s="30"/>
      <c r="AT147" s="30"/>
      <c r="AU147" s="30"/>
      <c r="AV147" s="30"/>
    </row>
    <row r="148" spans="1:48" ht="12.75" customHeight="1" thickBot="1" x14ac:dyDescent="0.25">
      <c r="A148" s="30"/>
      <c r="B148" s="34">
        <f t="shared" si="3"/>
        <v>0</v>
      </c>
      <c r="C148" s="990" t="s">
        <v>235</v>
      </c>
      <c r="D148" s="988" t="s">
        <v>327</v>
      </c>
      <c r="E148" s="991"/>
      <c r="F148" s="992">
        <f>'Pave Mark'!S48</f>
        <v>0</v>
      </c>
      <c r="G148" s="993" t="s">
        <v>287</v>
      </c>
      <c r="H148" s="994"/>
      <c r="I148" s="30"/>
      <c r="J148" s="30"/>
      <c r="K148" s="30"/>
      <c r="L148" s="30"/>
      <c r="M148" s="30"/>
      <c r="N148" s="30"/>
      <c r="O148" s="30"/>
      <c r="P148" s="30"/>
      <c r="Q148" s="30"/>
      <c r="R148" s="30"/>
      <c r="S148" s="30"/>
      <c r="T148" s="30"/>
      <c r="U148" s="30"/>
      <c r="V148" s="30"/>
      <c r="W148" s="30"/>
      <c r="X148" s="30"/>
      <c r="Y148" s="30"/>
      <c r="Z148" s="30"/>
      <c r="AA148" s="30"/>
      <c r="AB148" s="30"/>
      <c r="AC148" s="30"/>
      <c r="AD148" s="30"/>
      <c r="AE148" s="30"/>
      <c r="AF148" s="30"/>
      <c r="AG148" s="30"/>
      <c r="AH148" s="30"/>
      <c r="AI148" s="30"/>
      <c r="AJ148" s="30"/>
      <c r="AK148" s="30"/>
      <c r="AL148" s="30"/>
      <c r="AM148" s="30"/>
      <c r="AN148" s="30"/>
      <c r="AO148" s="30"/>
      <c r="AP148" s="30"/>
      <c r="AQ148" s="30"/>
      <c r="AR148" s="30"/>
      <c r="AS148" s="30"/>
      <c r="AT148" s="30"/>
      <c r="AU148" s="30"/>
      <c r="AV148" s="30"/>
    </row>
    <row r="149" spans="1:48" ht="6.75" customHeight="1" x14ac:dyDescent="0.2">
      <c r="A149" s="30"/>
      <c r="B149" s="117"/>
      <c r="C149" s="981"/>
      <c r="D149" s="117"/>
      <c r="E149" s="117"/>
      <c r="F149" s="117" t="s">
        <v>244</v>
      </c>
      <c r="G149" s="117"/>
      <c r="H149" s="117" t="s">
        <v>244</v>
      </c>
      <c r="I149" s="30"/>
      <c r="J149" s="30"/>
      <c r="K149" s="30"/>
      <c r="L149" s="30"/>
      <c r="M149" s="30"/>
      <c r="N149" s="30"/>
      <c r="O149" s="30"/>
      <c r="P149" s="30"/>
      <c r="Q149" s="30"/>
      <c r="R149" s="30"/>
      <c r="S149" s="30"/>
      <c r="T149" s="30"/>
      <c r="U149" s="30"/>
      <c r="V149" s="30"/>
      <c r="W149" s="30"/>
      <c r="X149" s="30"/>
      <c r="Y149" s="30"/>
      <c r="Z149" s="30"/>
      <c r="AA149" s="30"/>
      <c r="AB149" s="30"/>
      <c r="AC149" s="30"/>
      <c r="AD149" s="30"/>
      <c r="AE149" s="30"/>
      <c r="AF149" s="30"/>
      <c r="AG149" s="30"/>
      <c r="AH149" s="30"/>
      <c r="AI149" s="30"/>
      <c r="AJ149" s="30"/>
      <c r="AK149" s="30"/>
      <c r="AL149" s="30"/>
      <c r="AM149" s="30"/>
      <c r="AN149" s="30"/>
      <c r="AO149" s="30"/>
      <c r="AP149" s="30"/>
      <c r="AQ149" s="30"/>
      <c r="AR149" s="30"/>
      <c r="AS149" s="30"/>
      <c r="AT149" s="30"/>
      <c r="AU149" s="30"/>
      <c r="AV149" s="30"/>
    </row>
    <row r="150" spans="1:48" ht="15.75" thickBot="1" x14ac:dyDescent="0.25">
      <c r="A150" s="30"/>
      <c r="B150" s="30"/>
      <c r="C150" s="155"/>
      <c r="D150" s="30"/>
      <c r="E150" s="30"/>
      <c r="F150" s="30" t="s">
        <v>244</v>
      </c>
      <c r="G150" s="30"/>
      <c r="H150" s="30" t="s">
        <v>244</v>
      </c>
      <c r="I150" s="30"/>
      <c r="J150" s="30"/>
      <c r="K150" s="30"/>
      <c r="L150" s="174" t="s">
        <v>694</v>
      </c>
      <c r="M150" s="867" t="s">
        <v>695</v>
      </c>
      <c r="N150" s="973" t="s">
        <v>696</v>
      </c>
      <c r="O150" s="972"/>
      <c r="P150" s="737" t="s">
        <v>720</v>
      </c>
      <c r="Q150" s="867" t="s">
        <v>729</v>
      </c>
      <c r="R150" s="174" t="s">
        <v>732</v>
      </c>
      <c r="S150" s="867" t="s">
        <v>760</v>
      </c>
      <c r="T150" s="973" t="s">
        <v>774</v>
      </c>
      <c r="U150" s="737" t="s">
        <v>850</v>
      </c>
      <c r="V150" s="30"/>
      <c r="W150" s="30"/>
      <c r="X150" s="30"/>
      <c r="Y150" s="30"/>
      <c r="Z150" s="30"/>
      <c r="AA150" s="30"/>
      <c r="AB150" s="30"/>
      <c r="AC150" s="30"/>
      <c r="AD150" s="30"/>
      <c r="AE150" s="30"/>
      <c r="AF150" s="30"/>
      <c r="AG150" s="30"/>
      <c r="AH150" s="30"/>
      <c r="AI150" s="30"/>
      <c r="AJ150" s="30"/>
      <c r="AK150" s="30"/>
      <c r="AL150" s="30"/>
      <c r="AM150" s="30"/>
      <c r="AN150" s="30"/>
      <c r="AO150" s="30"/>
      <c r="AP150" s="30"/>
      <c r="AQ150" s="30"/>
      <c r="AR150" s="30"/>
      <c r="AS150" s="30"/>
      <c r="AT150" s="30"/>
      <c r="AU150" s="30"/>
      <c r="AV150" s="30"/>
    </row>
    <row r="151" spans="1:48" ht="15.75" thickBot="1" x14ac:dyDescent="0.25">
      <c r="A151" s="30"/>
      <c r="B151" s="30"/>
      <c r="C151" s="155"/>
      <c r="D151" s="30"/>
      <c r="E151" s="30"/>
      <c r="F151" s="30" t="s">
        <v>244</v>
      </c>
      <c r="G151" s="30"/>
      <c r="H151" s="30" t="s">
        <v>244</v>
      </c>
      <c r="I151" s="30"/>
      <c r="J151" s="30"/>
      <c r="K151" s="30"/>
      <c r="L151" s="116"/>
      <c r="M151" s="972"/>
      <c r="N151" s="116"/>
      <c r="O151" s="972" t="s">
        <v>370</v>
      </c>
      <c r="P151" s="116"/>
      <c r="Q151" s="972"/>
      <c r="R151" s="116"/>
      <c r="S151" s="972"/>
      <c r="T151" s="711"/>
      <c r="U151" s="200"/>
      <c r="V151" s="30"/>
      <c r="W151" s="30"/>
      <c r="X151" s="30"/>
      <c r="Y151" s="30"/>
      <c r="Z151" s="30"/>
      <c r="AA151" s="30"/>
      <c r="AB151" s="30"/>
      <c r="AC151" s="30"/>
      <c r="AD151" s="30"/>
      <c r="AE151" s="30"/>
      <c r="AF151" s="30"/>
      <c r="AG151" s="30"/>
      <c r="AH151" s="30"/>
      <c r="AI151" s="30"/>
      <c r="AJ151" s="30"/>
      <c r="AK151" s="30"/>
      <c r="AL151" s="30"/>
      <c r="AM151" s="30"/>
      <c r="AN151" s="30"/>
      <c r="AO151" s="30"/>
      <c r="AP151" s="30"/>
      <c r="AQ151" s="30"/>
      <c r="AR151" s="30"/>
      <c r="AS151" s="30"/>
      <c r="AT151" s="30"/>
      <c r="AU151" s="30"/>
      <c r="AV151" s="30"/>
    </row>
    <row r="152" spans="1:48" ht="15.75" thickBot="1" x14ac:dyDescent="0.25">
      <c r="A152" s="30"/>
      <c r="B152" s="30"/>
      <c r="C152" s="155"/>
      <c r="D152" s="30"/>
      <c r="E152" s="30"/>
      <c r="F152" s="30" t="s">
        <v>244</v>
      </c>
      <c r="G152" s="30"/>
      <c r="H152" s="30" t="s">
        <v>244</v>
      </c>
      <c r="I152" s="30"/>
      <c r="J152" s="30"/>
      <c r="K152" s="30"/>
      <c r="L152" s="116" t="s">
        <v>700</v>
      </c>
      <c r="M152" s="972" t="s">
        <v>705</v>
      </c>
      <c r="N152" s="116" t="s">
        <v>697</v>
      </c>
      <c r="O152" s="972" t="s">
        <v>371</v>
      </c>
      <c r="P152" s="116">
        <v>1</v>
      </c>
      <c r="Q152" s="972" t="s">
        <v>730</v>
      </c>
      <c r="R152" s="116" t="s">
        <v>733</v>
      </c>
      <c r="S152" s="972" t="s">
        <v>51</v>
      </c>
      <c r="T152" s="711" t="s">
        <v>775</v>
      </c>
      <c r="U152" s="180" t="s">
        <v>374</v>
      </c>
      <c r="V152" s="30"/>
      <c r="W152" s="30"/>
      <c r="X152" s="30"/>
      <c r="Y152" s="30"/>
      <c r="Z152" s="30"/>
      <c r="AA152" s="30"/>
      <c r="AB152" s="30"/>
      <c r="AC152" s="30"/>
      <c r="AD152" s="30"/>
      <c r="AE152" s="30"/>
      <c r="AF152" s="30"/>
      <c r="AG152" s="30"/>
      <c r="AH152" s="30"/>
      <c r="AI152" s="30"/>
      <c r="AJ152" s="30"/>
      <c r="AK152" s="30"/>
      <c r="AL152" s="30"/>
      <c r="AM152" s="30"/>
      <c r="AN152" s="30"/>
      <c r="AO152" s="30"/>
      <c r="AP152" s="30"/>
      <c r="AQ152" s="30"/>
      <c r="AR152" s="30"/>
      <c r="AS152" s="30"/>
      <c r="AT152" s="30"/>
      <c r="AU152" s="30"/>
      <c r="AV152" s="30"/>
    </row>
    <row r="153" spans="1:48" ht="15.75" thickBot="1" x14ac:dyDescent="0.25">
      <c r="A153" s="30"/>
      <c r="B153" s="30"/>
      <c r="C153" s="155"/>
      <c r="D153" s="30"/>
      <c r="E153" s="30"/>
      <c r="F153" s="30" t="s">
        <v>244</v>
      </c>
      <c r="G153" s="30"/>
      <c r="H153" s="30" t="s">
        <v>244</v>
      </c>
      <c r="I153" s="30"/>
      <c r="J153" s="30"/>
      <c r="K153" s="30"/>
      <c r="L153" s="116" t="s">
        <v>701</v>
      </c>
      <c r="M153" s="972" t="s">
        <v>706</v>
      </c>
      <c r="N153" s="116" t="s">
        <v>698</v>
      </c>
      <c r="O153" s="30"/>
      <c r="P153" s="116">
        <v>2</v>
      </c>
      <c r="Q153" s="972" t="s">
        <v>731</v>
      </c>
      <c r="R153" s="116" t="s">
        <v>697</v>
      </c>
      <c r="S153" s="972" t="s">
        <v>52</v>
      </c>
      <c r="T153" s="711" t="s">
        <v>776</v>
      </c>
      <c r="U153" s="180" t="s">
        <v>375</v>
      </c>
      <c r="V153" s="30"/>
      <c r="W153" s="30"/>
      <c r="X153" s="30"/>
      <c r="Y153" s="30"/>
      <c r="Z153" s="30"/>
      <c r="AA153" s="30"/>
      <c r="AB153" s="30"/>
      <c r="AC153" s="30"/>
      <c r="AD153" s="30"/>
      <c r="AE153" s="30"/>
      <c r="AF153" s="30"/>
      <c r="AG153" s="30"/>
      <c r="AH153" s="30"/>
      <c r="AI153" s="30"/>
      <c r="AJ153" s="30"/>
      <c r="AK153" s="30"/>
      <c r="AL153" s="30"/>
      <c r="AM153" s="30"/>
      <c r="AN153" s="30"/>
      <c r="AO153" s="30"/>
      <c r="AP153" s="30"/>
      <c r="AQ153" s="30"/>
      <c r="AR153" s="30"/>
      <c r="AS153" s="30"/>
      <c r="AT153" s="30"/>
      <c r="AU153" s="30"/>
      <c r="AV153" s="30"/>
    </row>
    <row r="154" spans="1:48" ht="15.75" thickBot="1" x14ac:dyDescent="0.25">
      <c r="A154" s="30"/>
      <c r="B154" s="30"/>
      <c r="C154" s="155"/>
      <c r="D154" s="30"/>
      <c r="E154" s="30"/>
      <c r="F154" s="30" t="s">
        <v>244</v>
      </c>
      <c r="G154" s="30"/>
      <c r="H154" s="30" t="s">
        <v>244</v>
      </c>
      <c r="I154" s="30"/>
      <c r="J154" s="30"/>
      <c r="K154" s="30"/>
      <c r="L154" s="116" t="s">
        <v>702</v>
      </c>
      <c r="M154" s="972" t="s">
        <v>707</v>
      </c>
      <c r="N154" s="116" t="s">
        <v>699</v>
      </c>
      <c r="O154" s="30"/>
      <c r="P154" s="116" t="s">
        <v>722</v>
      </c>
      <c r="Q154" s="30"/>
      <c r="R154" s="116" t="s">
        <v>698</v>
      </c>
      <c r="S154" s="972" t="s">
        <v>53</v>
      </c>
      <c r="T154" s="711" t="s">
        <v>777</v>
      </c>
      <c r="U154" s="180" t="s">
        <v>376</v>
      </c>
      <c r="V154" s="30"/>
      <c r="W154" s="30"/>
      <c r="X154" s="30"/>
      <c r="Y154" s="30"/>
      <c r="Z154" s="30"/>
      <c r="AA154" s="30"/>
      <c r="AB154" s="30"/>
      <c r="AC154" s="30"/>
      <c r="AD154" s="30"/>
      <c r="AE154" s="30"/>
      <c r="AF154" s="30"/>
      <c r="AG154" s="30"/>
      <c r="AH154" s="30"/>
      <c r="AI154" s="30"/>
      <c r="AJ154" s="30"/>
      <c r="AK154" s="30"/>
      <c r="AL154" s="30"/>
      <c r="AM154" s="30"/>
      <c r="AN154" s="30"/>
      <c r="AO154" s="30"/>
      <c r="AP154" s="30"/>
      <c r="AQ154" s="30"/>
      <c r="AR154" s="30"/>
      <c r="AS154" s="30"/>
      <c r="AT154" s="30"/>
      <c r="AU154" s="30"/>
      <c r="AV154" s="30"/>
    </row>
    <row r="155" spans="1:48" ht="15.75" thickBot="1" x14ac:dyDescent="0.25">
      <c r="A155" s="30"/>
      <c r="B155" s="30"/>
      <c r="C155" s="155"/>
      <c r="D155" s="30"/>
      <c r="E155" s="30"/>
      <c r="F155" s="30" t="s">
        <v>244</v>
      </c>
      <c r="G155" s="30"/>
      <c r="H155" s="30" t="s">
        <v>244</v>
      </c>
      <c r="I155" s="30"/>
      <c r="J155" s="30"/>
      <c r="K155" s="30"/>
      <c r="L155" s="116" t="s">
        <v>703</v>
      </c>
      <c r="M155" s="30"/>
      <c r="N155" s="30"/>
      <c r="O155" s="30"/>
      <c r="P155" s="116">
        <v>3</v>
      </c>
      <c r="Q155" s="30"/>
      <c r="R155" s="30"/>
      <c r="S155" s="30"/>
      <c r="T155" s="711" t="s">
        <v>778</v>
      </c>
      <c r="U155" s="180" t="s">
        <v>377</v>
      </c>
      <c r="V155" s="30"/>
      <c r="W155" s="30"/>
      <c r="X155" s="30"/>
      <c r="Y155" s="30"/>
      <c r="Z155" s="30"/>
      <c r="AA155" s="30"/>
      <c r="AB155" s="30"/>
      <c r="AC155" s="30"/>
      <c r="AD155" s="30"/>
      <c r="AE155" s="30"/>
      <c r="AF155" s="30"/>
      <c r="AG155" s="30"/>
      <c r="AH155" s="30"/>
      <c r="AI155" s="30"/>
      <c r="AJ155" s="30"/>
      <c r="AK155" s="30"/>
      <c r="AL155" s="30"/>
      <c r="AM155" s="30"/>
      <c r="AN155" s="30"/>
      <c r="AO155" s="30"/>
      <c r="AP155" s="30"/>
      <c r="AQ155" s="30"/>
      <c r="AR155" s="30"/>
      <c r="AS155" s="30"/>
      <c r="AT155" s="30"/>
      <c r="AU155" s="30"/>
      <c r="AV155" s="30"/>
    </row>
    <row r="156" spans="1:48" ht="15.75" thickBot="1" x14ac:dyDescent="0.25">
      <c r="A156" s="30"/>
      <c r="B156" s="30"/>
      <c r="C156" s="155"/>
      <c r="D156" s="30"/>
      <c r="E156" s="30"/>
      <c r="F156" s="30" t="s">
        <v>244</v>
      </c>
      <c r="G156" s="30"/>
      <c r="H156" s="30" t="s">
        <v>244</v>
      </c>
      <c r="I156" s="30"/>
      <c r="J156" s="30"/>
      <c r="K156" s="30"/>
      <c r="L156" s="116" t="s">
        <v>704</v>
      </c>
      <c r="M156" s="30"/>
      <c r="N156" s="30"/>
      <c r="O156" s="30"/>
      <c r="P156" s="116" t="s">
        <v>721</v>
      </c>
      <c r="Q156" s="30"/>
      <c r="R156" s="30"/>
      <c r="S156" s="30"/>
      <c r="T156" s="30"/>
      <c r="U156" s="180" t="s">
        <v>378</v>
      </c>
      <c r="V156" s="30"/>
      <c r="W156" s="30"/>
      <c r="X156" s="30"/>
      <c r="Y156" s="30"/>
      <c r="Z156" s="30"/>
      <c r="AA156" s="30"/>
      <c r="AB156" s="30"/>
      <c r="AC156" s="30"/>
      <c r="AD156" s="30"/>
      <c r="AE156" s="30"/>
      <c r="AF156" s="30"/>
      <c r="AG156" s="30"/>
      <c r="AH156" s="30"/>
      <c r="AI156" s="30"/>
      <c r="AJ156" s="30"/>
      <c r="AK156" s="30"/>
      <c r="AL156" s="30"/>
      <c r="AM156" s="30"/>
      <c r="AN156" s="30"/>
      <c r="AO156" s="30"/>
      <c r="AP156" s="30"/>
      <c r="AQ156" s="30"/>
      <c r="AR156" s="30"/>
      <c r="AS156" s="30"/>
      <c r="AT156" s="30"/>
      <c r="AU156" s="30"/>
      <c r="AV156" s="30"/>
    </row>
    <row r="157" spans="1:48" ht="15.75" thickBot="1" x14ac:dyDescent="0.25">
      <c r="F157" s="1" t="s">
        <v>244</v>
      </c>
      <c r="H157" s="1" t="s">
        <v>244</v>
      </c>
      <c r="P157" s="116">
        <v>4</v>
      </c>
      <c r="U157" s="180" t="s">
        <v>379</v>
      </c>
    </row>
    <row r="158" spans="1:48" ht="15.75" thickBot="1" x14ac:dyDescent="0.25">
      <c r="F158" s="1" t="s">
        <v>244</v>
      </c>
      <c r="H158" s="1" t="s">
        <v>244</v>
      </c>
      <c r="P158" s="116">
        <v>5</v>
      </c>
    </row>
    <row r="159" spans="1:48" ht="6.75" customHeight="1" x14ac:dyDescent="0.2">
      <c r="B159" s="1044"/>
      <c r="C159" s="1045"/>
      <c r="D159" s="1044"/>
      <c r="E159" s="1044"/>
      <c r="F159" s="1044"/>
      <c r="G159" s="1044"/>
      <c r="H159" s="1044"/>
      <c r="P159" s="116">
        <v>6</v>
      </c>
    </row>
    <row r="160" spans="1:48" x14ac:dyDescent="0.2">
      <c r="P160" s="116">
        <v>7</v>
      </c>
    </row>
  </sheetData>
  <autoFilter ref="B6:H158"/>
  <mergeCells count="15">
    <mergeCell ref="L53:M53"/>
    <mergeCell ref="L6:M6"/>
    <mergeCell ref="N6:R6"/>
    <mergeCell ref="K33:N33"/>
    <mergeCell ref="K29:L29"/>
    <mergeCell ref="K1:T2"/>
    <mergeCell ref="N3:Q3"/>
    <mergeCell ref="A1:I1"/>
    <mergeCell ref="F3:G3"/>
    <mergeCell ref="F4:G4"/>
    <mergeCell ref="P117:AD119"/>
    <mergeCell ref="P120:AD121"/>
    <mergeCell ref="N144:AA144"/>
    <mergeCell ref="N145:AA145"/>
    <mergeCell ref="N143:AA143"/>
  </mergeCells>
  <conditionalFormatting sqref="H44:H47">
    <cfRule type="cellIs" dxfId="14" priority="48" stopIfTrue="1" operator="equal">
      <formula>"(select if mainline &amp; shoulder pavement are the same)"</formula>
    </cfRule>
  </conditionalFormatting>
  <conditionalFormatting sqref="F44:F47">
    <cfRule type="cellIs" dxfId="13" priority="47" stopIfTrue="1" operator="equal">
      <formula>"(yes/ no)"</formula>
    </cfRule>
  </conditionalFormatting>
  <conditionalFormatting sqref="C91:C96 C98:C106 C111:C113 C122:C126 C56:C64 C25 C27:C29">
    <cfRule type="cellIs" dxfId="12" priority="44" stopIfTrue="1" operator="equal">
      <formula>"(find code)"</formula>
    </cfRule>
  </conditionalFormatting>
  <conditionalFormatting sqref="G139:G141 G111:G113 G103:G106 G56:G64 G25 G27:G29">
    <cfRule type="cellIs" dxfId="11" priority="43" stopIfTrue="1" operator="equal">
      <formula>"(find unit)"</formula>
    </cfRule>
  </conditionalFormatting>
  <conditionalFormatting sqref="L143:L146 L51 L38">
    <cfRule type="cellIs" dxfId="10" priority="14" stopIfTrue="1" operator="equal">
      <formula>"(fill-in #)"</formula>
    </cfRule>
  </conditionalFormatting>
  <conditionalFormatting sqref="K143">
    <cfRule type="cellIs" dxfId="9" priority="11" stopIfTrue="1" operator="equal">
      <formula>"Portion of PPM that is not req'd. to be removed"</formula>
    </cfRule>
  </conditionalFormatting>
  <conditionalFormatting sqref="K144">
    <cfRule type="cellIs" dxfId="8" priority="10" stopIfTrue="1" operator="equal">
      <formula>"Portion of transv. mark. that is not req'd. to be removed"</formula>
    </cfRule>
  </conditionalFormatting>
  <conditionalFormatting sqref="N144:AA144">
    <cfRule type="cellIs" dxfId="7" priority="8" stopIfTrue="1" operator="equal">
      <formula>"This item was estimated by adding all of the transverse markings together.  If there are some that don't require removal for surface preparation, enter quantity to left in yellow space."</formula>
    </cfRule>
  </conditionalFormatting>
  <conditionalFormatting sqref="N145:AA146">
    <cfRule type="cellIs" dxfId="6" priority="7" stopIfTrue="1" operator="equal">
      <formula>"This item was estimated by adding all of the pavement marking lines together.  If there are some that don't require removal for surface preparation, enter quantity to left in yellow space."</formula>
    </cfRule>
  </conditionalFormatting>
  <conditionalFormatting sqref="K145:K146">
    <cfRule type="cellIs" dxfId="5" priority="6" stopIfTrue="1" operator="equal">
      <formula>"Portion of lines that is not req'd. to be removed"</formula>
    </cfRule>
  </conditionalFormatting>
  <conditionalFormatting sqref="K38">
    <cfRule type="cellIs" dxfId="4" priority="5" stopIfTrue="1" operator="equal">
      <formula>"Quantity of undistributed scarification for surface prep."</formula>
    </cfRule>
  </conditionalFormatting>
  <conditionalFormatting sqref="N143:AA143">
    <cfRule type="cellIs" dxfId="3" priority="4" stopIfTrue="1" operator="equal">
      <formula>"This item was estimated by adding all of the pavement message markings together.  If there are some that don't require removal for surface preparation, enter quantity to left in yellow space."</formula>
    </cfRule>
  </conditionalFormatting>
  <conditionalFormatting sqref="K51">
    <cfRule type="cellIs" dxfId="2" priority="3" stopIfTrue="1" operator="equal">
      <formula>"Quantity of undistributed crack seal for surface prep."</formula>
    </cfRule>
  </conditionalFormatting>
  <conditionalFormatting sqref="K33:N33">
    <cfRule type="cellIs" dxfId="1" priority="2" stopIfTrue="1" operator="equal">
      <formula>"Use ''Compacted Aggregate, No. 73, Recycled Asphalt Pavement'' unique special provision"</formula>
    </cfRule>
  </conditionalFormatting>
  <conditionalFormatting sqref="K29:L29">
    <cfRule type="cellIs" dxfId="0" priority="1" stopIfTrue="1" operator="equal">
      <formula>"Use ''Recycled Milled Asphalt Material'' unique special provision"</formula>
    </cfRule>
  </conditionalFormatting>
  <dataValidations count="10">
    <dataValidation type="list" showInputMessage="1" showErrorMessage="1" sqref="L104:L106 L16 Q102 L13 R42 L109:L115 L7">
      <formula1>$O$150:$O$152</formula1>
    </dataValidation>
    <dataValidation type="list" showInputMessage="1" showErrorMessage="1" sqref="L87">
      <formula1>$T$151:$T$155</formula1>
    </dataValidation>
    <dataValidation type="list" showInputMessage="1" showErrorMessage="1" sqref="L81">
      <formula1>$S$151:$S$154</formula1>
    </dataValidation>
    <dataValidation type="list" showInputMessage="1" showErrorMessage="1" sqref="L52 L42:L45">
      <formula1>$L$151:$L$156</formula1>
    </dataValidation>
    <dataValidation type="list" showInputMessage="1" showErrorMessage="1" sqref="M52 M42:M45">
      <formula1>$M$151:$M$154</formula1>
    </dataValidation>
    <dataValidation type="list" showInputMessage="1" showErrorMessage="1" sqref="N52 N42:N45">
      <formula1>$N$151:$N$154</formula1>
    </dataValidation>
    <dataValidation type="list" showInputMessage="1" showErrorMessage="1" sqref="L49">
      <formula1>$P$151:$P$160</formula1>
    </dataValidation>
    <dataValidation type="list" showInputMessage="1" showErrorMessage="1" sqref="L53:M53">
      <formula1>$Q$151:$Q$153</formula1>
    </dataValidation>
    <dataValidation type="list" showInputMessage="1" showErrorMessage="1" sqref="L55">
      <formula1>$R$151:$R$154</formula1>
    </dataValidation>
    <dataValidation type="list" showInputMessage="1" showErrorMessage="1" sqref="L6:M6">
      <formula1>$U$151:$U$157</formula1>
    </dataValidation>
  </dataValidations>
  <printOptions horizontalCentered="1" verticalCentered="1"/>
  <pageMargins left="0.25" right="0.25" top="0.25" bottom="0.25" header="0" footer="0"/>
  <pageSetup scale="35" firstPageNumber="31" orientation="portrait" useFirstPageNumber="1" r:id="rId1"/>
  <headerFooter alignWithMargins="0"/>
  <ignoredErrors>
    <ignoredError sqref="D43:D44" formula="1"/>
  </ignoredErrors>
  <legacy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20</vt:i4>
      </vt:variant>
      <vt:variant>
        <vt:lpstr>Named Ranges</vt:lpstr>
      </vt:variant>
      <vt:variant>
        <vt:i4>26</vt:i4>
      </vt:variant>
    </vt:vector>
  </HeadingPairs>
  <TitlesOfParts>
    <vt:vector size="46" baseType="lpstr">
      <vt:lpstr>Instructions</vt:lpstr>
      <vt:lpstr>Resurface, Milling, Agg.</vt:lpstr>
      <vt:lpstr>Patching</vt:lpstr>
      <vt:lpstr>Major Appr.</vt:lpstr>
      <vt:lpstr>Minor Appr.</vt:lpstr>
      <vt:lpstr>Underseal</vt:lpstr>
      <vt:lpstr>Castings</vt:lpstr>
      <vt:lpstr>Str. Data</vt:lpstr>
      <vt:lpstr>Pipe Mat.</vt:lpstr>
      <vt:lpstr>Obstr.</vt:lpstr>
      <vt:lpstr>Guardrail</vt:lpstr>
      <vt:lpstr>Curb Ramps</vt:lpstr>
      <vt:lpstr>Signals</vt:lpstr>
      <vt:lpstr>Monuments</vt:lpstr>
      <vt:lpstr>CLRS</vt:lpstr>
      <vt:lpstr>ELRS</vt:lpstr>
      <vt:lpstr>Pave Mark</vt:lpstr>
      <vt:lpstr>Pave Mark (2)</vt:lpstr>
      <vt:lpstr>Pave Cores</vt:lpstr>
      <vt:lpstr>Summary</vt:lpstr>
      <vt:lpstr>Castings!Print_Area</vt:lpstr>
      <vt:lpstr>CLRS!Print_Area</vt:lpstr>
      <vt:lpstr>'Curb Ramps'!Print_Area</vt:lpstr>
      <vt:lpstr>ELRS!Print_Area</vt:lpstr>
      <vt:lpstr>Guardrail!Print_Area</vt:lpstr>
      <vt:lpstr>Instructions!Print_Area</vt:lpstr>
      <vt:lpstr>'Major Appr.'!Print_Area</vt:lpstr>
      <vt:lpstr>'Minor Appr.'!Print_Area</vt:lpstr>
      <vt:lpstr>Monuments!Print_Area</vt:lpstr>
      <vt:lpstr>Obstr.!Print_Area</vt:lpstr>
      <vt:lpstr>Patching!Print_Area</vt:lpstr>
      <vt:lpstr>'Pave Cores'!Print_Area</vt:lpstr>
      <vt:lpstr>'Pave Mark'!Print_Area</vt:lpstr>
      <vt:lpstr>'Pave Mark (2)'!Print_Area</vt:lpstr>
      <vt:lpstr>'Pipe Mat.'!Print_Area</vt:lpstr>
      <vt:lpstr>'Resurface, Milling, Agg.'!Print_Area</vt:lpstr>
      <vt:lpstr>Signals!Print_Area</vt:lpstr>
      <vt:lpstr>'Str. Data'!Print_Area</vt:lpstr>
      <vt:lpstr>Summary!Print_Area</vt:lpstr>
      <vt:lpstr>Underseal!Print_Area</vt:lpstr>
      <vt:lpstr>Castings!Print_Titles</vt:lpstr>
      <vt:lpstr>Guardrail!Print_Titles</vt:lpstr>
      <vt:lpstr>'Major Appr.'!Print_Titles</vt:lpstr>
      <vt:lpstr>Monuments!Print_Titles</vt:lpstr>
      <vt:lpstr>Obstr.!Print_Titles</vt:lpstr>
      <vt:lpstr>Patching!Print_Titles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Post, Randall</dc:creator>
  <cp:lastModifiedBy>Post, Randall</cp:lastModifiedBy>
  <cp:lastPrinted>2016-02-26T20:40:02Z</cp:lastPrinted>
  <dcterms:created xsi:type="dcterms:W3CDTF">2001-10-18T12:11:43Z</dcterms:created>
  <dcterms:modified xsi:type="dcterms:W3CDTF">2017-02-21T15:46:02Z</dcterms:modified>
</cp:coreProperties>
</file>