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15"/>
  <workbookPr showInkAnnotation="0" codeName="ThisWorkbook" defaultThemeVersion="124226"/>
  <mc:AlternateContent xmlns:mc="http://schemas.openxmlformats.org/markup-compatibility/2006">
    <mc:Choice Requires="x15">
      <x15ac:absPath xmlns:x15ac="http://schemas.microsoft.com/office/spreadsheetml/2010/11/ac" url="https://ingov.sharepoint.com/sites/INDOTDivisionofMaterialsandTests/ConcreteUniverse/Shared Documents/D Concrete Mix Approval/0 CMD and Information/"/>
    </mc:Choice>
  </mc:AlternateContent>
  <xr:revisionPtr revIDLastSave="0" documentId="8_{03D68A58-F1AF-4414-95EA-0973C62515D7}" xr6:coauthVersionLast="47" xr6:coauthVersionMax="47" xr10:uidLastSave="{00000000-0000-0000-0000-000000000000}"/>
  <workbookProtection workbookAlgorithmName="SHA-512" workbookHashValue="Q7c4U+rP8mK3+iIe6chh5lkcrFkaonAk9b+1deB41j2XCvjl7ohjQ8WA41WfpgLIU/pmsXf3GpoOvdMo7jxjTQ==" workbookSaltValue="xsZq6nVkZG93Kt3x41a16A==" workbookSpinCount="100000" lockStructure="1"/>
  <bookViews>
    <workbookView xWindow="-108" yWindow="-108" windowWidth="23256" windowHeight="12456" tabRatio="834" firstSheet="13" activeTab="13" xr2:uid="{00000000-000D-0000-FFFF-FFFF00000000}"/>
  </bookViews>
  <sheets>
    <sheet name="Agg moisture (page 1)" sheetId="16" r:id="rId1"/>
    <sheet name="Cement Calibration (Page 2)" sheetId="17" r:id="rId2"/>
    <sheet name="Latex Calibration (Page 3)" sheetId="18" r:id="rId3"/>
    <sheet name="Sand Calibration (Page 4)" sheetId="19" r:id="rId4"/>
    <sheet name="Stone Calibration (Page 5)" sheetId="20" r:id="rId5"/>
    <sheet name="Summary (Page 6)" sheetId="21" r:id="rId6"/>
    <sheet name="TRIAL BATCH WORKSHEET" sheetId="9" r:id="rId7"/>
    <sheet name="MIX DESIGN" sheetId="1" r:id="rId8"/>
    <sheet name="Gradation" sheetId="13" state="hidden" r:id="rId9"/>
    <sheet name="Sheet2" sheetId="2" state="hidden" r:id="rId10"/>
    <sheet name="AGG SOURCES" sheetId="15" state="hidden" r:id="rId11"/>
    <sheet name="CEMENT SOURCES" sheetId="11" state="hidden" r:id="rId12"/>
    <sheet name="LATEX MODIFIERS" sheetId="12" state="hidden" r:id="rId13"/>
    <sheet name="Contract Approval Log" sheetId="4" r:id="rId14"/>
    <sheet name="Sheet1" sheetId="22" state="hidden" r:id="rId15"/>
  </sheets>
  <externalReferences>
    <externalReference r:id="rId16"/>
  </externalReferences>
  <definedNames>
    <definedName name="_xlnm._FilterDatabase" localSheetId="7" hidden="1">'MIX DESIGN'!$A$23:$P$41</definedName>
    <definedName name="Admix">'[1]SM652 English'!$AQ$68:$BA$79</definedName>
    <definedName name="Admixsrc">'[1]SM652 English'!$A$200:$BX$347</definedName>
    <definedName name="Air">'[1]SM652 English'!$A$154:$AG$195</definedName>
    <definedName name="Calcium">'[1]SM652 English'!$A$350:$N$391</definedName>
    <definedName name="calmet">#REF!</definedName>
    <definedName name="CASrc">'[1]SM652 English'!$CP$62:$IS$90</definedName>
    <definedName name="Cement">'[1]SM652 English'!$AD$67:$AN$76</definedName>
    <definedName name="Cementsrc">'[1]SM652 English'!$A$125:$AC$153</definedName>
    <definedName name="Coarse">'[1]SM652 English'!$BC$61:$BM$86</definedName>
    <definedName name="Consrc">'[1]SM652 English'!$BQ$62:$CL$111</definedName>
    <definedName name="FASrc">'[1]SM652 English'!$CP$98:$EV$117</definedName>
    <definedName name="Fine">'[1]SM652 English'!$AQ$61:$BA$66</definedName>
    <definedName name="Miscagg">'[1]SM652 (ICC)'!$AK$131:$AW$145</definedName>
    <definedName name="OLE_LINK1" localSheetId="12">'LATEX MODIFIERS'!$H$23</definedName>
    <definedName name="Pozzolan">'[1]SM652 English'!$AD$61:$AN$66</definedName>
    <definedName name="Pozzsrc">'[1]SM652 English'!$A$90:$BA$124</definedName>
    <definedName name="_xlnm.Print_Area" localSheetId="0">'Agg moisture (page 1)'!$A$1:$H$44</definedName>
    <definedName name="_xlnm.Print_Area" localSheetId="1">'Cement Calibration (Page 2)'!$A$1:$M$42</definedName>
    <definedName name="_xlnm.Print_Area" localSheetId="13">'Contract Approval Log'!$A$1:$AG$26</definedName>
    <definedName name="_xlnm.Print_Area" localSheetId="2">'Latex Calibration (Page 3)'!$A$1:$N$32</definedName>
    <definedName name="_xlnm.Print_Area" localSheetId="7">'MIX DESIGN'!$A$1:$AI$51</definedName>
    <definedName name="_xlnm.Print_Area" localSheetId="3">'Sand Calibration (Page 4)'!$A$1:$N$38</definedName>
    <definedName name="_xlnm.Print_Area" localSheetId="9">Sheet2!$A$1:$AC$64</definedName>
    <definedName name="_xlnm.Print_Area" localSheetId="4">'Stone Calibration (Page 5)'!$A$1:$N$38</definedName>
    <definedName name="_xlnm.Print_Area" localSheetId="5">'Summary (Page 6)'!$A$1:$J$42</definedName>
    <definedName name="_xlnm.Print_Area" localSheetId="6">'TRIAL BATCH WORKSHEET'!$A$1:$AC$116</definedName>
    <definedName name="VMA">'MIX DESIGN'!$R$8:$S$13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1" l="1"/>
  <c r="A3" i="11"/>
  <c r="A4" i="11"/>
  <c r="A5" i="11"/>
  <c r="A6" i="11"/>
  <c r="A7" i="11"/>
  <c r="A8" i="11"/>
  <c r="A9" i="11"/>
  <c r="A10" i="11"/>
  <c r="A11" i="11"/>
  <c r="A12" i="11"/>
  <c r="A13" i="11"/>
  <c r="A14" i="11"/>
  <c r="A15" i="11"/>
  <c r="A16" i="11"/>
  <c r="A17" i="11"/>
  <c r="A18" i="11"/>
  <c r="A19" i="11"/>
  <c r="A20" i="11"/>
  <c r="A21" i="11"/>
  <c r="A22" i="11"/>
  <c r="A23" i="11"/>
  <c r="A24" i="11"/>
  <c r="A25" i="11"/>
  <c r="A1" i="11"/>
  <c r="D27" i="11"/>
  <c r="D28" i="11"/>
  <c r="D29" i="11"/>
  <c r="D30" i="11"/>
  <c r="D31" i="11"/>
  <c r="D32" i="11"/>
  <c r="D33" i="11"/>
  <c r="D34" i="11"/>
  <c r="I3" i="21"/>
  <c r="C3" i="21"/>
  <c r="I2" i="21"/>
  <c r="C2" i="21"/>
  <c r="D37" i="20"/>
  <c r="E12" i="21" s="1"/>
  <c r="J35" i="20"/>
  <c r="H35" i="20"/>
  <c r="F35" i="20"/>
  <c r="D35" i="20"/>
  <c r="E20" i="20"/>
  <c r="E17" i="20"/>
  <c r="J3" i="20"/>
  <c r="D3" i="20"/>
  <c r="J2" i="20"/>
  <c r="D2" i="20"/>
  <c r="D37" i="19"/>
  <c r="E10" i="21" s="1"/>
  <c r="J35" i="19"/>
  <c r="H35" i="19"/>
  <c r="F35" i="19"/>
  <c r="D35" i="19"/>
  <c r="E20" i="19"/>
  <c r="E17" i="19"/>
  <c r="J3" i="19"/>
  <c r="D3" i="19"/>
  <c r="J2" i="19"/>
  <c r="D2" i="19"/>
  <c r="H24" i="18"/>
  <c r="E8" i="21" s="1"/>
  <c r="M19" i="18"/>
  <c r="M20" i="18" s="1"/>
  <c r="L19" i="18"/>
  <c r="L20" i="18" s="1"/>
  <c r="J19" i="18"/>
  <c r="J20" i="18" s="1"/>
  <c r="H19" i="18"/>
  <c r="H20" i="18" s="1"/>
  <c r="M3" i="18"/>
  <c r="G3" i="18"/>
  <c r="M2" i="18"/>
  <c r="G2" i="18"/>
  <c r="L13" i="17"/>
  <c r="H30" i="17" s="1"/>
  <c r="L12" i="17"/>
  <c r="H18" i="17" s="1"/>
  <c r="K11" i="17"/>
  <c r="I11" i="17"/>
  <c r="L11" i="17" s="1"/>
  <c r="H29" i="17" s="1"/>
  <c r="G11" i="17"/>
  <c r="L3" i="17"/>
  <c r="F3" i="17"/>
  <c r="L2" i="17"/>
  <c r="F2" i="17"/>
  <c r="H28" i="16"/>
  <c r="F28" i="16"/>
  <c r="H25" i="16"/>
  <c r="G25" i="16"/>
  <c r="F25" i="16"/>
  <c r="E25" i="16"/>
  <c r="H23" i="16"/>
  <c r="G23" i="16"/>
  <c r="G26" i="16" s="1"/>
  <c r="G28" i="16" s="1"/>
  <c r="J13" i="20" s="1"/>
  <c r="G17" i="20" s="1"/>
  <c r="F23" i="16"/>
  <c r="F26" i="16" s="1"/>
  <c r="E23" i="16"/>
  <c r="E26" i="16" s="1"/>
  <c r="E28" i="16" s="1"/>
  <c r="J13" i="19" s="1"/>
  <c r="G17" i="19" s="1"/>
  <c r="H16" i="16"/>
  <c r="I23" i="17" s="1"/>
  <c r="H26" i="16" l="1"/>
  <c r="I17" i="20"/>
  <c r="G20" i="20" s="1"/>
  <c r="I20" i="20" s="1"/>
  <c r="E22" i="20" s="1"/>
  <c r="H22" i="20" s="1"/>
  <c r="K29" i="17"/>
  <c r="H33" i="17" s="1"/>
  <c r="K32" i="17" s="1"/>
  <c r="I17" i="19"/>
  <c r="G20" i="19" s="1"/>
  <c r="I20" i="19" s="1"/>
  <c r="E22" i="19" s="1"/>
  <c r="H22" i="19" s="1"/>
  <c r="H17" i="17"/>
  <c r="K17" i="17" s="1"/>
  <c r="H21" i="17" s="1"/>
  <c r="K20" i="17" s="1"/>
  <c r="H23" i="17" s="1"/>
  <c r="K23" i="17" s="1"/>
  <c r="E6" i="21" s="1"/>
  <c r="J26" i="19" l="1"/>
  <c r="L26" i="19" s="1"/>
  <c r="J28" i="19"/>
  <c r="L28" i="19" s="1"/>
  <c r="J26" i="20"/>
  <c r="L26" i="20" s="1"/>
  <c r="J28" i="20"/>
  <c r="L28" i="20" s="1"/>
  <c r="M16" i="18"/>
  <c r="L16" i="18"/>
  <c r="E9" i="20"/>
  <c r="I9" i="20" s="1"/>
  <c r="E9" i="19"/>
  <c r="I9" i="19" s="1"/>
  <c r="J16" i="18"/>
  <c r="H16" i="18"/>
  <c r="D32" i="19" l="1"/>
  <c r="J32" i="19"/>
  <c r="H32" i="19"/>
  <c r="F32" i="19"/>
  <c r="D32" i="20"/>
  <c r="J32" i="20"/>
  <c r="H32" i="20"/>
  <c r="F32" i="20"/>
  <c r="AA35" i="1" l="1"/>
  <c r="AA33" i="1" l="1"/>
  <c r="N33" i="1"/>
  <c r="U21" i="1"/>
  <c r="A21" i="1"/>
  <c r="D21" i="1"/>
  <c r="T104" i="9" l="1"/>
  <c r="T101" i="9"/>
  <c r="T98" i="9"/>
  <c r="T95" i="9"/>
  <c r="T92" i="9"/>
  <c r="T89" i="9"/>
  <c r="K104" i="9"/>
  <c r="K101" i="9"/>
  <c r="K98" i="9"/>
  <c r="K95" i="9"/>
  <c r="K92" i="9"/>
  <c r="K89" i="9"/>
  <c r="M40" i="1" l="1"/>
  <c r="A17" i="1" l="1"/>
  <c r="M13" i="1" l="1"/>
  <c r="A66" i="15" l="1"/>
  <c r="H18" i="9" l="1"/>
  <c r="H15" i="9"/>
  <c r="O15" i="9" s="1"/>
  <c r="V15" i="9" s="1"/>
  <c r="O30" i="9"/>
  <c r="O32" i="9"/>
  <c r="M30" i="9"/>
  <c r="M32" i="9"/>
  <c r="D54" i="9"/>
  <c r="D56" i="9"/>
  <c r="D52" i="9"/>
  <c r="D53" i="9"/>
  <c r="H21" i="9"/>
  <c r="O21" i="9" s="1"/>
  <c r="V21" i="9" s="1"/>
  <c r="Y30" i="9"/>
  <c r="Y32" i="9"/>
  <c r="AA30" i="9"/>
  <c r="AA32" i="9"/>
  <c r="S30" i="9"/>
  <c r="S32" i="9"/>
  <c r="U30" i="9"/>
  <c r="U32" i="9"/>
  <c r="H20" i="9"/>
  <c r="O20" i="9" s="1"/>
  <c r="V20" i="9" s="1"/>
  <c r="H17" i="9"/>
  <c r="O17" i="9" s="1"/>
  <c r="V17" i="9" s="1"/>
  <c r="H14" i="9"/>
  <c r="O14" i="9" s="1"/>
  <c r="V14" i="9" s="1"/>
  <c r="T76" i="9"/>
  <c r="N76" i="9"/>
  <c r="H76" i="9"/>
  <c r="G13" i="2"/>
  <c r="G46" i="2"/>
  <c r="G44" i="2"/>
  <c r="G47" i="2" s="1"/>
  <c r="G17" i="2"/>
  <c r="G29" i="2"/>
  <c r="G33" i="2" s="1"/>
  <c r="G36" i="2"/>
  <c r="G40" i="2" s="1"/>
  <c r="G8" i="2"/>
  <c r="G9" i="2" s="1"/>
  <c r="T57" i="9"/>
  <c r="T75" i="9"/>
  <c r="N75" i="9"/>
  <c r="H75" i="9"/>
  <c r="D47" i="9"/>
  <c r="I47" i="9" s="1"/>
  <c r="Q47" i="9" s="1"/>
  <c r="D48" i="9"/>
  <c r="I48" i="9" s="1"/>
  <c r="D49" i="9"/>
  <c r="I49" i="9" s="1"/>
  <c r="D50" i="9"/>
  <c r="D51" i="9"/>
  <c r="I51" i="9" s="1"/>
  <c r="D55" i="9"/>
  <c r="I55" i="9" s="1"/>
  <c r="N56" i="9"/>
  <c r="N55" i="9"/>
  <c r="N53" i="9"/>
  <c r="N52" i="9"/>
  <c r="T79" i="9"/>
  <c r="T80" i="9" s="1"/>
  <c r="A128" i="15"/>
  <c r="A7" i="15"/>
  <c r="A8" i="15"/>
  <c r="A9" i="15"/>
  <c r="A10" i="15"/>
  <c r="A11" i="15"/>
  <c r="A12" i="15"/>
  <c r="A16" i="15"/>
  <c r="A13" i="15"/>
  <c r="A14" i="15"/>
  <c r="A15" i="15"/>
  <c r="A17" i="15"/>
  <c r="A112" i="15"/>
  <c r="A87" i="15"/>
  <c r="A18" i="15"/>
  <c r="A19" i="15"/>
  <c r="A20" i="15"/>
  <c r="A21" i="15"/>
  <c r="A22" i="15"/>
  <c r="A23" i="15"/>
  <c r="A24" i="15"/>
  <c r="A25" i="15"/>
  <c r="A26" i="15"/>
  <c r="A27" i="15"/>
  <c r="A28" i="15"/>
  <c r="A29" i="15"/>
  <c r="A30" i="15"/>
  <c r="A31" i="15"/>
  <c r="A32" i="15"/>
  <c r="A33" i="15"/>
  <c r="A38" i="15"/>
  <c r="A46" i="15"/>
  <c r="A47" i="15"/>
  <c r="A48" i="15"/>
  <c r="A34" i="15"/>
  <c r="A49" i="15"/>
  <c r="A52" i="15"/>
  <c r="A53" i="15"/>
  <c r="A54" i="15"/>
  <c r="A57" i="15"/>
  <c r="A55" i="15"/>
  <c r="A56" i="15"/>
  <c r="A58" i="15"/>
  <c r="A35" i="15"/>
  <c r="A37" i="15"/>
  <c r="A36" i="15"/>
  <c r="A60" i="15"/>
  <c r="A61" i="15"/>
  <c r="A62" i="15"/>
  <c r="A63" i="15"/>
  <c r="A59" i="15"/>
  <c r="A64" i="15"/>
  <c r="A65" i="15"/>
  <c r="A67" i="15"/>
  <c r="A68" i="15"/>
  <c r="A69" i="15"/>
  <c r="A70" i="15"/>
  <c r="A71" i="15"/>
  <c r="A249" i="15"/>
  <c r="A247" i="15"/>
  <c r="A250" i="15"/>
  <c r="A248" i="15"/>
  <c r="A251" i="15"/>
  <c r="A252" i="15"/>
  <c r="A254" i="15"/>
  <c r="A253" i="15"/>
  <c r="A255" i="15"/>
  <c r="A256" i="15"/>
  <c r="A272" i="15"/>
  <c r="A273" i="15"/>
  <c r="A72" i="15"/>
  <c r="A73" i="15"/>
  <c r="A74" i="15"/>
  <c r="A75" i="15"/>
  <c r="A76" i="15"/>
  <c r="A77" i="15"/>
  <c r="A79" i="15"/>
  <c r="A80" i="15"/>
  <c r="A81" i="15"/>
  <c r="A82" i="15"/>
  <c r="A78" i="15"/>
  <c r="A83" i="15"/>
  <c r="A84" i="15"/>
  <c r="A85" i="15"/>
  <c r="A86" i="15"/>
  <c r="A89" i="15"/>
  <c r="A90" i="15"/>
  <c r="A93" i="15"/>
  <c r="A91" i="15"/>
  <c r="A94" i="15"/>
  <c r="A92" i="15"/>
  <c r="A95" i="15"/>
  <c r="A96" i="15"/>
  <c r="A97" i="15"/>
  <c r="A98" i="15"/>
  <c r="A99" i="15"/>
  <c r="A100" i="15"/>
  <c r="A101" i="15"/>
  <c r="A102" i="15"/>
  <c r="A103" i="15"/>
  <c r="A104" i="15"/>
  <c r="A105" i="15"/>
  <c r="A107" i="15"/>
  <c r="A106" i="15"/>
  <c r="A108" i="15"/>
  <c r="A109" i="15"/>
  <c r="A110" i="15"/>
  <c r="A111" i="15"/>
  <c r="A113" i="15"/>
  <c r="A114" i="15"/>
  <c r="A88" i="15"/>
  <c r="A115" i="15"/>
  <c r="A116" i="15"/>
  <c r="A117" i="15"/>
  <c r="A118" i="15"/>
  <c r="A119" i="15"/>
  <c r="A120" i="15"/>
  <c r="A121" i="15"/>
  <c r="A39" i="15"/>
  <c r="A40" i="15"/>
  <c r="A41" i="15"/>
  <c r="A42" i="15"/>
  <c r="A43" i="15"/>
  <c r="A44" i="15"/>
  <c r="A45" i="15"/>
  <c r="A50" i="15"/>
  <c r="A51" i="15"/>
  <c r="A122" i="15"/>
  <c r="A123" i="15"/>
  <c r="A124" i="15"/>
  <c r="A125" i="15"/>
  <c r="A126" i="15"/>
  <c r="A127" i="15"/>
  <c r="A131" i="15"/>
  <c r="A132" i="15"/>
  <c r="A133" i="15"/>
  <c r="A134" i="15"/>
  <c r="A135" i="15"/>
  <c r="A136" i="15"/>
  <c r="A129" i="15"/>
  <c r="A137" i="15"/>
  <c r="A138" i="15"/>
  <c r="A139" i="15"/>
  <c r="A130" i="15"/>
  <c r="A140" i="15"/>
  <c r="A141" i="15"/>
  <c r="A142" i="15"/>
  <c r="A143" i="15"/>
  <c r="A144" i="15"/>
  <c r="A145" i="15"/>
  <c r="A147" i="15"/>
  <c r="A150" i="15"/>
  <c r="A176" i="15"/>
  <c r="A148" i="15"/>
  <c r="A177" i="15"/>
  <c r="A149" i="15"/>
  <c r="A146" i="15"/>
  <c r="A152" i="15"/>
  <c r="A157" i="15"/>
  <c r="A161" i="15"/>
  <c r="A158" i="15"/>
  <c r="A162" i="15"/>
  <c r="A159" i="15"/>
  <c r="A163" i="15"/>
  <c r="A164" i="15"/>
  <c r="A165" i="15"/>
  <c r="A166" i="15"/>
  <c r="A151" i="15"/>
  <c r="A168" i="15"/>
  <c r="A169" i="15"/>
  <c r="A171" i="15"/>
  <c r="A170" i="15"/>
  <c r="A172" i="15"/>
  <c r="A173" i="15"/>
  <c r="A174" i="15"/>
  <c r="A175" i="15"/>
  <c r="A153" i="15"/>
  <c r="A154" i="15"/>
  <c r="A155" i="15"/>
  <c r="A156" i="15"/>
  <c r="A160" i="15"/>
  <c r="A167" i="15"/>
  <c r="A178" i="15"/>
  <c r="A180" i="15"/>
  <c r="A181" i="15"/>
  <c r="A179" i="15"/>
  <c r="A182" i="15"/>
  <c r="A183" i="15"/>
  <c r="A184" i="15"/>
  <c r="A185" i="15"/>
  <c r="A186" i="15"/>
  <c r="A187" i="15"/>
  <c r="A189" i="15"/>
  <c r="A188" i="15"/>
  <c r="A190" i="15"/>
  <c r="A191" i="15"/>
  <c r="A192" i="15"/>
  <c r="A193" i="15"/>
  <c r="A194" i="15"/>
  <c r="A195" i="15"/>
  <c r="A196" i="15"/>
  <c r="A197" i="15"/>
  <c r="A198" i="15"/>
  <c r="A199" i="15"/>
  <c r="A200" i="15"/>
  <c r="A201" i="15"/>
  <c r="A202" i="15"/>
  <c r="A203" i="15"/>
  <c r="A204" i="15"/>
  <c r="A205" i="15"/>
  <c r="A206" i="15"/>
  <c r="A207" i="15"/>
  <c r="A208" i="15"/>
  <c r="A209" i="15"/>
  <c r="A212" i="15"/>
  <c r="A213" i="15"/>
  <c r="A214" i="15"/>
  <c r="A215" i="15"/>
  <c r="A216" i="15"/>
  <c r="A210" i="15"/>
  <c r="A211" i="15"/>
  <c r="A217" i="15"/>
  <c r="A218" i="15"/>
  <c r="A219" i="15"/>
  <c r="A220" i="15"/>
  <c r="A221" i="15"/>
  <c r="A222" i="15"/>
  <c r="A223" i="15"/>
  <c r="A224" i="15"/>
  <c r="A225" i="15"/>
  <c r="A226" i="15"/>
  <c r="A227" i="15"/>
  <c r="A228" i="15"/>
  <c r="A229" i="15"/>
  <c r="A230" i="15"/>
  <c r="A231" i="15"/>
  <c r="A232" i="15"/>
  <c r="A233" i="15"/>
  <c r="A234" i="15"/>
  <c r="A235" i="15"/>
  <c r="A236" i="15"/>
  <c r="A237" i="15"/>
  <c r="A238" i="15"/>
  <c r="A239" i="15"/>
  <c r="A240" i="15"/>
  <c r="A241" i="15"/>
  <c r="A242" i="15"/>
  <c r="A243" i="15"/>
  <c r="A245" i="15"/>
  <c r="A244" i="15"/>
  <c r="A246" i="15"/>
  <c r="A257" i="15"/>
  <c r="A258" i="15"/>
  <c r="A259" i="15"/>
  <c r="A260" i="15"/>
  <c r="A261" i="15"/>
  <c r="A263" i="15"/>
  <c r="A264" i="15"/>
  <c r="A265" i="15"/>
  <c r="A266" i="15"/>
  <c r="A268" i="15"/>
  <c r="A269" i="15"/>
  <c r="A270" i="15"/>
  <c r="A271" i="15"/>
  <c r="A267" i="15"/>
  <c r="A274" i="15"/>
  <c r="A262" i="15"/>
  <c r="A275" i="15"/>
  <c r="A276" i="15"/>
  <c r="A277" i="15"/>
  <c r="A278" i="15"/>
  <c r="A279" i="15"/>
  <c r="A280" i="15"/>
  <c r="A281" i="15"/>
  <c r="A282" i="15"/>
  <c r="A283" i="15"/>
  <c r="A284" i="15"/>
  <c r="A285" i="15"/>
  <c r="A286" i="15"/>
  <c r="A287" i="15"/>
  <c r="A288" i="15"/>
  <c r="A289" i="15"/>
  <c r="A6" i="15"/>
  <c r="A5" i="15"/>
  <c r="A4" i="15"/>
  <c r="A3" i="15"/>
  <c r="A2" i="15"/>
  <c r="A1" i="15"/>
  <c r="AR62" i="1"/>
  <c r="AR60" i="1"/>
  <c r="AR61" i="1"/>
  <c r="AR59" i="1"/>
  <c r="AR58" i="1"/>
  <c r="AR57" i="1"/>
  <c r="AR56" i="1"/>
  <c r="AR55" i="1"/>
  <c r="AR54" i="1"/>
  <c r="AR53" i="1"/>
  <c r="AR51" i="1"/>
  <c r="AR50" i="1"/>
  <c r="AR49" i="1"/>
  <c r="AR48" i="1"/>
  <c r="AR46" i="1"/>
  <c r="AR45" i="1"/>
  <c r="AR44" i="1"/>
  <c r="X21" i="1"/>
  <c r="AR42" i="1" s="1"/>
  <c r="AR41" i="1"/>
  <c r="AR43" i="1"/>
  <c r="AR40" i="1"/>
  <c r="AR38" i="1"/>
  <c r="AR34" i="1"/>
  <c r="AR35" i="1"/>
  <c r="AR28" i="1"/>
  <c r="A16" i="1"/>
  <c r="AR27" i="1" s="1"/>
  <c r="AR22" i="1"/>
  <c r="AR19" i="1"/>
  <c r="AR13" i="1"/>
  <c r="AR47" i="1"/>
  <c r="AR52" i="1"/>
  <c r="N26" i="1"/>
  <c r="N27" i="1"/>
  <c r="AR68" i="1" s="1"/>
  <c r="N31" i="1"/>
  <c r="N32" i="1"/>
  <c r="N36" i="1"/>
  <c r="AR93" i="1" s="1"/>
  <c r="N28" i="1"/>
  <c r="AR71" i="1" s="1"/>
  <c r="N29" i="1"/>
  <c r="AR74" i="1" s="1"/>
  <c r="N30" i="1"/>
  <c r="AR77" i="1" s="1"/>
  <c r="AR89" i="1"/>
  <c r="N34" i="1"/>
  <c r="AR91" i="1" s="1"/>
  <c r="N37" i="1"/>
  <c r="AR94" i="1" s="1"/>
  <c r="N48" i="9"/>
  <c r="N51" i="9" s="1"/>
  <c r="N49" i="9"/>
  <c r="N50" i="9"/>
  <c r="A18" i="1"/>
  <c r="AR33" i="1" s="1"/>
  <c r="AR30" i="1"/>
  <c r="I18" i="13"/>
  <c r="D11" i="13"/>
  <c r="G11" i="13"/>
  <c r="I11" i="13"/>
  <c r="C3" i="13"/>
  <c r="F3" i="13"/>
  <c r="H3" i="13"/>
  <c r="D15" i="13"/>
  <c r="G15" i="13"/>
  <c r="I15" i="13"/>
  <c r="D16" i="13"/>
  <c r="G16" i="13"/>
  <c r="I16" i="13"/>
  <c r="D17" i="13"/>
  <c r="G17" i="13"/>
  <c r="I17" i="13"/>
  <c r="D18" i="13"/>
  <c r="G18" i="13"/>
  <c r="D13" i="13"/>
  <c r="G13" i="13"/>
  <c r="I13" i="13"/>
  <c r="D14" i="13"/>
  <c r="G14" i="13"/>
  <c r="I14" i="13"/>
  <c r="D12" i="13"/>
  <c r="E12" i="13" s="1"/>
  <c r="G12" i="13"/>
  <c r="D10" i="13"/>
  <c r="G10" i="13"/>
  <c r="I10" i="13"/>
  <c r="D6" i="13"/>
  <c r="G6" i="13"/>
  <c r="I6" i="13"/>
  <c r="D7" i="13"/>
  <c r="G7" i="13"/>
  <c r="I7" i="13"/>
  <c r="D8" i="13"/>
  <c r="G8" i="13"/>
  <c r="I8" i="13"/>
  <c r="I9" i="13"/>
  <c r="D9" i="13"/>
  <c r="G9" i="13"/>
  <c r="I12" i="13"/>
  <c r="Q16" i="4"/>
  <c r="E38" i="1"/>
  <c r="AR95" i="1" s="1"/>
  <c r="AR31" i="1"/>
  <c r="AR76" i="1"/>
  <c r="AR75" i="1"/>
  <c r="AR11" i="1"/>
  <c r="AR10" i="1"/>
  <c r="AR6" i="1"/>
  <c r="AQ111" i="1"/>
  <c r="AQ110" i="1"/>
  <c r="AQ95" i="1"/>
  <c r="AR92" i="1"/>
  <c r="AR90" i="1"/>
  <c r="AR88" i="1"/>
  <c r="AR87" i="1"/>
  <c r="AR86" i="1"/>
  <c r="AR84" i="1"/>
  <c r="AR83" i="1"/>
  <c r="AR82" i="1"/>
  <c r="AR80" i="1"/>
  <c r="AR79" i="1"/>
  <c r="AR78" i="1"/>
  <c r="AR73" i="1"/>
  <c r="AR72" i="1"/>
  <c r="AR70" i="1"/>
  <c r="AR69" i="1"/>
  <c r="AR67" i="1"/>
  <c r="AR66" i="1"/>
  <c r="AR64" i="1"/>
  <c r="AR63" i="1"/>
  <c r="AR37" i="1"/>
  <c r="AR36" i="1"/>
  <c r="AR32" i="1"/>
  <c r="AR29" i="1"/>
  <c r="AR26" i="1"/>
  <c r="AR25" i="1"/>
  <c r="AR24" i="1"/>
  <c r="AR23" i="1"/>
  <c r="AR21" i="1"/>
  <c r="AR20" i="1"/>
  <c r="AR17" i="1"/>
  <c r="AR16" i="1"/>
  <c r="AR15" i="1"/>
  <c r="AR14" i="1"/>
  <c r="AR9" i="1"/>
  <c r="AR8" i="1"/>
  <c r="AR7" i="1"/>
  <c r="AR5" i="1"/>
  <c r="AR4" i="1"/>
  <c r="AR3" i="1"/>
  <c r="P2" i="9"/>
  <c r="J2" i="9"/>
  <c r="N79" i="9"/>
  <c r="N80" i="9" s="1"/>
  <c r="H79" i="9"/>
  <c r="H80" i="9" s="1"/>
  <c r="A16" i="4"/>
  <c r="U16" i="4"/>
  <c r="G16" i="4"/>
  <c r="G4" i="4"/>
  <c r="H3" i="4"/>
  <c r="B70" i="9"/>
  <c r="F4" i="9"/>
  <c r="X13" i="1"/>
  <c r="A55" i="9"/>
  <c r="AR111" i="1"/>
  <c r="S13" i="1"/>
  <c r="AR110" i="1"/>
  <c r="G24" i="2"/>
  <c r="G25" i="2" s="1"/>
  <c r="M16" i="4"/>
  <c r="J16" i="4"/>
  <c r="AR108" i="1"/>
  <c r="G50" i="2"/>
  <c r="G51" i="2" s="1"/>
  <c r="G52" i="2" s="1"/>
  <c r="AR109" i="1"/>
  <c r="G8" i="4"/>
  <c r="G7" i="4"/>
  <c r="F5" i="4"/>
  <c r="A6" i="2"/>
  <c r="J6" i="2" s="1"/>
  <c r="A5" i="2"/>
  <c r="J5" i="2" s="1"/>
  <c r="A4" i="2"/>
  <c r="J4" i="2" s="1"/>
  <c r="A3" i="2"/>
  <c r="J3" i="2" s="1"/>
  <c r="T77" i="9" l="1"/>
  <c r="U33" i="9"/>
  <c r="O19" i="9" s="1"/>
  <c r="H77" i="9"/>
  <c r="Y33" i="9"/>
  <c r="V16" i="9" s="1"/>
  <c r="AR65" i="1"/>
  <c r="N77" i="9"/>
  <c r="N82" i="9" s="1"/>
  <c r="AR103" i="1"/>
  <c r="AA33" i="9"/>
  <c r="V19" i="9" s="1"/>
  <c r="I50" i="9"/>
  <c r="Q50" i="9" s="1"/>
  <c r="W50" i="9" s="1"/>
  <c r="T82" i="9"/>
  <c r="G19" i="2"/>
  <c r="G20" i="2" s="1"/>
  <c r="J7" i="2"/>
  <c r="AR105" i="1"/>
  <c r="G14" i="2"/>
  <c r="H22" i="9"/>
  <c r="I54" i="9" s="1"/>
  <c r="V22" i="9"/>
  <c r="M33" i="9"/>
  <c r="H16" i="9" s="1"/>
  <c r="I52" i="9" s="1"/>
  <c r="O22" i="9"/>
  <c r="Q49" i="9"/>
  <c r="W49" i="9" s="1"/>
  <c r="Q55" i="9"/>
  <c r="O33" i="9"/>
  <c r="H19" i="9" s="1"/>
  <c r="I53" i="9" s="1"/>
  <c r="A12" i="1"/>
  <c r="H82" i="9"/>
  <c r="G31" i="2"/>
  <c r="G32" i="2" s="1"/>
  <c r="S33" i="9"/>
  <c r="O16" i="9" s="1"/>
  <c r="A10" i="1"/>
  <c r="AR12" i="1" s="1"/>
  <c r="E15" i="13"/>
  <c r="AR106" i="1"/>
  <c r="Q51" i="9"/>
  <c r="W51" i="9" s="1"/>
  <c r="E17" i="13"/>
  <c r="E13" i="13"/>
  <c r="A11" i="1"/>
  <c r="AR18" i="1" s="1"/>
  <c r="E14" i="13"/>
  <c r="A13" i="1"/>
  <c r="E16" i="13"/>
  <c r="Q48" i="9"/>
  <c r="G10" i="2"/>
  <c r="G34" i="2"/>
  <c r="G53" i="2"/>
  <c r="G11" i="2"/>
  <c r="G38" i="2"/>
  <c r="G39" i="2" s="1"/>
  <c r="G26" i="2"/>
  <c r="AR39" i="1"/>
  <c r="G41" i="2"/>
  <c r="G48" i="2"/>
  <c r="AR104" i="1"/>
  <c r="G21" i="2"/>
  <c r="O18" i="9"/>
  <c r="V18" i="9" s="1"/>
  <c r="W47" i="9"/>
  <c r="K7" i="13"/>
  <c r="K13" i="13"/>
  <c r="H4" i="13"/>
  <c r="N38" i="1"/>
  <c r="AA39" i="1" s="1"/>
  <c r="K8" i="13"/>
  <c r="F4" i="13"/>
  <c r="K12" i="13"/>
  <c r="K6" i="13"/>
  <c r="J16" i="13"/>
  <c r="AR85" i="1"/>
  <c r="J14" i="13"/>
  <c r="C4" i="13"/>
  <c r="K11" i="13"/>
  <c r="K16" i="13"/>
  <c r="J13" i="13"/>
  <c r="K18" i="13"/>
  <c r="J15" i="13"/>
  <c r="K15" i="13"/>
  <c r="J7" i="13"/>
  <c r="J11" i="13"/>
  <c r="K14" i="13"/>
  <c r="J9" i="13"/>
  <c r="J10" i="13"/>
  <c r="J18" i="13"/>
  <c r="J8" i="13"/>
  <c r="K9" i="13"/>
  <c r="J12" i="13"/>
  <c r="D57" i="9"/>
  <c r="J17" i="13"/>
  <c r="K17" i="13"/>
  <c r="J6" i="13"/>
  <c r="K10" i="13"/>
  <c r="AR81" i="1"/>
  <c r="I39" i="9" l="1"/>
  <c r="O39" i="9"/>
  <c r="G39" i="9"/>
  <c r="M39" i="9"/>
  <c r="T72" i="9"/>
  <c r="H72" i="9"/>
  <c r="AR97" i="1"/>
  <c r="G18" i="2"/>
  <c r="AR99" i="1" s="1"/>
  <c r="W48" i="9"/>
  <c r="S39" i="9"/>
  <c r="AR100" i="1"/>
  <c r="Q54" i="9"/>
  <c r="W54" i="9" s="1"/>
  <c r="G30" i="2"/>
  <c r="N72" i="9"/>
  <c r="E20" i="13"/>
  <c r="U39" i="9"/>
  <c r="I56" i="9"/>
  <c r="Q56" i="9" s="1"/>
  <c r="W56" i="9" s="1"/>
  <c r="Q53" i="9"/>
  <c r="W53" i="9" s="1"/>
  <c r="Q52" i="9"/>
  <c r="G12" i="2"/>
  <c r="G37" i="2"/>
  <c r="G22" i="2"/>
  <c r="M11" i="13"/>
  <c r="L8" i="13"/>
  <c r="L18" i="13"/>
  <c r="M8" i="13"/>
  <c r="M18" i="13"/>
  <c r="L13" i="13"/>
  <c r="L15" i="13"/>
  <c r="L9" i="13"/>
  <c r="L6" i="13"/>
  <c r="L11" i="13"/>
  <c r="L14" i="13"/>
  <c r="M15" i="13"/>
  <c r="M16" i="13"/>
  <c r="L10" i="13"/>
  <c r="M10" i="13"/>
  <c r="M9" i="13"/>
  <c r="M13" i="13"/>
  <c r="M17" i="13"/>
  <c r="M7" i="13"/>
  <c r="M12" i="13"/>
  <c r="N39" i="1"/>
  <c r="AA34" i="1" s="1"/>
  <c r="S16" i="4" s="1"/>
  <c r="AR96" i="1"/>
  <c r="L12" i="13"/>
  <c r="M6" i="13"/>
  <c r="L16" i="13"/>
  <c r="L7" i="13"/>
  <c r="M14" i="13"/>
  <c r="L17" i="13"/>
  <c r="AR98" i="1" l="1"/>
  <c r="AR102" i="1"/>
  <c r="Q57" i="9"/>
  <c r="I57" i="9"/>
  <c r="W52" i="9"/>
  <c r="AR101" i="1"/>
  <c r="D43" i="13"/>
  <c r="D41" i="13"/>
  <c r="AR107" i="1"/>
</calcChain>
</file>

<file path=xl/sharedStrings.xml><?xml version="1.0" encoding="utf-8"?>
<sst xmlns="http://schemas.openxmlformats.org/spreadsheetml/2006/main" count="1754" uniqueCount="1155">
  <si>
    <t>INDOT - Field Calibration of Mobile Concrete Mixer</t>
  </si>
  <si>
    <t>AGGREGATE MOISTURE DETERMINATION</t>
  </si>
  <si>
    <t>Date of mixer calibration</t>
  </si>
  <si>
    <t>Contract number</t>
  </si>
  <si>
    <t>Start Time</t>
  </si>
  <si>
    <t>Time Completed</t>
  </si>
  <si>
    <t>Truck number</t>
  </si>
  <si>
    <t xml:space="preserve">Mobile Mixer Serial No. </t>
  </si>
  <si>
    <t>Revolutions per minute</t>
  </si>
  <si>
    <t>Portable scale calibration date *</t>
  </si>
  <si>
    <t xml:space="preserve">    *Do not proceed if scale has not been calibrated within past 12 months</t>
  </si>
  <si>
    <t>Batch weights from mix design:</t>
  </si>
  <si>
    <t>Cement (Lbs/Cyd)</t>
  </si>
  <si>
    <r>
      <t xml:space="preserve">Bags of cement </t>
    </r>
    <r>
      <rPr>
        <vertAlign val="superscript"/>
        <sz val="12"/>
        <color theme="1"/>
        <rFont val="Calibri"/>
        <family val="2"/>
        <scheme val="minor"/>
      </rPr>
      <t>6</t>
    </r>
    <r>
      <rPr>
        <sz val="12"/>
        <color theme="1"/>
        <rFont val="Calibri"/>
        <family val="2"/>
        <scheme val="minor"/>
      </rPr>
      <t xml:space="preserve"> =</t>
    </r>
  </si>
  <si>
    <t>Fine Aggregate (SSD) (Lbs/Cyd)</t>
  </si>
  <si>
    <t>Coarse Aggregate (SSD) (Lbs/Cyd)</t>
  </si>
  <si>
    <t>Sand</t>
  </si>
  <si>
    <r>
      <t>Sand</t>
    </r>
    <r>
      <rPr>
        <vertAlign val="superscript"/>
        <sz val="12"/>
        <color theme="1"/>
        <rFont val="Calibri"/>
        <family val="2"/>
        <scheme val="minor"/>
      </rPr>
      <t>1</t>
    </r>
  </si>
  <si>
    <t>Stone</t>
  </si>
  <si>
    <r>
      <t>Stone</t>
    </r>
    <r>
      <rPr>
        <vertAlign val="superscript"/>
        <sz val="12"/>
        <color theme="1"/>
        <rFont val="Calibri"/>
        <family val="2"/>
        <scheme val="minor"/>
      </rPr>
      <t>1</t>
    </r>
  </si>
  <si>
    <t>1.</t>
  </si>
  <si>
    <t xml:space="preserve">Weight of Pan &amp; Wet Material (0.01 lbs)  </t>
  </si>
  <si>
    <t>2.</t>
  </si>
  <si>
    <t xml:space="preserve">Weight of Pan &amp; Dry Material (0.01 lbs)  </t>
  </si>
  <si>
    <t>3.</t>
  </si>
  <si>
    <r>
      <t xml:space="preserve">     Weight of Moisture (0.01 lbs)          </t>
    </r>
    <r>
      <rPr>
        <b/>
        <sz val="12"/>
        <color theme="1"/>
        <rFont val="Calibri"/>
        <family val="2"/>
        <scheme val="minor"/>
      </rPr>
      <t xml:space="preserve"> line 1 - line 2               </t>
    </r>
  </si>
  <si>
    <t>4.</t>
  </si>
  <si>
    <t xml:space="preserve">Weight of Pan (0.01 lbs)  </t>
  </si>
  <si>
    <t>5.</t>
  </si>
  <si>
    <r>
      <t xml:space="preserve">    Weight of Dry Material</t>
    </r>
    <r>
      <rPr>
        <vertAlign val="superscript"/>
        <sz val="12"/>
        <color theme="1"/>
        <rFont val="Calibri"/>
        <family val="2"/>
        <scheme val="minor"/>
      </rPr>
      <t>2</t>
    </r>
    <r>
      <rPr>
        <sz val="12"/>
        <color theme="1"/>
        <rFont val="Calibri"/>
        <family val="2"/>
        <scheme val="minor"/>
      </rPr>
      <t xml:space="preserve"> (0.01 lbs)   </t>
    </r>
    <r>
      <rPr>
        <b/>
        <sz val="12"/>
        <color theme="1"/>
        <rFont val="Calibri"/>
        <family val="2"/>
        <scheme val="minor"/>
      </rPr>
      <t xml:space="preserve"> line 2 - line 4</t>
    </r>
  </si>
  <si>
    <t>6.</t>
  </si>
  <si>
    <r>
      <t xml:space="preserve">     Percent Moisture (0.01%)</t>
    </r>
    <r>
      <rPr>
        <vertAlign val="superscript"/>
        <sz val="12"/>
        <color theme="1"/>
        <rFont val="Calibri"/>
        <family val="2"/>
        <scheme val="minor"/>
      </rPr>
      <t>3</t>
    </r>
    <r>
      <rPr>
        <sz val="12"/>
        <color theme="1"/>
        <rFont val="Calibri"/>
        <family val="2"/>
        <scheme val="minor"/>
      </rPr>
      <t xml:space="preserve">      </t>
    </r>
    <r>
      <rPr>
        <b/>
        <sz val="12"/>
        <color theme="1"/>
        <rFont val="Calibri"/>
        <family val="2"/>
        <scheme val="minor"/>
      </rPr>
      <t>(line 3 / line 5) x 100</t>
    </r>
  </si>
  <si>
    <t>7.</t>
  </si>
  <si>
    <r>
      <t xml:space="preserve">                              Percent Absorption of Aggregate </t>
    </r>
    <r>
      <rPr>
        <vertAlign val="superscript"/>
        <sz val="12"/>
        <color theme="1"/>
        <rFont val="Calibri"/>
        <family val="2"/>
        <scheme val="minor"/>
      </rPr>
      <t xml:space="preserve">4 </t>
    </r>
    <r>
      <rPr>
        <sz val="12"/>
        <color theme="1"/>
        <rFont val="Calibri"/>
        <family val="2"/>
        <scheme val="minor"/>
      </rPr>
      <t xml:space="preserve">    </t>
    </r>
  </si>
  <si>
    <t>8.</t>
  </si>
  <si>
    <r>
      <t xml:space="preserve">                                                          Free Moisture %</t>
    </r>
    <r>
      <rPr>
        <vertAlign val="superscript"/>
        <sz val="12"/>
        <color theme="1"/>
        <rFont val="Calibri"/>
        <family val="2"/>
        <scheme val="minor"/>
      </rPr>
      <t xml:space="preserve">5 </t>
    </r>
    <r>
      <rPr>
        <sz val="12"/>
        <color theme="1"/>
        <rFont val="Calibri"/>
        <family val="2"/>
        <scheme val="minor"/>
      </rPr>
      <t xml:space="preserve">   </t>
    </r>
  </si>
  <si>
    <t>(L) on page 3</t>
  </si>
  <si>
    <t>(S) on page 4</t>
  </si>
  <si>
    <r>
      <rPr>
        <vertAlign val="superscript"/>
        <sz val="12"/>
        <color theme="1"/>
        <rFont val="Calibri"/>
        <family val="2"/>
        <scheme val="minor"/>
      </rPr>
      <t xml:space="preserve">1 </t>
    </r>
    <r>
      <rPr>
        <sz val="12"/>
        <color theme="1"/>
        <rFont val="Calibri"/>
        <family val="2"/>
        <scheme val="minor"/>
      </rPr>
      <t>Extra column provided if needed.  Only one test for sand and stone is needed</t>
    </r>
  </si>
  <si>
    <r>
      <rPr>
        <vertAlign val="superscript"/>
        <sz val="12"/>
        <color theme="1"/>
        <rFont val="Calibri"/>
        <family val="2"/>
        <scheme val="minor"/>
      </rPr>
      <t>2</t>
    </r>
    <r>
      <rPr>
        <sz val="12"/>
        <color theme="1"/>
        <rFont val="Calibri"/>
        <family val="2"/>
        <scheme val="minor"/>
      </rPr>
      <t xml:space="preserve"> Minimum sample weight is 10.0 lbs for Stone and 5.0 lbs for Sand</t>
    </r>
  </si>
  <si>
    <r>
      <t xml:space="preserve">3 </t>
    </r>
    <r>
      <rPr>
        <sz val="12"/>
        <color theme="1"/>
        <rFont val="Calibri"/>
        <family val="2"/>
        <scheme val="minor"/>
      </rPr>
      <t>Per ITM-403 the sample will be considered dry when the sample weight decreases by less than 0.01 lb over five 
  minutes of heating.</t>
    </r>
  </si>
  <si>
    <r>
      <rPr>
        <vertAlign val="superscript"/>
        <sz val="12"/>
        <color theme="1"/>
        <rFont val="Calibri"/>
        <family val="2"/>
        <scheme val="minor"/>
      </rPr>
      <t xml:space="preserve">4   </t>
    </r>
    <r>
      <rPr>
        <sz val="12"/>
        <color theme="1"/>
        <rFont val="Calibri"/>
        <family val="2"/>
        <scheme val="minor"/>
      </rPr>
      <t xml:space="preserve">See INDOT Gsb List ( </t>
    </r>
    <r>
      <rPr>
        <u/>
        <sz val="12"/>
        <color theme="1"/>
        <rFont val="Calibri"/>
        <family val="2"/>
        <scheme val="minor"/>
      </rPr>
      <t>www.in.gov/indot/2736.htm</t>
    </r>
    <r>
      <rPr>
        <sz val="12"/>
        <color theme="1"/>
        <rFont val="Calibri"/>
        <family val="2"/>
        <scheme val="minor"/>
      </rPr>
      <t xml:space="preserve"> ) and select Abs value for Concrete.  Be sure to choose the 
   correct ledge and aggregate size</t>
    </r>
  </si>
  <si>
    <r>
      <rPr>
        <vertAlign val="superscript"/>
        <sz val="12"/>
        <color theme="1"/>
        <rFont val="Calibri"/>
        <family val="2"/>
        <scheme val="minor"/>
      </rPr>
      <t>5</t>
    </r>
    <r>
      <rPr>
        <sz val="12"/>
        <color theme="1"/>
        <rFont val="Calibri"/>
        <family val="2"/>
        <scheme val="minor"/>
      </rPr>
      <t xml:space="preserve"> A negative number means that aggregate is drier than SSD.  </t>
    </r>
  </si>
  <si>
    <r>
      <rPr>
        <vertAlign val="superscript"/>
        <sz val="12"/>
        <color theme="1"/>
        <rFont val="Calibri"/>
        <family val="2"/>
        <scheme val="minor"/>
      </rPr>
      <t>6</t>
    </r>
    <r>
      <rPr>
        <sz val="12"/>
        <color theme="1"/>
        <rFont val="Calibri"/>
        <family val="2"/>
        <scheme val="minor"/>
      </rPr>
      <t xml:space="preserve"> The number of bags of cement/Cu. Yd. for LMC or LMC-VE overlays is seven.  If other type of mix is used, 
   verify the bag count with the specification and mix design.</t>
    </r>
  </si>
  <si>
    <t>Ver 2.0/2019</t>
  </si>
  <si>
    <t>●</t>
  </si>
  <si>
    <t>Cement Calibration</t>
  </si>
  <si>
    <r>
      <rPr>
        <b/>
        <sz val="12"/>
        <color theme="1"/>
        <rFont val="Calibri"/>
        <family val="2"/>
        <scheme val="minor"/>
      </rPr>
      <t xml:space="preserve">1.  Perform a minimum of 3 test runs </t>
    </r>
    <r>
      <rPr>
        <sz val="12"/>
        <color theme="1"/>
        <rFont val="Calibri"/>
        <family val="2"/>
        <scheme val="minor"/>
      </rPr>
      <t xml:space="preserve">
     Record weights (pounds) and times to the nearest tenth (0.1) and meter count to the whole number.
     Add the numbers for all three runs to obtain the total in each row (A), (B) and (C)
     The net cement weight for each run must be a minimum of 90 lbs
    </t>
    </r>
  </si>
  <si>
    <t>Run #1</t>
  </si>
  <si>
    <t>Run #2</t>
  </si>
  <si>
    <t xml:space="preserve">Run #3 </t>
  </si>
  <si>
    <t>Total</t>
  </si>
  <si>
    <t xml:space="preserve">Gross Wt (Cement &amp; Cont.) </t>
  </si>
  <si>
    <t xml:space="preserve"> - Container Weight </t>
  </si>
  <si>
    <t xml:space="preserve">= Net Cement Weight </t>
  </si>
  <si>
    <t xml:space="preserve">  (A)</t>
  </si>
  <si>
    <t xml:space="preserve">Meter Count </t>
  </si>
  <si>
    <t xml:space="preserve">  (B)</t>
  </si>
  <si>
    <t>Time (Tenth Sec.)</t>
  </si>
  <si>
    <t xml:space="preserve">  (C)</t>
  </si>
  <si>
    <r>
      <t xml:space="preserve">2. Determine new cement meter count </t>
    </r>
    <r>
      <rPr>
        <sz val="12"/>
        <color theme="1"/>
        <rFont val="Calibri"/>
        <family val="2"/>
        <scheme val="minor"/>
      </rPr>
      <t>(round as indicated)</t>
    </r>
  </si>
  <si>
    <r>
      <t xml:space="preserve">Total Weight of Cement </t>
    </r>
    <r>
      <rPr>
        <b/>
        <u/>
        <sz val="12"/>
        <color theme="1"/>
        <rFont val="Calibri"/>
        <family val="2"/>
        <scheme val="minor"/>
      </rPr>
      <t xml:space="preserve"> (A)</t>
    </r>
  </si>
  <si>
    <t>=</t>
  </si>
  <si>
    <r>
      <t xml:space="preserve">   </t>
    </r>
    <r>
      <rPr>
        <b/>
        <sz val="11"/>
        <color theme="1"/>
        <rFont val="Calibri"/>
        <family val="2"/>
        <scheme val="minor"/>
      </rPr>
      <t>(D)</t>
    </r>
    <r>
      <rPr>
        <sz val="10"/>
        <rFont val="Arial"/>
        <family val="2"/>
      </rPr>
      <t xml:space="preserve"> lb / count (0.001)</t>
    </r>
  </si>
  <si>
    <r>
      <t xml:space="preserve">Total Meter Counts </t>
    </r>
    <r>
      <rPr>
        <b/>
        <sz val="12"/>
        <color theme="1"/>
        <rFont val="Calibri"/>
        <family val="2"/>
        <scheme val="minor"/>
      </rPr>
      <t xml:space="preserve">  (B)</t>
    </r>
  </si>
  <si>
    <t>94 lb</t>
  </si>
  <si>
    <r>
      <rPr>
        <b/>
        <sz val="11"/>
        <color theme="1"/>
        <rFont val="Calibri"/>
        <family val="2"/>
        <scheme val="minor"/>
      </rPr>
      <t xml:space="preserve">    (E)</t>
    </r>
    <r>
      <rPr>
        <sz val="10"/>
        <rFont val="Arial"/>
        <family val="2"/>
      </rPr>
      <t xml:space="preserve"> counts / bag (0.01)     </t>
    </r>
  </si>
  <si>
    <r>
      <t xml:space="preserve">lb / count </t>
    </r>
    <r>
      <rPr>
        <b/>
        <sz val="11"/>
        <color theme="1"/>
        <rFont val="Calibri"/>
        <family val="2"/>
        <scheme val="minor"/>
      </rPr>
      <t>(D)</t>
    </r>
  </si>
  <si>
    <r>
      <t xml:space="preserve">counts per bag </t>
    </r>
    <r>
      <rPr>
        <b/>
        <sz val="11"/>
        <color theme="1"/>
        <rFont val="Calibri"/>
        <family val="2"/>
        <scheme val="minor"/>
      </rPr>
      <t xml:space="preserve">(E)    X   </t>
    </r>
    <r>
      <rPr>
        <sz val="12"/>
        <color theme="1"/>
        <rFont val="Calibri"/>
        <family val="2"/>
        <scheme val="minor"/>
      </rPr>
      <t>No of bags*</t>
    </r>
  </si>
  <si>
    <r>
      <t xml:space="preserve"> </t>
    </r>
    <r>
      <rPr>
        <b/>
        <sz val="12"/>
        <color theme="1"/>
        <rFont val="Calibri"/>
        <family val="2"/>
        <scheme val="minor"/>
      </rPr>
      <t xml:space="preserve">counts / </t>
    </r>
    <r>
      <rPr>
        <b/>
        <sz val="12"/>
        <color theme="1"/>
        <rFont val="Calibri"/>
        <family val="2"/>
      </rPr>
      <t xml:space="preserve">¼ cubic yard **
        </t>
    </r>
    <r>
      <rPr>
        <sz val="12"/>
        <color theme="1"/>
        <rFont val="Calibri"/>
        <family val="2"/>
      </rPr>
      <t xml:space="preserve">  (whole number)</t>
    </r>
  </si>
  <si>
    <t xml:space="preserve">           * From mix data on page 1</t>
  </si>
  <si>
    <t xml:space="preserve">         ** Meter counts used to run yield test during production</t>
  </si>
  <si>
    <r>
      <t xml:space="preserve">3. Determine Time required to discharge 1 bag of cement </t>
    </r>
    <r>
      <rPr>
        <sz val="12"/>
        <color theme="1"/>
        <rFont val="Calibri"/>
        <family val="2"/>
        <scheme val="minor"/>
      </rPr>
      <t>(round as indicated)</t>
    </r>
  </si>
  <si>
    <r>
      <t xml:space="preserve">   </t>
    </r>
    <r>
      <rPr>
        <b/>
        <sz val="11"/>
        <color theme="1"/>
        <rFont val="Calibri"/>
        <family val="2"/>
        <scheme val="minor"/>
      </rPr>
      <t>(G)</t>
    </r>
    <r>
      <rPr>
        <sz val="10"/>
        <rFont val="Arial"/>
        <family val="2"/>
      </rPr>
      <t xml:space="preserve"> lb / second (0.001)</t>
    </r>
  </si>
  <si>
    <r>
      <t xml:space="preserve">Total Time in seconds </t>
    </r>
    <r>
      <rPr>
        <b/>
        <sz val="12"/>
        <color theme="1"/>
        <rFont val="Calibri"/>
        <family val="2"/>
        <scheme val="minor"/>
      </rPr>
      <t xml:space="preserve">  (C)</t>
    </r>
  </si>
  <si>
    <r>
      <rPr>
        <b/>
        <sz val="11"/>
        <color theme="1"/>
        <rFont val="Calibri"/>
        <family val="2"/>
        <scheme val="minor"/>
      </rPr>
      <t xml:space="preserve">   (H)</t>
    </r>
    <r>
      <rPr>
        <sz val="10"/>
        <rFont val="Arial"/>
        <family val="2"/>
      </rPr>
      <t xml:space="preserve"> seconds / bag (0.01) ***</t>
    </r>
  </si>
  <si>
    <r>
      <t xml:space="preserve">lb / second </t>
    </r>
    <r>
      <rPr>
        <b/>
        <sz val="11"/>
        <color theme="1"/>
        <rFont val="Calibri"/>
        <family val="2"/>
        <scheme val="minor"/>
      </rPr>
      <t>(G)</t>
    </r>
  </si>
  <si>
    <t xml:space="preserve">                   *** Seconds / bag (H) is to be used on Page 3 for latex calibration</t>
  </si>
  <si>
    <t>Remarks:</t>
  </si>
  <si>
    <t>PE/PS</t>
  </si>
  <si>
    <t>Latex Flow Calibration</t>
  </si>
  <si>
    <t>Confirm with the operator where each gauge is located on the truck for the table below</t>
  </si>
  <si>
    <t>Verify that the latex screen has been cleaned?    YES/NO</t>
  </si>
  <si>
    <t>(Do not proceed if NO)</t>
  </si>
  <si>
    <r>
      <t xml:space="preserve">Discharge latex for time </t>
    </r>
    <r>
      <rPr>
        <b/>
        <sz val="12"/>
        <color theme="1"/>
        <rFont val="Calibri"/>
        <family val="2"/>
        <scheme val="minor"/>
      </rPr>
      <t>(H)</t>
    </r>
    <r>
      <rPr>
        <sz val="12"/>
        <color theme="1"/>
        <rFont val="Calibri"/>
        <family val="2"/>
        <scheme val="minor"/>
      </rPr>
      <t xml:space="preserve"> and calculate the amount of latex per bag of cement.  Adjust latex flow setting until the correct amount is being dispensed.  Perform trials until </t>
    </r>
    <r>
      <rPr>
        <b/>
        <u/>
        <sz val="12"/>
        <color theme="1"/>
        <rFont val="Calibri"/>
        <family val="2"/>
        <scheme val="minor"/>
      </rPr>
      <t>two consecutive trials</t>
    </r>
    <r>
      <rPr>
        <sz val="12"/>
        <color theme="1"/>
        <rFont val="Calibri"/>
        <family val="2"/>
        <scheme val="minor"/>
      </rPr>
      <t xml:space="preserve"> indicate that the target amount of latex (gallons of latex per bag) is being dispensed to the nearest hundredth of a gallon (0.01).
    </t>
    </r>
  </si>
  <si>
    <t>Trial #1</t>
  </si>
  <si>
    <t>Trial #2</t>
  </si>
  <si>
    <t>Trial #3</t>
  </si>
  <si>
    <t>Trial #4</t>
  </si>
  <si>
    <t>Operating RPM    (whole number)</t>
  </si>
  <si>
    <t>Latex Line Pressure Reading (0.1)</t>
  </si>
  <si>
    <t>Flow Meter Reading              (0.1)</t>
  </si>
  <si>
    <t xml:space="preserve"> (X)</t>
  </si>
  <si>
    <t>Latex Throttle Valve Setting  (0.1)</t>
  </si>
  <si>
    <r>
      <t>Sec/Bag (</t>
    </r>
    <r>
      <rPr>
        <b/>
        <sz val="12"/>
        <color theme="1"/>
        <rFont val="Calibri"/>
        <family val="2"/>
        <scheme val="minor"/>
      </rPr>
      <t xml:space="preserve">H </t>
    </r>
    <r>
      <rPr>
        <sz val="12"/>
        <color theme="1"/>
        <rFont val="Calibri"/>
        <family val="2"/>
        <scheme val="minor"/>
      </rPr>
      <t>from page 2)     (0.01)</t>
    </r>
  </si>
  <si>
    <t>Gross Wt (latex &amp; Container)(0.1)</t>
  </si>
  <si>
    <t xml:space="preserve"> - Container Weight (0.1)</t>
  </si>
  <si>
    <t>= Net Latex Weight (0.1)</t>
  </si>
  <si>
    <t xml:space="preserve">  (J)</t>
  </si>
  <si>
    <r>
      <t xml:space="preserve">gallons latex per bag* =  </t>
    </r>
    <r>
      <rPr>
        <b/>
        <sz val="12"/>
        <color theme="1"/>
        <rFont val="Calibri"/>
        <family val="2"/>
        <scheme val="minor"/>
      </rPr>
      <t>(J)</t>
    </r>
    <r>
      <rPr>
        <sz val="12"/>
        <color theme="1"/>
        <rFont val="Calibri"/>
        <family val="2"/>
        <scheme val="minor"/>
      </rPr>
      <t xml:space="preserve"> / 8.5</t>
    </r>
  </si>
  <si>
    <r>
      <t xml:space="preserve">*Target:  </t>
    </r>
    <r>
      <rPr>
        <b/>
        <sz val="12"/>
        <color theme="1"/>
        <rFont val="Calibri"/>
        <family val="2"/>
        <scheme val="minor"/>
      </rPr>
      <t>3.50 gallons</t>
    </r>
    <r>
      <rPr>
        <sz val="12"/>
        <color theme="1"/>
        <rFont val="Calibri"/>
        <family val="2"/>
        <scheme val="minor"/>
      </rPr>
      <t xml:space="preserve"> of latex per bag of cement (acceptable tolerance is 3.44 to 3.56 gallons)</t>
    </r>
  </si>
  <si>
    <t>Final flow meter  setting =</t>
  </si>
  <si>
    <r>
      <t xml:space="preserve">  from row </t>
    </r>
    <r>
      <rPr>
        <b/>
        <sz val="14"/>
        <color theme="1"/>
        <rFont val="Calibri"/>
        <family val="2"/>
        <scheme val="minor"/>
      </rPr>
      <t>(X)</t>
    </r>
  </si>
  <si>
    <t xml:space="preserve">Remarks: </t>
  </si>
  <si>
    <t xml:space="preserve">PE/PS </t>
  </si>
  <si>
    <t>Date</t>
  </si>
  <si>
    <t>Mobile Mixer Serial No.</t>
  </si>
  <si>
    <t>Contract No.</t>
  </si>
  <si>
    <t>Sand Gate Calibration</t>
  </si>
  <si>
    <r>
      <t xml:space="preserve">Calculate the amount of wet sand to be batched for one cubic yard.  From this weight calculate the amount of sand required for 1/2 bag of cement.  Adjust the gate setting so that this amount of sand is discharged in the same amount of time that it takes to discharge 1/2 bag of cement.  Perform trials until </t>
    </r>
    <r>
      <rPr>
        <b/>
        <u/>
        <sz val="12"/>
        <color theme="1"/>
        <rFont val="Calibri"/>
        <family val="2"/>
        <scheme val="minor"/>
      </rPr>
      <t>two consecutive trials</t>
    </r>
    <r>
      <rPr>
        <sz val="12"/>
        <color theme="1"/>
        <rFont val="Calibri"/>
        <family val="2"/>
        <scheme val="minor"/>
      </rPr>
      <t xml:space="preserve"> indicate that the amount of sand discharged is within </t>
    </r>
    <r>
      <rPr>
        <sz val="12"/>
        <color theme="1"/>
        <rFont val="Calibri"/>
        <family val="2"/>
      </rPr>
      <t>±</t>
    </r>
    <r>
      <rPr>
        <sz val="12"/>
        <color theme="1"/>
        <rFont val="Calibri"/>
        <family val="2"/>
        <scheme val="minor"/>
      </rPr>
      <t xml:space="preserve"> 2% of the target amount.  Record all weights to the nearest tenth of a pound (0.1).
    </t>
    </r>
  </si>
  <si>
    <r>
      <t xml:space="preserve">1. Calculate the time period for </t>
    </r>
    <r>
      <rPr>
        <b/>
        <sz val="12"/>
        <color theme="1"/>
        <rFont val="Calibri"/>
        <family val="2"/>
      </rPr>
      <t>½</t>
    </r>
    <r>
      <rPr>
        <b/>
        <sz val="12"/>
        <color theme="1"/>
        <rFont val="Calibri"/>
        <family val="2"/>
        <scheme val="minor"/>
      </rPr>
      <t xml:space="preserve"> bag of cement :</t>
    </r>
  </si>
  <si>
    <r>
      <t xml:space="preserve">Time per bag cement </t>
    </r>
    <r>
      <rPr>
        <b/>
        <u/>
        <sz val="12"/>
        <color theme="1"/>
        <rFont val="Calibri"/>
        <family val="2"/>
        <scheme val="minor"/>
      </rPr>
      <t>(H)</t>
    </r>
    <r>
      <rPr>
        <sz val="12"/>
        <color theme="1"/>
        <rFont val="Calibri"/>
        <family val="2"/>
        <scheme val="minor"/>
      </rPr>
      <t>*</t>
    </r>
  </si>
  <si>
    <r>
      <t xml:space="preserve"> </t>
    </r>
    <r>
      <rPr>
        <b/>
        <sz val="11"/>
        <color theme="1"/>
        <rFont val="Calibri"/>
        <family val="2"/>
        <scheme val="minor"/>
      </rPr>
      <t>(K)</t>
    </r>
    <r>
      <rPr>
        <sz val="10"/>
        <rFont val="Arial"/>
        <family val="2"/>
      </rPr>
      <t xml:space="preserve"> seconds (0.1)</t>
    </r>
  </si>
  <si>
    <t xml:space="preserve">      *From step 3 of cement calibration on page 2</t>
  </si>
  <si>
    <t>2. Calculate the free moisture content of sand per AASHTO T-255 (see page 5)</t>
  </si>
  <si>
    <r>
      <t xml:space="preserve"> (L) % </t>
    </r>
    <r>
      <rPr>
        <sz val="12"/>
        <color theme="1"/>
        <rFont val="Calibri"/>
        <family val="2"/>
        <scheme val="minor"/>
      </rPr>
      <t>(0.1)</t>
    </r>
  </si>
  <si>
    <r>
      <t xml:space="preserve">3. Calculate the target amount of wet sand for </t>
    </r>
    <r>
      <rPr>
        <b/>
        <sz val="12"/>
        <color theme="1"/>
        <rFont val="Calibri"/>
        <family val="2"/>
      </rPr>
      <t>½ bag cement:</t>
    </r>
  </si>
  <si>
    <r>
      <t xml:space="preserve">Dry sand weight x </t>
    </r>
    <r>
      <rPr>
        <b/>
        <u/>
        <sz val="12"/>
        <color theme="1"/>
        <rFont val="Calibri"/>
        <family val="2"/>
        <scheme val="minor"/>
      </rPr>
      <t>(L)</t>
    </r>
  </si>
  <si>
    <t>x</t>
  </si>
  <si>
    <r>
      <rPr>
        <b/>
        <sz val="11"/>
        <color theme="1"/>
        <rFont val="Calibri"/>
        <family val="2"/>
        <scheme val="minor"/>
      </rPr>
      <t>(M)</t>
    </r>
    <r>
      <rPr>
        <sz val="10"/>
        <rFont val="Arial"/>
        <family val="2"/>
      </rPr>
      <t xml:space="preserve"> lb  of water (0.1)</t>
    </r>
  </si>
  <si>
    <r>
      <t xml:space="preserve">SSD sand weight (from design) + </t>
    </r>
    <r>
      <rPr>
        <b/>
        <sz val="12"/>
        <color theme="1"/>
        <rFont val="Calibri"/>
        <family val="2"/>
        <scheme val="minor"/>
      </rPr>
      <t xml:space="preserve">(M)  </t>
    </r>
    <r>
      <rPr>
        <sz val="12"/>
        <color theme="1"/>
        <rFont val="Calibri"/>
        <family val="2"/>
        <scheme val="minor"/>
      </rPr>
      <t>=</t>
    </r>
  </si>
  <si>
    <t>+</t>
  </si>
  <si>
    <r>
      <rPr>
        <b/>
        <sz val="11"/>
        <color theme="1"/>
        <rFont val="Calibri"/>
        <family val="2"/>
        <scheme val="minor"/>
      </rPr>
      <t>(N)</t>
    </r>
    <r>
      <rPr>
        <sz val="10"/>
        <rFont val="Arial"/>
        <family val="2"/>
      </rPr>
      <t xml:space="preserve"> lb wet sand (0.1)</t>
    </r>
  </si>
  <si>
    <t>(N)</t>
  </si>
  <si>
    <r>
      <t>(P)</t>
    </r>
    <r>
      <rPr>
        <sz val="10"/>
        <rFont val="Arial"/>
        <family val="2"/>
      </rPr>
      <t xml:space="preserve"> lb (Target weight)  (0.1)</t>
    </r>
  </si>
  <si>
    <r>
      <t>4. Calculate the acceptable range of weight for the sand (</t>
    </r>
    <r>
      <rPr>
        <b/>
        <sz val="12"/>
        <color theme="1"/>
        <rFont val="Calibri"/>
        <family val="2"/>
      </rPr>
      <t>± 2%)</t>
    </r>
  </si>
  <si>
    <r>
      <t xml:space="preserve">Lowest sand weight = 0.975 x Target sand wt </t>
    </r>
    <r>
      <rPr>
        <b/>
        <sz val="12"/>
        <color theme="1"/>
        <rFont val="Calibri"/>
        <family val="2"/>
        <scheme val="minor"/>
      </rPr>
      <t>(P)   =</t>
    </r>
  </si>
  <si>
    <t>X</t>
  </si>
  <si>
    <t>*</t>
  </si>
  <si>
    <r>
      <t xml:space="preserve">Highest sand weight = 1.024 x Target sand wt </t>
    </r>
    <r>
      <rPr>
        <b/>
        <sz val="12"/>
        <color theme="1"/>
        <rFont val="Calibri"/>
        <family val="2"/>
        <scheme val="minor"/>
      </rPr>
      <t>(P)   =</t>
    </r>
  </si>
  <si>
    <t>Sand Gate Setting (0.1)</t>
  </si>
  <si>
    <t xml:space="preserve"> (Y)</t>
  </si>
  <si>
    <r>
      <t xml:space="preserve">No. of seconds </t>
    </r>
    <r>
      <rPr>
        <b/>
        <sz val="12"/>
        <color theme="1"/>
        <rFont val="Calibri"/>
        <family val="2"/>
        <scheme val="minor"/>
      </rPr>
      <t xml:space="preserve">(K </t>
    </r>
    <r>
      <rPr>
        <sz val="12"/>
        <color theme="1"/>
        <rFont val="Calibri"/>
        <family val="2"/>
        <scheme val="minor"/>
      </rPr>
      <t>from step 1)</t>
    </r>
  </si>
  <si>
    <t>Gross Wt (sand &amp; Container)(0.1)</t>
  </si>
  <si>
    <t xml:space="preserve">   = Sand weight* (0.1)</t>
  </si>
  <si>
    <t>Final sand gate  setting  =</t>
  </si>
  <si>
    <r>
      <t xml:space="preserve">  from row </t>
    </r>
    <r>
      <rPr>
        <b/>
        <sz val="14"/>
        <color theme="1"/>
        <rFont val="Calibri"/>
        <family val="2"/>
        <scheme val="minor"/>
      </rPr>
      <t>(Y)</t>
    </r>
  </si>
  <si>
    <t>Stone Gate Calibration</t>
  </si>
  <si>
    <r>
      <t xml:space="preserve">Calculate the amount of wet stone to be batched for one cubic yard.  From this weight calculate the amount of stone required for 1/2 bag of cement.  Adjust the gate setting so that this amount of stone is discharged in the same amount of time that it takes to discharge 1/2 bag of cement.  Perform trials until </t>
    </r>
    <r>
      <rPr>
        <b/>
        <u/>
        <sz val="12"/>
        <color theme="1"/>
        <rFont val="Calibri"/>
        <family val="2"/>
        <scheme val="minor"/>
      </rPr>
      <t>two consecutive trials</t>
    </r>
    <r>
      <rPr>
        <sz val="12"/>
        <color theme="1"/>
        <rFont val="Calibri"/>
        <family val="2"/>
        <scheme val="minor"/>
      </rPr>
      <t xml:space="preserve"> indicate that the amount of stone discharged is within </t>
    </r>
    <r>
      <rPr>
        <sz val="12"/>
        <color theme="1"/>
        <rFont val="Calibri"/>
        <family val="2"/>
      </rPr>
      <t>±</t>
    </r>
    <r>
      <rPr>
        <sz val="12"/>
        <color theme="1"/>
        <rFont val="Calibri"/>
        <family val="2"/>
        <scheme val="minor"/>
      </rPr>
      <t xml:space="preserve"> 2% of the target amount.  Record all weights to the nearest tenth of a pound (0.1).
    </t>
    </r>
  </si>
  <si>
    <r>
      <t xml:space="preserve"> </t>
    </r>
    <r>
      <rPr>
        <b/>
        <sz val="11"/>
        <color theme="1"/>
        <rFont val="Calibri"/>
        <family val="2"/>
        <scheme val="minor"/>
      </rPr>
      <t>(R)</t>
    </r>
    <r>
      <rPr>
        <sz val="10"/>
        <rFont val="Arial"/>
        <family val="2"/>
      </rPr>
      <t xml:space="preserve"> seconds (0.1)</t>
    </r>
  </si>
  <si>
    <t>2. Calculate the free moisture content of stone per AASHTO T-255 (see page 5)</t>
  </si>
  <si>
    <r>
      <t xml:space="preserve"> (S) % </t>
    </r>
    <r>
      <rPr>
        <sz val="12"/>
        <color theme="1"/>
        <rFont val="Calibri"/>
        <family val="2"/>
        <scheme val="minor"/>
      </rPr>
      <t>(0.1)</t>
    </r>
  </si>
  <si>
    <r>
      <t xml:space="preserve">3. Calculate the target amount of wet stone for </t>
    </r>
    <r>
      <rPr>
        <b/>
        <sz val="12"/>
        <color theme="1"/>
        <rFont val="Calibri"/>
        <family val="2"/>
      </rPr>
      <t>½ bag cement:</t>
    </r>
  </si>
  <si>
    <r>
      <t xml:space="preserve">Dry stone weight x </t>
    </r>
    <r>
      <rPr>
        <b/>
        <u/>
        <sz val="12"/>
        <color theme="1"/>
        <rFont val="Calibri"/>
        <family val="2"/>
        <scheme val="minor"/>
      </rPr>
      <t>(S)</t>
    </r>
  </si>
  <si>
    <r>
      <rPr>
        <b/>
        <sz val="11"/>
        <color theme="1"/>
        <rFont val="Calibri"/>
        <family val="2"/>
        <scheme val="minor"/>
      </rPr>
      <t>(T)</t>
    </r>
    <r>
      <rPr>
        <sz val="10"/>
        <rFont val="Arial"/>
        <family val="2"/>
      </rPr>
      <t xml:space="preserve"> lb  of water (0.1)</t>
    </r>
  </si>
  <si>
    <r>
      <t xml:space="preserve">SSD stone weight (from design) + </t>
    </r>
    <r>
      <rPr>
        <b/>
        <sz val="12"/>
        <color theme="1"/>
        <rFont val="Calibri"/>
        <family val="2"/>
        <scheme val="minor"/>
      </rPr>
      <t xml:space="preserve">(T)  </t>
    </r>
    <r>
      <rPr>
        <sz val="12"/>
        <color theme="1"/>
        <rFont val="Calibri"/>
        <family val="2"/>
        <scheme val="minor"/>
      </rPr>
      <t>=</t>
    </r>
  </si>
  <si>
    <r>
      <rPr>
        <b/>
        <sz val="11"/>
        <color theme="1"/>
        <rFont val="Calibri"/>
        <family val="2"/>
        <scheme val="minor"/>
      </rPr>
      <t>(U)</t>
    </r>
    <r>
      <rPr>
        <sz val="10"/>
        <rFont val="Arial"/>
        <family val="2"/>
      </rPr>
      <t xml:space="preserve"> lb wet stone (0.1)</t>
    </r>
  </si>
  <si>
    <t>(U)</t>
  </si>
  <si>
    <r>
      <t>(V)</t>
    </r>
    <r>
      <rPr>
        <sz val="10"/>
        <rFont val="Arial"/>
        <family val="2"/>
      </rPr>
      <t xml:space="preserve"> lb (Target weight)  (0.1)</t>
    </r>
  </si>
  <si>
    <r>
      <t>4. Calculate the acceptable range of weight for the stone (</t>
    </r>
    <r>
      <rPr>
        <b/>
        <sz val="12"/>
        <color theme="1"/>
        <rFont val="Calibri"/>
        <family val="2"/>
      </rPr>
      <t>± 2%)</t>
    </r>
  </si>
  <si>
    <r>
      <t xml:space="preserve">Lowest stone weight = 0.975 x Target stone wt </t>
    </r>
    <r>
      <rPr>
        <b/>
        <sz val="12"/>
        <color theme="1"/>
        <rFont val="Calibri"/>
        <family val="2"/>
        <scheme val="minor"/>
      </rPr>
      <t>(V)   =</t>
    </r>
  </si>
  <si>
    <r>
      <t xml:space="preserve">Highest stone weight = 1.024 x Target stone wt </t>
    </r>
    <r>
      <rPr>
        <b/>
        <sz val="12"/>
        <color theme="1"/>
        <rFont val="Calibri"/>
        <family val="2"/>
        <scheme val="minor"/>
      </rPr>
      <t>(V)   =</t>
    </r>
  </si>
  <si>
    <t>Stone Gate Setting (0.1)</t>
  </si>
  <si>
    <t xml:space="preserve"> (Z)</t>
  </si>
  <si>
    <r>
      <t xml:space="preserve">No. of seconds </t>
    </r>
    <r>
      <rPr>
        <b/>
        <sz val="12"/>
        <color theme="1"/>
        <rFont val="Calibri"/>
        <family val="2"/>
        <scheme val="minor"/>
      </rPr>
      <t xml:space="preserve">(R </t>
    </r>
    <r>
      <rPr>
        <sz val="12"/>
        <color theme="1"/>
        <rFont val="Calibri"/>
        <family val="2"/>
        <scheme val="minor"/>
      </rPr>
      <t>from step 1)</t>
    </r>
  </si>
  <si>
    <t>Gross Wt (stone &amp; Container)(0.1)</t>
  </si>
  <si>
    <t xml:space="preserve">   = Stone weight* (0.1)</t>
  </si>
  <si>
    <t>Final stone gate  setting  =</t>
  </si>
  <si>
    <r>
      <t xml:space="preserve">  from row </t>
    </r>
    <r>
      <rPr>
        <b/>
        <sz val="14"/>
        <color theme="1"/>
        <rFont val="Calibri"/>
        <family val="2"/>
        <scheme val="minor"/>
      </rPr>
      <t>(Z)</t>
    </r>
  </si>
  <si>
    <t>Counts for 1/4 cubic yard</t>
  </si>
  <si>
    <t>(page 2)</t>
  </si>
  <si>
    <t>Flow meter setting</t>
  </si>
  <si>
    <t>(page 3)</t>
  </si>
  <si>
    <t>Sand gate setting</t>
  </si>
  <si>
    <t>(page 4)</t>
  </si>
  <si>
    <t>Stone gate setting</t>
  </si>
  <si>
    <t>(page 5)</t>
  </si>
  <si>
    <t>TRIAL BATCH WORKSHEET</t>
  </si>
  <si>
    <t>Date:</t>
  </si>
  <si>
    <t>Plant No.</t>
  </si>
  <si>
    <t>Location:</t>
  </si>
  <si>
    <t>Batching &amp; Mixing Equipment:</t>
  </si>
  <si>
    <t>INDOT CMD No.</t>
  </si>
  <si>
    <t>Name(s) of Contractor's Certified Technician and ACI Grade 1 Certification Number:</t>
  </si>
  <si>
    <t>Name(s) of INDOT Qualified Technician &amp; Submitter Nos.</t>
  </si>
  <si>
    <t>AGGREGATE TEST RESULTS</t>
  </si>
  <si>
    <t>Last Name of</t>
  </si>
  <si>
    <t>INDOT</t>
  </si>
  <si>
    <t>Properties</t>
  </si>
  <si>
    <t>Contractor</t>
  </si>
  <si>
    <t>ACI Certified</t>
  </si>
  <si>
    <t>INDOT Qual.</t>
  </si>
  <si>
    <t>IA</t>
  </si>
  <si>
    <t>Result</t>
  </si>
  <si>
    <t>Technician</t>
  </si>
  <si>
    <t>FA Bulk Sp. Gr. (SSD)</t>
  </si>
  <si>
    <t>NA</t>
  </si>
  <si>
    <t>FA Absorption, %</t>
  </si>
  <si>
    <t>FA Moisture, %</t>
  </si>
  <si>
    <t>CS Bulk Sp. Gr. (SSD)</t>
  </si>
  <si>
    <t>CS Absorption, %</t>
  </si>
  <si>
    <t>CS Moisture, %</t>
  </si>
  <si>
    <t>CA #2 Bulk Sp. Gr. (SSD)</t>
  </si>
  <si>
    <t>CA #2 Absorption, %</t>
  </si>
  <si>
    <t>CA #2 Moisture, %</t>
  </si>
  <si>
    <t>Agg. Correction Factor</t>
  </si>
  <si>
    <t>AGGREGATE MOISTURE RESULTS</t>
  </si>
  <si>
    <t>Procedure</t>
  </si>
  <si>
    <t>Method</t>
  </si>
  <si>
    <t>Construction</t>
  </si>
  <si>
    <t>I.A.</t>
  </si>
  <si>
    <t>Fine</t>
  </si>
  <si>
    <t>CS</t>
  </si>
  <si>
    <t>A</t>
  </si>
  <si>
    <t>Weight of wet sample &amp; pan, 0.01 lbs.</t>
  </si>
  <si>
    <t>Weigh</t>
  </si>
  <si>
    <t>B</t>
  </si>
  <si>
    <t>Weight of dried sample &amp; pan, 0.01 lbs.</t>
  </si>
  <si>
    <t>C</t>
  </si>
  <si>
    <t>Weight of water in sample, 0.01 lbs.</t>
  </si>
  <si>
    <t>A-B</t>
  </si>
  <si>
    <t>D</t>
  </si>
  <si>
    <t>Weight of pan, 0.01 lbs.</t>
  </si>
  <si>
    <t>E</t>
  </si>
  <si>
    <t>Weight of dried sample, 0.01 lbs.</t>
  </si>
  <si>
    <t>B-D</t>
  </si>
  <si>
    <t>F</t>
  </si>
  <si>
    <t>Percent Moisture, 0.01%</t>
  </si>
  <si>
    <t>(C / E) x 100</t>
  </si>
  <si>
    <t>AGGREGATE CORRECTION FACTOR WEIGHTS BASED ON CONTRACTOR MOISTURES</t>
  </si>
  <si>
    <t>BUCKET VOLUME</t>
  </si>
  <si>
    <t>EXAMPLE  0.249</t>
  </si>
  <si>
    <t>CA#1</t>
  </si>
  <si>
    <t>WEIGHT (lbs)</t>
  </si>
  <si>
    <t>CONCRETE BATCHING</t>
  </si>
  <si>
    <t>Design Batch</t>
  </si>
  <si>
    <t>Target Batch</t>
  </si>
  <si>
    <t>Target</t>
  </si>
  <si>
    <t>Actual</t>
  </si>
  <si>
    <t>Batching</t>
  </si>
  <si>
    <t>Allowable</t>
  </si>
  <si>
    <t>Materials</t>
  </si>
  <si>
    <t>Weights</t>
  </si>
  <si>
    <t>Batch</t>
  </si>
  <si>
    <t>Error</t>
  </si>
  <si>
    <t>(SSD Aggregate)</t>
  </si>
  <si>
    <t>(Moist Aggregates)</t>
  </si>
  <si>
    <t>Size</t>
  </si>
  <si>
    <t>lbs</t>
  </si>
  <si>
    <t>yd³</t>
  </si>
  <si>
    <t>± %</t>
  </si>
  <si>
    <t>Cement</t>
  </si>
  <si>
    <t>±1.49</t>
  </si>
  <si>
    <t>LATEX</t>
  </si>
  <si>
    <t>FA</t>
  </si>
  <si>
    <t>±2.49</t>
  </si>
  <si>
    <t>#11 CS</t>
  </si>
  <si>
    <t>Water</t>
  </si>
  <si>
    <t>Σ</t>
  </si>
  <si>
    <t>Comments on Batching:</t>
  </si>
  <si>
    <t>v1 LMC</t>
  </si>
  <si>
    <t>PLASTIC CONCRETE TEST RESULTS</t>
  </si>
  <si>
    <t>Last Name</t>
  </si>
  <si>
    <t>Plastic Property</t>
  </si>
  <si>
    <t xml:space="preserve">Certifed </t>
  </si>
  <si>
    <t xml:space="preserve">of ACI </t>
  </si>
  <si>
    <t>Qualified</t>
  </si>
  <si>
    <t xml:space="preserve">of INDOT </t>
  </si>
  <si>
    <t>Certified</t>
  </si>
  <si>
    <t>Results</t>
  </si>
  <si>
    <t>Water/Cementious</t>
  </si>
  <si>
    <t>Concrete/Bucket wt.</t>
  </si>
  <si>
    <t>bucket wt.</t>
  </si>
  <si>
    <t>concrete wt</t>
  </si>
  <si>
    <t>Bucket Volume  (example 0.249)</t>
  </si>
  <si>
    <t>Unit Wt. (pcf)</t>
  </si>
  <si>
    <t>Air Content (%)</t>
  </si>
  <si>
    <t>Adjust Air Content %</t>
  </si>
  <si>
    <t>Slump (inches)</t>
  </si>
  <si>
    <t>Relative Yield</t>
  </si>
  <si>
    <t>STRENGTH TEST RESULTS                                                (BREAK SCHEDULE DETERMINED BY SPECIFICATION)</t>
  </si>
  <si>
    <t>Contractor's</t>
  </si>
  <si>
    <t>INDOT Qualified</t>
  </si>
  <si>
    <t>Lab Result</t>
  </si>
  <si>
    <t>of</t>
  </si>
  <si>
    <t>Techician Result</t>
  </si>
  <si>
    <t>Age</t>
  </si>
  <si>
    <t>psi</t>
  </si>
  <si>
    <t>Specimen</t>
  </si>
  <si>
    <t>Average</t>
  </si>
  <si>
    <t>Comments on Test Results:</t>
  </si>
  <si>
    <t xml:space="preserve">INDOT LATEX MODIFIED CONCRETE MIX DESIGN SPREADSHEET </t>
  </si>
  <si>
    <t>MIX PRODUCER</t>
  </si>
  <si>
    <t>Modified Concrete Suppliers</t>
  </si>
  <si>
    <t>CONTRACT NO.</t>
  </si>
  <si>
    <t>PRODUCT ID</t>
  </si>
  <si>
    <t>LMC Type I</t>
  </si>
  <si>
    <t>PRIME CONTRACTOR</t>
  </si>
  <si>
    <t>INDOT CMD NUMBER</t>
  </si>
  <si>
    <t>TRUCK NUMBER</t>
  </si>
  <si>
    <t>INDOT DISTRICT</t>
  </si>
  <si>
    <t>305 Base Patching</t>
  </si>
  <si>
    <t>SPECIFICATION REFERENCE</t>
  </si>
  <si>
    <t>MOBILE MIXER SERIAL #</t>
  </si>
  <si>
    <t>501 QC/QA PCCP</t>
  </si>
  <si>
    <t>502 Standard Strength</t>
  </si>
  <si>
    <t>PLANT LOCATION</t>
  </si>
  <si>
    <t>INDOT CMD NO.</t>
  </si>
  <si>
    <t>SPEC. REFERENCE</t>
  </si>
  <si>
    <t>722 Latex Modified</t>
  </si>
  <si>
    <t>502 High Early Strength</t>
  </si>
  <si>
    <t>INDOT PLANT NUMBER</t>
  </si>
  <si>
    <t>502 High Early Strength Modified</t>
  </si>
  <si>
    <t>Q#</t>
  </si>
  <si>
    <t>SUPPLIER NAME, CAPP NUMBER, CITY AND STATE &amp; SOURCE NUMBER</t>
  </si>
  <si>
    <t>SIZE</t>
  </si>
  <si>
    <t>TYPE</t>
  </si>
  <si>
    <t>QUAL</t>
  </si>
  <si>
    <t>LEDGES</t>
  </si>
  <si>
    <t>506 Full Depth</t>
  </si>
  <si>
    <t>CONTRACT NUMBER</t>
  </si>
  <si>
    <t>506 Partial Depth</t>
  </si>
  <si>
    <t>CONTRACTORS NAME</t>
  </si>
  <si>
    <t>702 Structure Concrete</t>
  </si>
  <si>
    <t>706 Moment Slab</t>
  </si>
  <si>
    <t>AGGREGATE #1 Q#</t>
  </si>
  <si>
    <t>722 Silica Fume Overlay</t>
  </si>
  <si>
    <t>PRODUCER NAME #1</t>
  </si>
  <si>
    <t xml:space="preserve">CEMENT </t>
  </si>
  <si>
    <t>WATER</t>
  </si>
  <si>
    <t>SIZE #1</t>
  </si>
  <si>
    <t xml:space="preserve">W#   </t>
  </si>
  <si>
    <t>MANUFACTURER AND LOCATION</t>
  </si>
  <si>
    <t>DESCRIPTION</t>
  </si>
  <si>
    <t>SOURCE</t>
  </si>
  <si>
    <t>728 Drilled Shaft</t>
  </si>
  <si>
    <t>TYPE #1</t>
  </si>
  <si>
    <t>Fariborn Cement Co.    FAIRBORN, OH</t>
  </si>
  <si>
    <t>QUALITY #1</t>
  </si>
  <si>
    <t>QUALITY</t>
  </si>
  <si>
    <t>LEDGES #1</t>
  </si>
  <si>
    <t>AGGREGATE #2 Q#</t>
  </si>
  <si>
    <r>
      <t xml:space="preserve">LATEX MODIFIERS                                                                                                                                        </t>
    </r>
    <r>
      <rPr>
        <sz val="8"/>
        <rFont val="Arial"/>
        <family val="2"/>
      </rPr>
      <t xml:space="preserve">                                                               </t>
    </r>
    <r>
      <rPr>
        <sz val="7"/>
        <rFont val="Arial"/>
        <family val="2"/>
      </rPr>
      <t xml:space="preserve"> (DROPDOWN LIST CHOOSE FROM PRODUCT NAME)                  </t>
    </r>
  </si>
  <si>
    <t>PRODUCER NAME #2</t>
  </si>
  <si>
    <t>W#</t>
  </si>
  <si>
    <t>MANUFACTURER</t>
  </si>
  <si>
    <t>PRODUCT NAME</t>
  </si>
  <si>
    <t>SIZE #2</t>
  </si>
  <si>
    <t xml:space="preserve"> </t>
  </si>
  <si>
    <t>TYPE #2</t>
  </si>
  <si>
    <t>PRODUCER NAME #3</t>
  </si>
  <si>
    <t>BATCH PARAMETERS</t>
  </si>
  <si>
    <t>Specifications:</t>
  </si>
  <si>
    <t>SIZE #3</t>
  </si>
  <si>
    <t>MATERIAL</t>
  </si>
  <si>
    <t>WEIGHT</t>
  </si>
  <si>
    <t>SP GR or</t>
  </si>
  <si>
    <t xml:space="preserve">AGG. </t>
  </si>
  <si>
    <t>VOLUME</t>
  </si>
  <si>
    <r>
      <t>Cement shall be a min. of 658 lbs/yd</t>
    </r>
    <r>
      <rPr>
        <sz val="10"/>
        <rFont val="Calibri"/>
        <family val="2"/>
      </rPr>
      <t>³</t>
    </r>
  </si>
  <si>
    <t>TYPE #3</t>
  </si>
  <si>
    <t>Bulk (ssd)</t>
  </si>
  <si>
    <t>ABS. %</t>
  </si>
  <si>
    <t>ft³</t>
  </si>
  <si>
    <t>Maximum water cement ratio shall be 0.400</t>
  </si>
  <si>
    <t>QUALITY #3</t>
  </si>
  <si>
    <r>
      <t xml:space="preserve">Slump shall be 5 </t>
    </r>
    <r>
      <rPr>
        <sz val="10"/>
        <rFont val="Calibri"/>
        <family val="2"/>
      </rPr>
      <t>±</t>
    </r>
    <r>
      <rPr>
        <sz val="10"/>
        <rFont val="Arial"/>
        <family val="2"/>
      </rPr>
      <t xml:space="preserve"> 1 inches at 5 min. after discharge</t>
    </r>
  </si>
  <si>
    <t>LEDGES #3</t>
  </si>
  <si>
    <t>CEMENT &amp; POZZOLAN #1 W#</t>
  </si>
  <si>
    <t>MANUFACTURER/LOCATION #1</t>
  </si>
  <si>
    <t>DESCRIPTION #1</t>
  </si>
  <si>
    <r>
      <t>FA shall be 60</t>
    </r>
    <r>
      <rPr>
        <sz val="10"/>
        <rFont val="Calibri"/>
        <family val="2"/>
      </rPr>
      <t>±</t>
    </r>
    <r>
      <rPr>
        <sz val="10"/>
        <rFont val="Arial"/>
        <family val="2"/>
      </rPr>
      <t>5% by dry wt. of total aggregate.</t>
    </r>
  </si>
  <si>
    <t>CEMENT &amp; POZZOLAN #2 W#</t>
  </si>
  <si>
    <t>Air content shall be max. of 6%</t>
  </si>
  <si>
    <t>MANUFACTURER/LOCATION #2</t>
  </si>
  <si>
    <t>SPECIFICATION PARAMETERS</t>
  </si>
  <si>
    <t>AEA</t>
  </si>
  <si>
    <t>DESCRIPTION #2</t>
  </si>
  <si>
    <t>Target W/(C+P), by wt</t>
  </si>
  <si>
    <t>CEMENT &amp; POZZOLAN #3 W#</t>
  </si>
  <si>
    <t>WATER FROM LATEX</t>
  </si>
  <si>
    <t>Target Unit Weight, pcf</t>
  </si>
  <si>
    <t>MANUFACTURER/LOCATION #3</t>
  </si>
  <si>
    <t>FA to total Agg, % by wt</t>
  </si>
  <si>
    <t>DESCRIPTION #3</t>
  </si>
  <si>
    <t>water</t>
  </si>
  <si>
    <t>WATER SOURCE</t>
  </si>
  <si>
    <t>AIR %</t>
  </si>
  <si>
    <t>WATER QUALITY</t>
  </si>
  <si>
    <t>∑</t>
  </si>
  <si>
    <t>ADMIXTURE W# #1</t>
  </si>
  <si>
    <t>Yield Results:</t>
  </si>
  <si>
    <t>Paste Content, % by vol</t>
  </si>
  <si>
    <t>G</t>
  </si>
  <si>
    <t>ADMIXTURE MANUFACTURER #1</t>
  </si>
  <si>
    <t>CaCl₂ Typ L</t>
  </si>
  <si>
    <t>ADMIXTURE PRODUCT NAME #1</t>
  </si>
  <si>
    <t>PRODUCER REPRESENTATIVE:</t>
  </si>
  <si>
    <t>DATE:</t>
  </si>
  <si>
    <t>DISTRICT TEST ENGINEER:</t>
  </si>
  <si>
    <t>DOSAGE RATE (oz/cwt) #1</t>
  </si>
  <si>
    <t>ADMIXTURE W# #2</t>
  </si>
  <si>
    <t>Producer Comments:</t>
  </si>
  <si>
    <t>ADMIXTURE MANUFACTURER #2</t>
  </si>
  <si>
    <t>ADMIXTURE PRODUCT NAME #2</t>
  </si>
  <si>
    <t>ADMIXTURE TYPE #2</t>
  </si>
  <si>
    <t>DTE Notes:</t>
  </si>
  <si>
    <t>ADMIXTURE DOSAGE RANGE #2</t>
  </si>
  <si>
    <t>ADMIXTURE W# #3</t>
  </si>
  <si>
    <t>ADMIXTURE MANUFACTURER #3</t>
  </si>
  <si>
    <t>ADMIXTURE PRODUCT NAME #3</t>
  </si>
  <si>
    <t>v1a.4.30.2026 LMC</t>
  </si>
  <si>
    <t>ADMIXTURE TYPE #3</t>
  </si>
  <si>
    <t>ADMIXTURE DOSAGE RANGE #3</t>
  </si>
  <si>
    <t>ADMIXTURE W# #4</t>
  </si>
  <si>
    <t>ADMIXTURE MANUFACTURER #4</t>
  </si>
  <si>
    <t>ADMIXTURE PRODUCT NAME #4</t>
  </si>
  <si>
    <t>ADMIXTURE TYPE #4</t>
  </si>
  <si>
    <t>ADMIXTURE DOSAGE RANGE #4</t>
  </si>
  <si>
    <t>ADMIXTURE W# #5</t>
  </si>
  <si>
    <t>ADMIXTURE MANUFACTURER #5</t>
  </si>
  <si>
    <t>ADMIXTURE PRODUCT NAME #5</t>
  </si>
  <si>
    <t>ADMIXTURE TYPE #5</t>
  </si>
  <si>
    <t>ADMIXTURE DOSAGE RANGE #5</t>
  </si>
  <si>
    <t>Cement (lbs)</t>
  </si>
  <si>
    <t xml:space="preserve">Cement Specific Gravity </t>
  </si>
  <si>
    <r>
      <t>CEMENT VOLUME ft</t>
    </r>
    <r>
      <rPr>
        <sz val="10"/>
        <rFont val="Calibri"/>
        <family val="2"/>
      </rPr>
      <t>³</t>
    </r>
  </si>
  <si>
    <t>FLY ASH (lbs)</t>
  </si>
  <si>
    <t xml:space="preserve">FLY ASH Specific Gravity </t>
  </si>
  <si>
    <r>
      <t>FLY ASH VOLUME ft</t>
    </r>
    <r>
      <rPr>
        <sz val="10"/>
        <rFont val="Calibri"/>
        <family val="2"/>
      </rPr>
      <t>³</t>
    </r>
  </si>
  <si>
    <t>GGBFS (lbs)</t>
  </si>
  <si>
    <t xml:space="preserve">GGBFS Specific Gravity </t>
  </si>
  <si>
    <r>
      <t>GGBFS VOLUME ft</t>
    </r>
    <r>
      <rPr>
        <sz val="10"/>
        <rFont val="Calibri"/>
        <family val="2"/>
      </rPr>
      <t>³</t>
    </r>
  </si>
  <si>
    <t>SILICA FUME (lbs)</t>
  </si>
  <si>
    <t xml:space="preserve">SILICA FUME Specific Gravity </t>
  </si>
  <si>
    <r>
      <t>SILICA FUME VOLUME ft</t>
    </r>
    <r>
      <rPr>
        <sz val="10"/>
        <rFont val="Calibri"/>
        <family val="2"/>
      </rPr>
      <t>³</t>
    </r>
  </si>
  <si>
    <t>Fiber (lbs)</t>
  </si>
  <si>
    <t xml:space="preserve">Fiber Specific Gravity </t>
  </si>
  <si>
    <r>
      <t>Fiber Volume ft</t>
    </r>
    <r>
      <rPr>
        <sz val="10"/>
        <rFont val="Calibri"/>
        <family val="2"/>
      </rPr>
      <t>³³</t>
    </r>
  </si>
  <si>
    <t>FINE AGGREGATE (lbs)</t>
  </si>
  <si>
    <t>FA SPECIFIC GRAVITY OR BULK ABS</t>
  </si>
  <si>
    <t>FINE AGGREGATE ABSORPTION %</t>
  </si>
  <si>
    <r>
      <t>FINE AGGREGATE VOLUME (ft</t>
    </r>
    <r>
      <rPr>
        <sz val="10"/>
        <rFont val="Calibri"/>
        <family val="2"/>
      </rPr>
      <t>³</t>
    </r>
    <r>
      <rPr>
        <sz val="8.5"/>
        <rFont val="Arial"/>
        <family val="2"/>
      </rPr>
      <t>)</t>
    </r>
  </si>
  <si>
    <t>COARSE AGGREGATE #1 (lbs)</t>
  </si>
  <si>
    <t>CA SPECIFIC GRAVITY OR BULK ABS</t>
  </si>
  <si>
    <t>COARSE AGGREGATE ABSORPTION %</t>
  </si>
  <si>
    <r>
      <t>COARSE AGGREGATE VOLUME (ft</t>
    </r>
    <r>
      <rPr>
        <sz val="10"/>
        <rFont val="Calibri"/>
        <family val="2"/>
      </rPr>
      <t>³</t>
    </r>
    <r>
      <rPr>
        <sz val="8.5"/>
        <rFont val="Arial"/>
        <family val="2"/>
      </rPr>
      <t>)</t>
    </r>
  </si>
  <si>
    <t>COARSE AGGREGATE #2 (lbs)</t>
  </si>
  <si>
    <r>
      <t>COARSE AGGREGATE VOLUME (ft</t>
    </r>
    <r>
      <rPr>
        <sz val="9"/>
        <rFont val="Calibri"/>
        <family val="2"/>
      </rPr>
      <t>³</t>
    </r>
    <r>
      <rPr>
        <sz val="9"/>
        <rFont val="Arial"/>
        <family val="2"/>
      </rPr>
      <t>)</t>
    </r>
  </si>
  <si>
    <t>CACL OR ADMIXTURE WATER (lbs)</t>
  </si>
  <si>
    <t>CACL OR ADMIXTURE WATER  VOLUME %</t>
  </si>
  <si>
    <t>WATER (lbs)</t>
  </si>
  <si>
    <t xml:space="preserve"> WATER  VOLUME %</t>
  </si>
  <si>
    <t>AIR VOLUME %</t>
  </si>
  <si>
    <r>
      <t>TOTAL VOLUME (ft</t>
    </r>
    <r>
      <rPr>
        <sz val="10"/>
        <rFont val="Calibri"/>
        <family val="2"/>
      </rPr>
      <t>³</t>
    </r>
    <r>
      <rPr>
        <sz val="8.5"/>
        <rFont val="Arial"/>
        <family val="2"/>
      </rPr>
      <t>)</t>
    </r>
  </si>
  <si>
    <t>Cement/Fly Ash Ratio, by wt</t>
  </si>
  <si>
    <t>Cement/GGBFS Ratio, by wt</t>
  </si>
  <si>
    <t>Cement Reduction, %</t>
  </si>
  <si>
    <t>Fly Ash Replacement Ratio</t>
  </si>
  <si>
    <t>GGBFS Replacement Ratio</t>
  </si>
  <si>
    <t>Cement Multiplier</t>
  </si>
  <si>
    <t>Fly Ash Addition, %</t>
  </si>
  <si>
    <t>GGBFS Addition, %</t>
  </si>
  <si>
    <t>Silica Fume Content, %</t>
  </si>
  <si>
    <t>FA to total Agg, % by vol</t>
  </si>
  <si>
    <t>Aggregate</t>
  </si>
  <si>
    <t>CA 1</t>
  </si>
  <si>
    <t>CA 2</t>
  </si>
  <si>
    <t>Combined          (by weight)</t>
  </si>
  <si>
    <t>Combined          (by Volume)</t>
  </si>
  <si>
    <t>% of total agg by wt</t>
  </si>
  <si>
    <t>% of total agg by vol</t>
  </si>
  <si>
    <t>Tarantuala</t>
  </si>
  <si>
    <t>Sieve size</t>
  </si>
  <si>
    <t>% Passing</t>
  </si>
  <si>
    <t>Individual % Retained</t>
  </si>
  <si>
    <t>Cumul. % Retained</t>
  </si>
  <si>
    <t>Min</t>
  </si>
  <si>
    <t>Max</t>
  </si>
  <si>
    <t>2"</t>
  </si>
  <si>
    <t>1.5"</t>
  </si>
  <si>
    <t>1"</t>
  </si>
  <si>
    <t>3/4"</t>
  </si>
  <si>
    <t>1/2"</t>
  </si>
  <si>
    <t>3/8"</t>
  </si>
  <si>
    <t>#4</t>
  </si>
  <si>
    <t>#8</t>
  </si>
  <si>
    <t>#16</t>
  </si>
  <si>
    <t>#30</t>
  </si>
  <si>
    <t>#50</t>
  </si>
  <si>
    <t>#100</t>
  </si>
  <si>
    <t>#200</t>
  </si>
  <si>
    <t>Fineness Mod =</t>
  </si>
  <si>
    <t>Fine Sand (#30 - #200)</t>
  </si>
  <si>
    <t>minimum:</t>
  </si>
  <si>
    <t xml:space="preserve">15% (slipformed) </t>
  </si>
  <si>
    <t xml:space="preserve">20% (non-slipformed) </t>
  </si>
  <si>
    <t>Coarse Sand % (#8 - #30)</t>
  </si>
  <si>
    <t>range:</t>
  </si>
  <si>
    <t>24% - 34% (slipformed)</t>
  </si>
  <si>
    <t>25% - 40% (non-slipformed)</t>
  </si>
  <si>
    <t>HIDDEN WORKSHEET TO CALCULATE CMD PARAMETERS</t>
  </si>
  <si>
    <t>lbs cement</t>
  </si>
  <si>
    <t>lbs fly ash</t>
  </si>
  <si>
    <t>lbs Slag Cement</t>
  </si>
  <si>
    <t>lbs silica fume</t>
  </si>
  <si>
    <t>501 Concretes</t>
  </si>
  <si>
    <t>fly ash use</t>
  </si>
  <si>
    <t>Slag Cement use</t>
  </si>
  <si>
    <t>cement / fly ash ratio</t>
  </si>
  <si>
    <t>cement / Slag Cement ratio</t>
  </si>
  <si>
    <t>silica fume use</t>
  </si>
  <si>
    <t>% silica fume</t>
  </si>
  <si>
    <t xml:space="preserve">502 Stand, 702 Class A, </t>
  </si>
  <si>
    <t>706 Slab or SP735Class A</t>
  </si>
  <si>
    <t>Cement Reduction</t>
  </si>
  <si>
    <t>fly ash replace ratio</t>
  </si>
  <si>
    <t>Slag Cement replace ratio</t>
  </si>
  <si>
    <t>502 Hi Early Strength</t>
  </si>
  <si>
    <t>fly ash addition, %</t>
  </si>
  <si>
    <t>Slag Cement addition, %</t>
  </si>
  <si>
    <t>702 Class B or</t>
  </si>
  <si>
    <t>SP 735 Class B</t>
  </si>
  <si>
    <t>fly ash repl. Ratio</t>
  </si>
  <si>
    <t>Slag Cement repl. Ratio</t>
  </si>
  <si>
    <t>702 Class C Concrete</t>
  </si>
  <si>
    <t>Slag Cement  use</t>
  </si>
  <si>
    <t>Slag Cement  replace ratio</t>
  </si>
  <si>
    <t xml:space="preserve">709 Class A or C in </t>
  </si>
  <si>
    <t xml:space="preserve"> lieu of surface seal</t>
  </si>
  <si>
    <t xml:space="preserve">% Slag Cement </t>
  </si>
  <si>
    <t>722 LMC overlay</t>
  </si>
  <si>
    <t>Cement reduction</t>
  </si>
  <si>
    <t>AIR CONTENT</t>
  </si>
  <si>
    <r>
      <t>CaCl</t>
    </r>
    <r>
      <rPr>
        <sz val="10"/>
        <rFont val="Calibri"/>
        <family val="2"/>
      </rPr>
      <t>₂</t>
    </r>
  </si>
  <si>
    <t>012184</t>
  </si>
  <si>
    <t>AGGREGATE INDUSTRIES</t>
  </si>
  <si>
    <t>EDWARDSBURG, MI</t>
  </si>
  <si>
    <t>032207</t>
  </si>
  <si>
    <t>AMERICAN AGGREGATES, INC.</t>
  </si>
  <si>
    <t>NILES, MI</t>
  </si>
  <si>
    <t>982128</t>
  </si>
  <si>
    <t>982111</t>
  </si>
  <si>
    <t>BARRETT PAVING MATERIALS, INC.</t>
  </si>
  <si>
    <t>RICHMOND, IN.</t>
  </si>
  <si>
    <t>982116</t>
  </si>
  <si>
    <t>BEAVER MATERIALS</t>
  </si>
  <si>
    <t>NOBLESVILLE, IN.</t>
  </si>
  <si>
    <t>012195</t>
  </si>
  <si>
    <t>WAVERLY, IN</t>
  </si>
  <si>
    <t>112262</t>
  </si>
  <si>
    <t>BEEMSTERBOER SLAG CORP.</t>
  </si>
  <si>
    <t>HAMMOND, IN</t>
  </si>
  <si>
    <t>082244</t>
  </si>
  <si>
    <t>BEEMSTERBOER-SOUTH SHORE SLAG</t>
  </si>
  <si>
    <t>HAMMOMD, IN</t>
  </si>
  <si>
    <t>092249</t>
  </si>
  <si>
    <t>BROOKFIELD SAND AND GRAVEL</t>
  </si>
  <si>
    <t>ACTON, IN</t>
  </si>
  <si>
    <t>112254</t>
  </si>
  <si>
    <t>BROOKS CONSTRUCTION CO., INC.</t>
  </si>
  <si>
    <t>FORT WAYNE, IN</t>
  </si>
  <si>
    <t>112260</t>
  </si>
  <si>
    <t>BUNNELL, JAMES INC.</t>
  </si>
  <si>
    <t>CLEVES, OHIO</t>
  </si>
  <si>
    <t>992158</t>
  </si>
  <si>
    <t>BUTLER MILL SERVICE</t>
  </si>
  <si>
    <t>BUTLER, IN</t>
  </si>
  <si>
    <t>992164</t>
  </si>
  <si>
    <t>CALDWELL GRAVEL SALES INC.</t>
  </si>
  <si>
    <t>MORRISTOWN, IN</t>
  </si>
  <si>
    <t>982066</t>
  </si>
  <si>
    <t>CAVE QUARRIES, INC.</t>
  </si>
  <si>
    <t>PAOLI, IN.</t>
  </si>
  <si>
    <t>982094</t>
  </si>
  <si>
    <t>CAVE/CALCAR QUARRIES, INC.</t>
  </si>
  <si>
    <t>032210</t>
  </si>
  <si>
    <t>COUNTY LINE SAND AND GRAVEL</t>
  </si>
  <si>
    <t>KOKOMO, IN.</t>
  </si>
  <si>
    <t>132270</t>
  </si>
  <si>
    <t>E. S. WAGNER CO.</t>
  </si>
  <si>
    <t>ORGEON, OH</t>
  </si>
  <si>
    <t>982068</t>
  </si>
  <si>
    <t>ELKHART COUNTY GRAVEL, INC.</t>
  </si>
  <si>
    <t>MILFORD, IN.</t>
  </si>
  <si>
    <t>982071</t>
  </si>
  <si>
    <t>WARSAW, IN.</t>
  </si>
  <si>
    <t>042219</t>
  </si>
  <si>
    <t>ELKHART COUNTY GRAVEL-PLANT 1</t>
  </si>
  <si>
    <t>MIDDLEBURY, IN</t>
  </si>
  <si>
    <t>982112</t>
  </si>
  <si>
    <t>ELKHART COUNTY GRAVEL-PLANT 2</t>
  </si>
  <si>
    <t>MIDDLEBURY, IN.</t>
  </si>
  <si>
    <t>972063</t>
  </si>
  <si>
    <t>ENGINEERING AGGREGATES-PLANT1</t>
  </si>
  <si>
    <t>LOGANSPORT, IN.</t>
  </si>
  <si>
    <t>982093</t>
  </si>
  <si>
    <t>ENGINEERING AGGREGATES-PLANT2</t>
  </si>
  <si>
    <t>LOGANSPORT, IN</t>
  </si>
  <si>
    <t>142271</t>
  </si>
  <si>
    <t>ESHELMAN EXCAVATING</t>
  </si>
  <si>
    <t>KENDALLVILLE, IN</t>
  </si>
  <si>
    <t>972021</t>
  </si>
  <si>
    <t>EVANSVILLE MATERIALS, INC.</t>
  </si>
  <si>
    <t>EVANSVILLE, IN.</t>
  </si>
  <si>
    <t>972031</t>
  </si>
  <si>
    <t>972032</t>
  </si>
  <si>
    <t>972028</t>
  </si>
  <si>
    <t>972029</t>
  </si>
  <si>
    <t>982098</t>
  </si>
  <si>
    <t>042218</t>
  </si>
  <si>
    <t>GIBSON COUNTY SAND AND GRAVEL</t>
  </si>
  <si>
    <t>OWENSVILLE, IN</t>
  </si>
  <si>
    <t>982073</t>
  </si>
  <si>
    <t xml:space="preserve">HANSON AGG MIDWEST </t>
  </si>
  <si>
    <t>SALEM, IN.</t>
  </si>
  <si>
    <t>972038</t>
  </si>
  <si>
    <t>HANSON AGG MIDWEST</t>
  </si>
  <si>
    <t>PUTNAMVILLE, IN</t>
  </si>
  <si>
    <t>982145</t>
  </si>
  <si>
    <t>ANGOLA, IN.</t>
  </si>
  <si>
    <t>962011</t>
  </si>
  <si>
    <t>032208</t>
  </si>
  <si>
    <t>HANSON AGG MIDWEST - AGGROCK</t>
  </si>
  <si>
    <t>SELLERSBURG, IN</t>
  </si>
  <si>
    <t>HANSON AGG MIDWEST - ARDMORE</t>
  </si>
  <si>
    <t>FORT WAYNE, IN.</t>
  </si>
  <si>
    <t>972041</t>
  </si>
  <si>
    <t>972023</t>
  </si>
  <si>
    <t>002179</t>
  </si>
  <si>
    <t>002169</t>
  </si>
  <si>
    <t>982099</t>
  </si>
  <si>
    <t>982143</t>
  </si>
  <si>
    <t>HANSON AGG MIDWEST - ATKINS</t>
  </si>
  <si>
    <t>JEFFERSONVILLE, IN.</t>
  </si>
  <si>
    <t>992157</t>
  </si>
  <si>
    <t>HANSON AGG MIDWEST - MILNER</t>
  </si>
  <si>
    <t>BUNKER HILL, IN</t>
  </si>
  <si>
    <t>982074</t>
  </si>
  <si>
    <t>HANSON AGG MIDWEST - SCOTT CO.</t>
  </si>
  <si>
    <t>BLOCHER, IN.</t>
  </si>
  <si>
    <t>HANSON AGG MIDWEST - WOODBURN 2</t>
  </si>
  <si>
    <t>EDGERTON, IN.</t>
  </si>
  <si>
    <t>012183</t>
  </si>
  <si>
    <t>972022</t>
  </si>
  <si>
    <t>HANSON AGG MIDWEST-COOPERS</t>
  </si>
  <si>
    <t>HANSON AGG MIDWEST-HARDING ST.</t>
  </si>
  <si>
    <t>INDIANAPOLIS, IN.</t>
  </si>
  <si>
    <t>022197</t>
  </si>
  <si>
    <t>972026</t>
  </si>
  <si>
    <t>HANSON AGG. MIDWEST</t>
  </si>
  <si>
    <t>NORTH VERNON, IN.</t>
  </si>
  <si>
    <t>982079</t>
  </si>
  <si>
    <t>VERSAILLES, IN.</t>
  </si>
  <si>
    <t>972017</t>
  </si>
  <si>
    <t>HAYDEN, IN.</t>
  </si>
  <si>
    <t>002178</t>
  </si>
  <si>
    <t>HANSON-MATERIAL SERVICE</t>
  </si>
  <si>
    <t>MONON, IN</t>
  </si>
  <si>
    <t>022198</t>
  </si>
  <si>
    <t>FRANCESVILLE, IN.</t>
  </si>
  <si>
    <t>982104</t>
  </si>
  <si>
    <t>THORNTON, IL</t>
  </si>
  <si>
    <t>072240</t>
  </si>
  <si>
    <t>HARRISON SAND AND GRAVEL CO.</t>
  </si>
  <si>
    <t>METAMORA, IN.</t>
  </si>
  <si>
    <t>072033</t>
  </si>
  <si>
    <t>982123</t>
  </si>
  <si>
    <t>2514</t>
  </si>
  <si>
    <t>NEW TRENTON, IN.</t>
  </si>
  <si>
    <t>992155</t>
  </si>
  <si>
    <t>HASTIE MINING AND TRUCKING</t>
  </si>
  <si>
    <t>CAVE-IN-ROCK, IL.</t>
  </si>
  <si>
    <t>082085</t>
  </si>
  <si>
    <t>HAYNES SAND AND GRAVEL</t>
  </si>
  <si>
    <t>FT. WAYNE, IN</t>
  </si>
  <si>
    <t>052224</t>
  </si>
  <si>
    <t>HECKETT/MULTISERV</t>
  </si>
  <si>
    <t>GHENT, KY</t>
  </si>
  <si>
    <t>112258</t>
  </si>
  <si>
    <t>HERITAGE AGGREGATE</t>
  </si>
  <si>
    <t>SPRINGVILLE, IN.</t>
  </si>
  <si>
    <t>052221</t>
  </si>
  <si>
    <t>IMI - NEW GREENWOOD</t>
  </si>
  <si>
    <t>GREENWOOD, IN</t>
  </si>
  <si>
    <t>162280</t>
  </si>
  <si>
    <t>INDIAN CREEK QUARRIES, LLC</t>
  </si>
  <si>
    <t>WILLIAMS, IN</t>
  </si>
  <si>
    <t>982134</t>
  </si>
  <si>
    <t>INTERSTATE SAND AND GRAVEL CO.</t>
  </si>
  <si>
    <t>WILLAMSPORT, IN</t>
  </si>
  <si>
    <t>972062</t>
  </si>
  <si>
    <t>962014</t>
  </si>
  <si>
    <t>IRVING BROTHERS GRAVEL CO.</t>
  </si>
  <si>
    <t>GAS CITY, IN.</t>
  </si>
  <si>
    <t xml:space="preserve">IRVING GRAVEL CO </t>
  </si>
  <si>
    <t>LIGONIER, IN</t>
  </si>
  <si>
    <t>062227</t>
  </si>
  <si>
    <t>IRVING GRAVEL CO</t>
  </si>
  <si>
    <t>KENDALLVILLE, IN.</t>
  </si>
  <si>
    <t>972024</t>
  </si>
  <si>
    <t>IRVING GRAVEL CO - HENSHEN PIT</t>
  </si>
  <si>
    <t>SOUTH MILFORD, IN.</t>
  </si>
  <si>
    <t>992165</t>
  </si>
  <si>
    <t xml:space="preserve">IRVING GRAVEL CO. </t>
  </si>
  <si>
    <t>ANGOLA, IN</t>
  </si>
  <si>
    <t>IRVING GRAVEL CO. - MARTIN PIT</t>
  </si>
  <si>
    <t>AUBURN, IN.</t>
  </si>
  <si>
    <t>112256</t>
  </si>
  <si>
    <t>0063</t>
  </si>
  <si>
    <t>IRVING MATERIALS - FALL CREEK</t>
  </si>
  <si>
    <t>FORTVILLE, IN</t>
  </si>
  <si>
    <t>982067</t>
  </si>
  <si>
    <t>IRVING MATERIALS INC</t>
  </si>
  <si>
    <t>MUNCIE, IN.</t>
  </si>
  <si>
    <t>982115</t>
  </si>
  <si>
    <t>BROWNSTOWN, IN.</t>
  </si>
  <si>
    <t>952004</t>
  </si>
  <si>
    <t>IRVING MATERIALS INC.-STONEY CREEK</t>
  </si>
  <si>
    <t>952001</t>
  </si>
  <si>
    <t>IRVING MATERIALS, INC</t>
  </si>
  <si>
    <t>HUNTINGTON, IN.</t>
  </si>
  <si>
    <t>972027</t>
  </si>
  <si>
    <t>IRVING MATERIALS, INC.</t>
  </si>
  <si>
    <t>PERU, IN.</t>
  </si>
  <si>
    <t>PLYMOUTH, IN.</t>
  </si>
  <si>
    <t>SWAYZEE, IN.</t>
  </si>
  <si>
    <t>952008</t>
  </si>
  <si>
    <t>BLUFFTON, IN.</t>
  </si>
  <si>
    <t>972065</t>
  </si>
  <si>
    <t>ANDERSON, IN</t>
  </si>
  <si>
    <t>982113</t>
  </si>
  <si>
    <t>MC CORDSVILLE, IN.</t>
  </si>
  <si>
    <t>982130</t>
  </si>
  <si>
    <t>CAMBRIDGE CITY, IN.</t>
  </si>
  <si>
    <t>982132</t>
  </si>
  <si>
    <t>CONNERSVILLE, IN.</t>
  </si>
  <si>
    <t>982089</t>
  </si>
  <si>
    <t>NEW CASTLE, IN</t>
  </si>
  <si>
    <t>982075</t>
  </si>
  <si>
    <t>PENDLETON, IN.</t>
  </si>
  <si>
    <t>962009</t>
  </si>
  <si>
    <t>952005</t>
  </si>
  <si>
    <t>MONTPELIER, IN.</t>
  </si>
  <si>
    <t>982107</t>
  </si>
  <si>
    <t>982095</t>
  </si>
  <si>
    <t>972040</t>
  </si>
  <si>
    <t>SELLERSBURG, IN.</t>
  </si>
  <si>
    <t>982117</t>
  </si>
  <si>
    <t>WALESBORO, IN</t>
  </si>
  <si>
    <t>982127</t>
  </si>
  <si>
    <t>CORYDON, IN.</t>
  </si>
  <si>
    <t>072236</t>
  </si>
  <si>
    <t>JOHNSON CONSTRUCTION MATERIALS</t>
  </si>
  <si>
    <t>NEW WASHINGTON, IN</t>
  </si>
  <si>
    <t>JONES AND SONS - STAR POINT</t>
  </si>
  <si>
    <t>VINCENNES, IN</t>
  </si>
  <si>
    <t>002175</t>
  </si>
  <si>
    <t>972056</t>
  </si>
  <si>
    <t>KNOX COUNTY SAND AND GRAVEL</t>
  </si>
  <si>
    <t>VINCENNES, IN.</t>
  </si>
  <si>
    <t>042220</t>
  </si>
  <si>
    <t>KOKOMO GRAVEL, INC.</t>
  </si>
  <si>
    <t>PERU, IN</t>
  </si>
  <si>
    <t>152276</t>
  </si>
  <si>
    <t>0106</t>
  </si>
  <si>
    <t>LANDMARK MATERIALS, LLC</t>
  </si>
  <si>
    <t>WALKERTON, IN</t>
  </si>
  <si>
    <t>LEESBURG SAND AND GRAVEL</t>
  </si>
  <si>
    <t>LEESBURG, IN.</t>
  </si>
  <si>
    <t>012192</t>
  </si>
  <si>
    <t>LINCOLN PARK STONE</t>
  </si>
  <si>
    <t>992159</t>
  </si>
  <si>
    <t>982147</t>
  </si>
  <si>
    <t>052222</t>
  </si>
  <si>
    <t>GOSPORT, IN</t>
  </si>
  <si>
    <t>112261</t>
  </si>
  <si>
    <t xml:space="preserve">LITER'S QUARRY </t>
  </si>
  <si>
    <t>LOCKPORT, KY</t>
  </si>
  <si>
    <t>172284</t>
  </si>
  <si>
    <t>0120</t>
  </si>
  <si>
    <t>M &amp; H PRODUCTS</t>
  </si>
  <si>
    <t>LAFAYETTE, IN</t>
  </si>
  <si>
    <t>182286</t>
  </si>
  <si>
    <t>0128</t>
  </si>
  <si>
    <t>982078</t>
  </si>
  <si>
    <t xml:space="preserve">MARTIN MARIETTA </t>
  </si>
  <si>
    <t>CLOVERDALE, IN.</t>
  </si>
  <si>
    <t>022200</t>
  </si>
  <si>
    <t>ROSS, OH.</t>
  </si>
  <si>
    <t>962012</t>
  </si>
  <si>
    <t>MARTIN MARIETTA</t>
  </si>
  <si>
    <t>NOBLESVILLE, IN</t>
  </si>
  <si>
    <t>972064</t>
  </si>
  <si>
    <t>982072</t>
  </si>
  <si>
    <t>972049</t>
  </si>
  <si>
    <t>WAVERLY, IN.</t>
  </si>
  <si>
    <t>092152</t>
  </si>
  <si>
    <t>RUSSIAVILLE, IN</t>
  </si>
  <si>
    <t>962010</t>
  </si>
  <si>
    <t>MARTIN MARIETTA - 96TH STREET</t>
  </si>
  <si>
    <t>MARTIN MARIETTA - KENTUCKY AVE</t>
  </si>
  <si>
    <t>982083</t>
  </si>
  <si>
    <t>MARTIN MARIETTA - RIVER RD</t>
  </si>
  <si>
    <t>CARMEL, IN.</t>
  </si>
  <si>
    <t>972044</t>
  </si>
  <si>
    <t>MARTIN MARIETTA-BELMONT</t>
  </si>
  <si>
    <t>982139</t>
  </si>
  <si>
    <t>MARTIN MARIETTA-E-TOWN S AND G</t>
  </si>
  <si>
    <t>HARRISON, OH</t>
  </si>
  <si>
    <t>062234</t>
  </si>
  <si>
    <t>MICHIANA AGGREGATE, INC.</t>
  </si>
  <si>
    <t>092250</t>
  </si>
  <si>
    <t>0056</t>
  </si>
  <si>
    <t>MILESTONE PLANT 43</t>
  </si>
  <si>
    <t>CRAWFORDSVILLE, IN</t>
  </si>
  <si>
    <t>992167</t>
  </si>
  <si>
    <t>MOOSE LAKE AGGREGATE</t>
  </si>
  <si>
    <t>062231</t>
  </si>
  <si>
    <t>MULTISERV STEEL DYNAMICS</t>
  </si>
  <si>
    <t>PITTSBORO, IN</t>
  </si>
  <si>
    <t>MULZER - EVANSVILLE IN</t>
  </si>
  <si>
    <t>CAPE SANDY, IN.</t>
  </si>
  <si>
    <t>982110</t>
  </si>
  <si>
    <t>MULZER - LEAVENWORTH IN</t>
  </si>
  <si>
    <t>MULZER - NEWBURGH IN</t>
  </si>
  <si>
    <t>MULZER - TELL CITY IN</t>
  </si>
  <si>
    <t>MULZER (EVANSVILLE MATERIALS)</t>
  </si>
  <si>
    <t>982108</t>
  </si>
  <si>
    <t xml:space="preserve">MULZER CRUSHED STONE </t>
  </si>
  <si>
    <t>ABYDEL, IN</t>
  </si>
  <si>
    <t>972052</t>
  </si>
  <si>
    <t>MULZER CRUSHED STONE</t>
  </si>
  <si>
    <t>CHARLESTOWN, IN.</t>
  </si>
  <si>
    <t>GRIFFIN, IN.</t>
  </si>
  <si>
    <t>972020</t>
  </si>
  <si>
    <t>NEW AMSTERDAM, IN</t>
  </si>
  <si>
    <t>MULZER CRUSHED STONE CO.</t>
  </si>
  <si>
    <t>LEAVENWORTH, IN.</t>
  </si>
  <si>
    <t>982084</t>
  </si>
  <si>
    <t>ENGLISH, IN.</t>
  </si>
  <si>
    <t>MULZER CRUSHED STONE I-164 PIT</t>
  </si>
  <si>
    <t>972058</t>
  </si>
  <si>
    <t>MULZER- MT. VERNON IN</t>
  </si>
  <si>
    <t>MULZER- ROCKPORT IN</t>
  </si>
  <si>
    <t>982126</t>
  </si>
  <si>
    <t>NEW POINT STONE - HARRIS CITY</t>
  </si>
  <si>
    <t>GREENSBURG, IN.</t>
  </si>
  <si>
    <t>982121</t>
  </si>
  <si>
    <t xml:space="preserve">NEW POINT STONE CO </t>
  </si>
  <si>
    <t>ST. PAUL, IN.</t>
  </si>
  <si>
    <t>992162</t>
  </si>
  <si>
    <t>NEW POINT STONE CO - NAPOLEON</t>
  </si>
  <si>
    <t>BATESVILLE, IN</t>
  </si>
  <si>
    <t>952002</t>
  </si>
  <si>
    <t>NEW POINT STONE CO - NEW POINT</t>
  </si>
  <si>
    <t>GREENSBURG, IN</t>
  </si>
  <si>
    <t>972033</t>
  </si>
  <si>
    <t>NEW POINT STONE CO-DERBYSHIRE</t>
  </si>
  <si>
    <t>LAUREL, IN.</t>
  </si>
  <si>
    <t>072237</t>
  </si>
  <si>
    <t>NIBLOCK EXCAVATING AND ASPHALT</t>
  </si>
  <si>
    <t>KIMMEL, IN</t>
  </si>
  <si>
    <t>982101</t>
  </si>
  <si>
    <t>NIBLOCK EXCAVATING INC</t>
  </si>
  <si>
    <t>BRISTOL, IN.</t>
  </si>
  <si>
    <t>092246</t>
  </si>
  <si>
    <t>0041</t>
  </si>
  <si>
    <t>NORTH AMERICAN LIME-243 QUARRY</t>
  </si>
  <si>
    <t>CLOVERDALE, IN</t>
  </si>
  <si>
    <t>162282</t>
  </si>
  <si>
    <t>NORTHERN KENTUCKY AGGREGATES</t>
  </si>
  <si>
    <t>PETERSBURG, KY</t>
  </si>
  <si>
    <t>982138</t>
  </si>
  <si>
    <t>NUGENT SAND COMPANY</t>
  </si>
  <si>
    <t>MILTON, KY.</t>
  </si>
  <si>
    <t>982070</t>
  </si>
  <si>
    <t>LOUISVILLE, KY.</t>
  </si>
  <si>
    <t>972043</t>
  </si>
  <si>
    <t>COLUMBUS, IN.</t>
  </si>
  <si>
    <t>042214</t>
  </si>
  <si>
    <t>OLD PRAIRIE PRODUCTS, INC.</t>
  </si>
  <si>
    <t>992153</t>
  </si>
  <si>
    <t>FT. WAYNE, IN.</t>
  </si>
  <si>
    <t>092248</t>
  </si>
  <si>
    <t>0045</t>
  </si>
  <si>
    <t>PHOENIX SERVICES, LLC</t>
  </si>
  <si>
    <t>PORTAGE, IN.</t>
  </si>
  <si>
    <t>982097</t>
  </si>
  <si>
    <t>952003</t>
  </si>
  <si>
    <t>982103</t>
  </si>
  <si>
    <t>EAST CHICAGO, IN.</t>
  </si>
  <si>
    <t>102253</t>
  </si>
  <si>
    <t>UNIONVILLE, PA</t>
  </si>
  <si>
    <t>062229</t>
  </si>
  <si>
    <t>PRAIRIE MATERIALS, INC.</t>
  </si>
  <si>
    <t>PAXTON, IL</t>
  </si>
  <si>
    <t>172283</t>
  </si>
  <si>
    <t>PRO-AGR INC.</t>
  </si>
  <si>
    <t>CAYUGA, IN.</t>
  </si>
  <si>
    <t>992149</t>
  </si>
  <si>
    <t>PURDY MATERIALS</t>
  </si>
  <si>
    <t>072238</t>
  </si>
  <si>
    <t>PURDY MATERIALS INC.</t>
  </si>
  <si>
    <t>172285</t>
  </si>
  <si>
    <t>0091</t>
  </si>
  <si>
    <t>R. SMITH and SONS</t>
  </si>
  <si>
    <t>ALLEGAN, MI</t>
  </si>
  <si>
    <t>132267</t>
  </si>
  <si>
    <t>RIETH RILEY CONSTRUCTION CO.</t>
  </si>
  <si>
    <t>SOUTH BEND, IN</t>
  </si>
  <si>
    <t>012185</t>
  </si>
  <si>
    <t>RIETH RILEY MATERIALS</t>
  </si>
  <si>
    <t>MOORESVILLE, IN</t>
  </si>
  <si>
    <t>042272</t>
  </si>
  <si>
    <t>RIETH-RILEY CONSTRUCTION CO.,</t>
  </si>
  <si>
    <t>GARY, IN</t>
  </si>
  <si>
    <t>122264</t>
  </si>
  <si>
    <t>ROBERTSON CRUSHED STONE</t>
  </si>
  <si>
    <t>MILLTOWN, IN.</t>
  </si>
  <si>
    <t>052225</t>
  </si>
  <si>
    <t>ROCK BOTTOM GRAVEL PRODUCTS</t>
  </si>
  <si>
    <t>PLEASANT LAKE, IN</t>
  </si>
  <si>
    <t>142273</t>
  </si>
  <si>
    <t>0021</t>
  </si>
  <si>
    <t>ROCK CREEK STONE QUARRY</t>
  </si>
  <si>
    <t>BLUFFTON, IN</t>
  </si>
  <si>
    <t>972050</t>
  </si>
  <si>
    <t xml:space="preserve">ROGERS GROUP </t>
  </si>
  <si>
    <t>BLOOMINGTON, IN.</t>
  </si>
  <si>
    <t>972060</t>
  </si>
  <si>
    <t>ROGERS GROUP</t>
  </si>
  <si>
    <t>KENTLAND, IN.</t>
  </si>
  <si>
    <t>972030</t>
  </si>
  <si>
    <t>972016</t>
  </si>
  <si>
    <t>MITCHELL, IN.</t>
  </si>
  <si>
    <t>132269</t>
  </si>
  <si>
    <t>ROGERS GROUP INC. JEFF.CO. ST.</t>
  </si>
  <si>
    <t>112257</t>
  </si>
  <si>
    <t>ROGERS GROUP, INC - VICTOR</t>
  </si>
  <si>
    <t>BLOOMINGTON, IN</t>
  </si>
  <si>
    <t>ROGERS GROUP-MORGAN CO.</t>
  </si>
  <si>
    <t>MARTINSVILLE, IN.</t>
  </si>
  <si>
    <t>022204</t>
  </si>
  <si>
    <t>ROGERS GROUP-OLDHAM CO. STONE</t>
  </si>
  <si>
    <t>CRESTWOOD, KY.</t>
  </si>
  <si>
    <t>992161</t>
  </si>
  <si>
    <t>ROSKOVENSKY CONCRETE AND GRAV.</t>
  </si>
  <si>
    <t>CLINTON, IN.</t>
  </si>
  <si>
    <t>062230</t>
  </si>
  <si>
    <t>RUSH COUNTY STONE COMPANY</t>
  </si>
  <si>
    <t>MILROY, IN.</t>
  </si>
  <si>
    <t>S AND G EXC. - MORRIS/LOMBARDI</t>
  </si>
  <si>
    <t>TERRE HAUTE, IN.</t>
  </si>
  <si>
    <t>S AND G EXCAVATING</t>
  </si>
  <si>
    <t>MONTEZUMA, IN.</t>
  </si>
  <si>
    <t>012186</t>
  </si>
  <si>
    <t>SAGAMORE SAND AND GRAVEL</t>
  </si>
  <si>
    <t>DALEVILLE, IN</t>
  </si>
  <si>
    <t>132266</t>
  </si>
  <si>
    <t>0086</t>
  </si>
  <si>
    <t>SandG EXCAVATING, INC./KERNS PIT</t>
  </si>
  <si>
    <t>TERRE HAUTE, IN</t>
  </si>
  <si>
    <t>012194</t>
  </si>
  <si>
    <t>SEGAL SAND AND GRAVEL</t>
  </si>
  <si>
    <t>DELPHI, IN.</t>
  </si>
  <si>
    <t>982114</t>
  </si>
  <si>
    <t>SHELBY MATERIALS</t>
  </si>
  <si>
    <t>SHELBYVILLE, IN</t>
  </si>
  <si>
    <t>982122</t>
  </si>
  <si>
    <t>EDINBURG, IN.</t>
  </si>
  <si>
    <t>162278</t>
  </si>
  <si>
    <t>0057</t>
  </si>
  <si>
    <t>SOUTH LAKE STONE</t>
  </si>
  <si>
    <t>HEBRON, IN</t>
  </si>
  <si>
    <t>972046</t>
  </si>
  <si>
    <t>SPEEDWAY SAND AND GRAVEL, INC</t>
  </si>
  <si>
    <t>DISKO, IN.</t>
  </si>
  <si>
    <t>162279</t>
  </si>
  <si>
    <t>0112</t>
  </si>
  <si>
    <t>SPEEDWAY SAND AND GRAVEL, INC.</t>
  </si>
  <si>
    <t>972047</t>
  </si>
  <si>
    <t>SOUTH WHITLEY, IN.</t>
  </si>
  <si>
    <t>062228</t>
  </si>
  <si>
    <t>972015</t>
  </si>
  <si>
    <t>SPRAY SAND AND GRAVEL</t>
  </si>
  <si>
    <t>SEYMOUR, IN.</t>
  </si>
  <si>
    <t>STAFFORD GRAVEL, INC.</t>
  </si>
  <si>
    <t>982091</t>
  </si>
  <si>
    <t>STOCKBERGER TRUCKING, INC</t>
  </si>
  <si>
    <t>PLYMOUTH, IN</t>
  </si>
  <si>
    <t>982085</t>
  </si>
  <si>
    <t>STONE STREET QUARRIES, INC</t>
  </si>
  <si>
    <t>POE, IN.</t>
  </si>
  <si>
    <t>122265</t>
  </si>
  <si>
    <t>STONECO, CELINA DIVISION</t>
  </si>
  <si>
    <t>CELINA, OH.</t>
  </si>
  <si>
    <t>982131</t>
  </si>
  <si>
    <t>U. S. AGGREGATES - PLEAS MILLS</t>
  </si>
  <si>
    <t>DECATUR, IN.</t>
  </si>
  <si>
    <t>022201</t>
  </si>
  <si>
    <t>U. S. AGGREGATES INC</t>
  </si>
  <si>
    <t>LINN GROVE, IN.</t>
  </si>
  <si>
    <t>002168</t>
  </si>
  <si>
    <t>LOWELL, IN.</t>
  </si>
  <si>
    <t>002181</t>
  </si>
  <si>
    <t>U.S AGGREGATES INC.</t>
  </si>
  <si>
    <t>MONON, IN.</t>
  </si>
  <si>
    <t>972034</t>
  </si>
  <si>
    <t>972054</t>
  </si>
  <si>
    <t>972053</t>
  </si>
  <si>
    <t>972042</t>
  </si>
  <si>
    <t>U.S. AGG.INC,-DELPHI LIMESTONE</t>
  </si>
  <si>
    <t>022203</t>
  </si>
  <si>
    <t>012196</t>
  </si>
  <si>
    <t>U.S. AGGREGATES - WAVERY</t>
  </si>
  <si>
    <t>U.S. AGGREGATES- THRELKELD PIT</t>
  </si>
  <si>
    <t>THORNTOWN, IN</t>
  </si>
  <si>
    <t>062233</t>
  </si>
  <si>
    <t>U.S. AGGREGATES, INC</t>
  </si>
  <si>
    <t>PERKINSVILLE, IN</t>
  </si>
  <si>
    <t>U.S. AGGREGATES, INC.</t>
  </si>
  <si>
    <t>162281</t>
  </si>
  <si>
    <t>THORNTOWN, IN.</t>
  </si>
  <si>
    <t>982109</t>
  </si>
  <si>
    <t>962013</t>
  </si>
  <si>
    <t>PORTLAND, IN.</t>
  </si>
  <si>
    <t>982124</t>
  </si>
  <si>
    <t>RIDGEVILLE, IN.</t>
  </si>
  <si>
    <t>972045</t>
  </si>
  <si>
    <t>972018</t>
  </si>
  <si>
    <t>U.S. AGGREGATES, INC. - CAVE</t>
  </si>
  <si>
    <t>FLAT ROCK, IN.</t>
  </si>
  <si>
    <t>U.S.AGGREGATES INC-SWISHER RD</t>
  </si>
  <si>
    <t>BATTLEGROUND, IN</t>
  </si>
  <si>
    <t>UNKNOWN SOURCE</t>
  </si>
  <si>
    <t>142274</t>
  </si>
  <si>
    <t>0097</t>
  </si>
  <si>
    <t xml:space="preserve">VCNA PRAIRIE AGGREGATE </t>
  </si>
  <si>
    <t>LOWELL, IN</t>
  </si>
  <si>
    <t>022199</t>
  </si>
  <si>
    <t>VCNA PRAIRIE AGGREGATE, IN,INC</t>
  </si>
  <si>
    <t>BLOOMFIELD, IN</t>
  </si>
  <si>
    <t>032206</t>
  </si>
  <si>
    <t>982136</t>
  </si>
  <si>
    <t>VULCAN MATERIALS</t>
  </si>
  <si>
    <t>KANKAKEE, ILL.</t>
  </si>
  <si>
    <t>072242</t>
  </si>
  <si>
    <t>VULCAN MATERIALS CO HARRISON</t>
  </si>
  <si>
    <t>092247</t>
  </si>
  <si>
    <t>WABASH SAND AND GRAVEL</t>
  </si>
  <si>
    <t>WILLIAMSPORT, IN.</t>
  </si>
  <si>
    <t>062235</t>
  </si>
  <si>
    <t>WARD STONE, LLC</t>
  </si>
  <si>
    <t>FLAT ROCK, IN</t>
  </si>
  <si>
    <t>032211</t>
  </si>
  <si>
    <t>WATSON GRAVEL INC - PLANT #2</t>
  </si>
  <si>
    <t>HARRISON, OH.</t>
  </si>
  <si>
    <t>122263</t>
  </si>
  <si>
    <t>0077</t>
  </si>
  <si>
    <t>WEST PLAINS MINING/KENTNER CRE</t>
  </si>
  <si>
    <t>WABASH, IN</t>
  </si>
  <si>
    <t>012191</t>
  </si>
  <si>
    <t>WHITE RIVER GRAVEL CO., INC.</t>
  </si>
  <si>
    <t>982119</t>
  </si>
  <si>
    <t>WHITESVILLE MILL SERVICE</t>
  </si>
  <si>
    <t>972059</t>
  </si>
  <si>
    <t>WILHELM GRAVEL, CO. INC.</t>
  </si>
  <si>
    <t>WATERLOO, IN.</t>
  </si>
  <si>
    <t>082245</t>
  </si>
  <si>
    <t>YAGER MATERIALS, INC.</t>
  </si>
  <si>
    <t>OWENSBORO, KY.</t>
  </si>
  <si>
    <t>062226</t>
  </si>
  <si>
    <t>YELLOW CREEK GRAVEL SERVICES</t>
  </si>
  <si>
    <t>GOSHEN, IN</t>
  </si>
  <si>
    <t>W028362</t>
  </si>
  <si>
    <t>ALPENA, MI</t>
  </si>
  <si>
    <t xml:space="preserve">Amrize </t>
  </si>
  <si>
    <t>W098352</t>
  </si>
  <si>
    <t xml:space="preserve">BLOOMSDALE, MO </t>
  </si>
  <si>
    <t>Amrize - St. Genevieve Plant</t>
  </si>
  <si>
    <t>W028365</t>
  </si>
  <si>
    <t>JOPPA, IL</t>
  </si>
  <si>
    <t>Amrize</t>
  </si>
  <si>
    <t>W028366</t>
  </si>
  <si>
    <t>PAULDING, OH</t>
  </si>
  <si>
    <t>W238505</t>
  </si>
  <si>
    <t>NGHE AN PROVINCE, VIETNAM</t>
  </si>
  <si>
    <t>Atlantic Sunshine, LLC-Song Lam Plant</t>
  </si>
  <si>
    <t>W248300</t>
  </si>
  <si>
    <t>HA NAM PROVINCE, VIETNAM</t>
  </si>
  <si>
    <t>Atlantic Sunshine, LLC-Xaun Thane Plant</t>
  </si>
  <si>
    <t>W048352</t>
  </si>
  <si>
    <t>CHATTANOOGA, TN</t>
  </si>
  <si>
    <t>Buzzi Unicem Sales Co.</t>
  </si>
  <si>
    <t>W028369</t>
  </si>
  <si>
    <t>GREENCASTLE, IN</t>
  </si>
  <si>
    <t>W028371</t>
  </si>
  <si>
    <t>FESTUS, MO</t>
  </si>
  <si>
    <t>W088301</t>
  </si>
  <si>
    <t>FAIRBORN, OH</t>
  </si>
  <si>
    <t xml:space="preserve">Fariborn Cement Co. </t>
  </si>
  <si>
    <t>W028354</t>
  </si>
  <si>
    <t>Heidelberg Materials NA</t>
  </si>
  <si>
    <t>W028367</t>
  </si>
  <si>
    <t>MITCHELL, IN</t>
  </si>
  <si>
    <t>W028355</t>
  </si>
  <si>
    <t>SPEED, IN</t>
  </si>
  <si>
    <t>Heidelberg Materials NA - Terminal &amp; Grinding Facility Only</t>
  </si>
  <si>
    <t>W238302</t>
  </si>
  <si>
    <t>MSILA, ALGERIA</t>
  </si>
  <si>
    <t>Hollingshead Cement LLC - Msila Plant</t>
  </si>
  <si>
    <t>W078371</t>
  </si>
  <si>
    <t>LASALLE, IL</t>
  </si>
  <si>
    <t>Illinois Cement Company</t>
  </si>
  <si>
    <t>W028374</t>
  </si>
  <si>
    <t>KOSMOSDALE, KY</t>
  </si>
  <si>
    <t>Kosmos Cement Co.</t>
  </si>
  <si>
    <t>W248302</t>
  </si>
  <si>
    <t>THANH HOA PROVINCE, VIETNAM</t>
  </si>
  <si>
    <t>Ozinga Cement - Long Son Cement Plant</t>
  </si>
  <si>
    <t>W028350</t>
  </si>
  <si>
    <t>DETROIT, MI</t>
  </si>
  <si>
    <t>St. Marys Cement Co,</t>
  </si>
  <si>
    <t>W048350</t>
  </si>
  <si>
    <t>ONTARIO, CANADA</t>
  </si>
  <si>
    <t>W028390</t>
  </si>
  <si>
    <t>CHARLEVOIX, MI</t>
  </si>
  <si>
    <t>W098350</t>
  </si>
  <si>
    <t>W248350</t>
  </si>
  <si>
    <t>MERSIN, TURKEY</t>
  </si>
  <si>
    <t>Silvi Cement  - Medcem Cement Plant</t>
  </si>
  <si>
    <t>W088302</t>
  </si>
  <si>
    <t>HANNIBAL, MO</t>
  </si>
  <si>
    <t>Quikrete Cement</t>
  </si>
  <si>
    <t>W118350</t>
  </si>
  <si>
    <t>MARTINSBURG, WV</t>
  </si>
  <si>
    <t>W068357</t>
  </si>
  <si>
    <t>ROBERTA, AL</t>
  </si>
  <si>
    <t>---LATEX MODIFIERS---</t>
  </si>
  <si>
    <t>MODIFIER A/NA</t>
  </si>
  <si>
    <t>8403</t>
  </si>
  <si>
    <t>TRINSEO LLC</t>
  </si>
  <si>
    <t>STYROFAN 1186</t>
  </si>
  <si>
    <t>8275</t>
  </si>
  <si>
    <t>BASF CORP</t>
  </si>
  <si>
    <t>CONTRACT APPROVAL LOG FOR CONCRETE MIX DESIGN</t>
  </si>
  <si>
    <t>Concrete Producer Name</t>
  </si>
  <si>
    <t>INDOT Plant Number</t>
  </si>
  <si>
    <t>Spec. Reference</t>
  </si>
  <si>
    <t>Cement Content</t>
  </si>
  <si>
    <t>Pozzolan Content</t>
  </si>
  <si>
    <t>See appropriate CMDS or CMDP Worksheet for specific materials and proportioning parameters relevant to the concrete mix design</t>
  </si>
  <si>
    <t xml:space="preserve">Approved concrete mix design may only be used for the specific contract indicated on the appropriate line. </t>
  </si>
  <si>
    <t xml:space="preserve">Approval of the concrete mix design will occur when the DTE signs and dates the line corresponding to the contract.  </t>
  </si>
  <si>
    <t>Contractor Name</t>
  </si>
  <si>
    <t>Submittal</t>
  </si>
  <si>
    <t>Contract</t>
  </si>
  <si>
    <t xml:space="preserve">Date District </t>
  </si>
  <si>
    <t>Comments</t>
  </si>
  <si>
    <t>Number</t>
  </si>
  <si>
    <t>CMD Number</t>
  </si>
  <si>
    <t>W/CM</t>
  </si>
  <si>
    <t>UW %</t>
  </si>
  <si>
    <t>Forwarded to OMM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</si>
</sst>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00"/>
    <numFmt numFmtId="165" formatCode="0.0"/>
    <numFmt numFmtId="166" formatCode="0.0000"/>
    <numFmt numFmtId="167" formatCode="0.0%"/>
    <numFmt numFmtId="168" formatCode="mm/dd/yy;@"/>
    <numFmt numFmtId="169" formatCode="0_);[Red]\(0\)"/>
    <numFmt numFmtId="170" formatCode="_(* #,##0_);_(* \(#,##0\);_(* &quot;-&quot;??_);_(@_)"/>
    <numFmt numFmtId="171" formatCode="000000"/>
  </numFmts>
  <fonts count="54">
    <font>
      <sz val="10"/>
      <name val="Arial"/>
    </font>
    <font>
      <sz val="11"/>
      <color theme="1"/>
      <name val="Calibri"/>
      <family val="2"/>
      <scheme val="minor"/>
    </font>
    <font>
      <sz val="10"/>
      <name val="Arial"/>
      <family val="2"/>
    </font>
    <font>
      <sz val="8"/>
      <name val="Arial"/>
      <family val="2"/>
    </font>
    <font>
      <b/>
      <sz val="10"/>
      <name val="Arial"/>
      <family val="2"/>
    </font>
    <font>
      <sz val="10"/>
      <name val="Arial"/>
      <family val="2"/>
    </font>
    <font>
      <b/>
      <sz val="12"/>
      <name val="Arial"/>
      <family val="2"/>
    </font>
    <font>
      <sz val="16"/>
      <name val="Arial"/>
      <family val="2"/>
    </font>
    <font>
      <sz val="9"/>
      <name val="Arial"/>
      <family val="2"/>
    </font>
    <font>
      <b/>
      <sz val="8"/>
      <color indexed="10"/>
      <name val="Arial"/>
      <family val="2"/>
    </font>
    <font>
      <b/>
      <sz val="10"/>
      <color indexed="10"/>
      <name val="Arial"/>
      <family val="2"/>
    </font>
    <font>
      <b/>
      <sz val="8"/>
      <name val="Arial"/>
      <family val="2"/>
    </font>
    <font>
      <sz val="10"/>
      <name val="Calibri"/>
      <family val="2"/>
    </font>
    <font>
      <sz val="10"/>
      <name val="Arial"/>
      <family val="2"/>
    </font>
    <font>
      <sz val="10"/>
      <name val="Times New Roman"/>
      <family val="1"/>
    </font>
    <font>
      <sz val="8.5"/>
      <name val="Arial"/>
      <family val="2"/>
    </font>
    <font>
      <sz val="9"/>
      <name val="Calibri"/>
      <family val="2"/>
    </font>
    <font>
      <sz val="7"/>
      <name val="Arial"/>
      <family val="2"/>
    </font>
    <font>
      <b/>
      <sz val="12"/>
      <name val="Calibri"/>
      <family val="2"/>
    </font>
    <font>
      <sz val="10"/>
      <color theme="1"/>
      <name val="Arial"/>
      <family val="2"/>
    </font>
    <font>
      <sz val="7"/>
      <color theme="1"/>
      <name val="Arial"/>
      <family val="2"/>
    </font>
    <font>
      <b/>
      <sz val="10"/>
      <color rgb="FF000000"/>
      <name val="Courier New"/>
      <family val="3"/>
    </font>
    <font>
      <b/>
      <sz val="12"/>
      <color rgb="FF000000"/>
      <name val="Calibri"/>
      <family val="2"/>
    </font>
    <font>
      <b/>
      <sz val="12"/>
      <color rgb="FFFF0000"/>
      <name val="Arial"/>
      <family val="2"/>
    </font>
    <font>
      <sz val="6"/>
      <name val="Arial"/>
      <family val="2"/>
    </font>
    <font>
      <sz val="11"/>
      <name val="Arial"/>
      <family val="2"/>
    </font>
    <font>
      <b/>
      <sz val="11"/>
      <name val="Arial"/>
      <family val="2"/>
    </font>
    <font>
      <b/>
      <sz val="14"/>
      <name val="Arial"/>
      <family val="2"/>
    </font>
    <font>
      <sz val="12"/>
      <name val="Arial"/>
      <family val="2"/>
    </font>
    <font>
      <sz val="10"/>
      <color rgb="FF000000"/>
      <name val="Times New Roman"/>
      <family val="1"/>
    </font>
    <font>
      <b/>
      <sz val="10"/>
      <name val="Courier New"/>
      <family val="3"/>
    </font>
    <font>
      <u/>
      <sz val="10"/>
      <name val="Arial"/>
      <family val="2"/>
    </font>
    <font>
      <b/>
      <sz val="12"/>
      <color rgb="FFFF0000"/>
      <name val="Calibri"/>
      <family val="2"/>
    </font>
    <font>
      <sz val="7"/>
      <color theme="1"/>
      <name val="Verdana"/>
      <family val="2"/>
    </font>
    <font>
      <sz val="9.5"/>
      <name val="Arial"/>
      <family val="2"/>
    </font>
    <font>
      <sz val="8"/>
      <color rgb="FF000000"/>
      <name val="Times New Roman"/>
      <family val="1"/>
    </font>
    <font>
      <b/>
      <sz val="10"/>
      <color rgb="FFFF0000"/>
      <name val="Arial"/>
      <family val="2"/>
    </font>
    <font>
      <sz val="10"/>
      <color rgb="FFFF0000"/>
      <name val="Arial"/>
      <family val="2"/>
    </font>
    <font>
      <b/>
      <sz val="11"/>
      <color theme="1"/>
      <name val="Calibri"/>
      <family val="2"/>
      <scheme val="minor"/>
    </font>
    <font>
      <b/>
      <sz val="14"/>
      <color theme="1"/>
      <name val="Calibri"/>
      <family val="2"/>
      <scheme val="minor"/>
    </font>
    <font>
      <sz val="14"/>
      <color theme="1"/>
      <name val="Calibri"/>
      <family val="2"/>
      <scheme val="minor"/>
    </font>
    <font>
      <sz val="11"/>
      <color theme="1"/>
      <name val="Century"/>
      <family val="1"/>
    </font>
    <font>
      <b/>
      <sz val="12"/>
      <color theme="1"/>
      <name val="Calibri"/>
      <family val="2"/>
      <scheme val="minor"/>
    </font>
    <font>
      <sz val="12"/>
      <color theme="1"/>
      <name val="Calibri"/>
      <family val="2"/>
      <scheme val="minor"/>
    </font>
    <font>
      <vertAlign val="superscript"/>
      <sz val="12"/>
      <color theme="1"/>
      <name val="Calibri"/>
      <family val="2"/>
      <scheme val="minor"/>
    </font>
    <font>
      <u/>
      <sz val="12"/>
      <color theme="1"/>
      <name val="Calibri"/>
      <family val="2"/>
      <scheme val="minor"/>
    </font>
    <font>
      <b/>
      <sz val="16"/>
      <color theme="1"/>
      <name val="Calibri"/>
      <family val="2"/>
      <scheme val="minor"/>
    </font>
    <font>
      <sz val="16"/>
      <color theme="1"/>
      <name val="Calibri"/>
      <family val="2"/>
    </font>
    <font>
      <b/>
      <u/>
      <sz val="16"/>
      <color theme="1"/>
      <name val="Century"/>
      <family val="1"/>
    </font>
    <font>
      <b/>
      <u/>
      <sz val="12"/>
      <color theme="1"/>
      <name val="Calibri"/>
      <family val="2"/>
      <scheme val="minor"/>
    </font>
    <font>
      <b/>
      <sz val="12"/>
      <color theme="1"/>
      <name val="Calibri"/>
      <family val="2"/>
    </font>
    <font>
      <sz val="12"/>
      <color theme="1"/>
      <name val="Calibri"/>
      <family val="2"/>
    </font>
    <font>
      <sz val="10"/>
      <color theme="1"/>
      <name val="Calibri"/>
      <family val="2"/>
      <scheme val="minor"/>
    </font>
    <font>
      <sz val="11"/>
      <color rgb="FF000000"/>
      <name val="Arial"/>
      <family val="2"/>
    </font>
  </fonts>
  <fills count="17">
    <fill>
      <patternFill patternType="none"/>
    </fill>
    <fill>
      <patternFill patternType="gray125"/>
    </fill>
    <fill>
      <patternFill patternType="darkGrid"/>
    </fill>
    <fill>
      <patternFill patternType="solid">
        <fgColor theme="0"/>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1"/>
        <bgColor indexed="64"/>
      </patternFill>
    </fill>
    <fill>
      <patternFill patternType="solid">
        <fgColor theme="4" tint="0.59996337778862885"/>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00B0F0"/>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4" tint="0.39994506668294322"/>
        <bgColor indexed="64"/>
      </patternFill>
    </fill>
  </fills>
  <borders count="123">
    <border>
      <left/>
      <right/>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medium">
        <color indexed="64"/>
      </left>
      <right/>
      <top/>
      <bottom style="thin">
        <color theme="2" tint="-9.9948118533890809E-2"/>
      </bottom>
      <diagonal/>
    </border>
    <border>
      <left/>
      <right style="medium">
        <color indexed="64"/>
      </right>
      <top/>
      <bottom style="thin">
        <color theme="2" tint="-9.9948118533890809E-2"/>
      </bottom>
      <diagonal/>
    </border>
    <border>
      <left/>
      <right style="thin">
        <color indexed="64"/>
      </right>
      <top/>
      <bottom style="thin">
        <color theme="2" tint="-9.9948118533890809E-2"/>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theme="2" tint="-9.9948118533890809E-2"/>
      </bottom>
      <diagonal/>
    </border>
    <border>
      <left style="thick">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diagonalUp="1" diagonalDown="1">
      <left style="thin">
        <color indexed="64"/>
      </left>
      <right style="thin">
        <color indexed="64"/>
      </right>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auto="1"/>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auto="1"/>
      </bottom>
      <diagonal/>
    </border>
    <border>
      <left/>
      <right style="thin">
        <color indexed="64"/>
      </right>
      <top style="medium">
        <color auto="1"/>
      </top>
      <bottom style="medium">
        <color indexed="64"/>
      </bottom>
      <diagonal/>
    </border>
    <border>
      <left style="medium">
        <color auto="1"/>
      </left>
      <right/>
      <top style="medium">
        <color indexed="64"/>
      </top>
      <bottom style="dotted">
        <color auto="1"/>
      </bottom>
      <diagonal/>
    </border>
    <border>
      <left/>
      <right style="thin">
        <color indexed="64"/>
      </right>
      <top style="medium">
        <color indexed="64"/>
      </top>
      <bottom style="dotted">
        <color auto="1"/>
      </bottom>
      <diagonal/>
    </border>
    <border>
      <left style="thin">
        <color auto="1"/>
      </left>
      <right/>
      <top style="medium">
        <color indexed="64"/>
      </top>
      <bottom style="dotted">
        <color auto="1"/>
      </bottom>
      <diagonal/>
    </border>
    <border>
      <left style="thin">
        <color indexed="64"/>
      </left>
      <right/>
      <top/>
      <bottom style="dotted">
        <color indexed="64"/>
      </bottom>
      <diagonal/>
    </border>
    <border>
      <left style="medium">
        <color indexed="64"/>
      </left>
      <right style="medium">
        <color indexed="64"/>
      </right>
      <top style="medium">
        <color indexed="64"/>
      </top>
      <bottom/>
      <diagonal/>
    </border>
    <border>
      <left style="medium">
        <color indexed="64"/>
      </left>
      <right/>
      <top style="dotted">
        <color indexed="64"/>
      </top>
      <bottom/>
      <diagonal/>
    </border>
    <border>
      <left/>
      <right/>
      <top style="dotted">
        <color indexed="64"/>
      </top>
      <bottom/>
      <diagonal/>
    </border>
    <border>
      <left style="medium">
        <color indexed="64"/>
      </left>
      <right/>
      <top/>
      <bottom style="dotted">
        <color indexed="64"/>
      </bottom>
      <diagonal/>
    </border>
    <border>
      <left/>
      <right style="thin">
        <color indexed="64"/>
      </right>
      <top/>
      <bottom style="dotted">
        <color indexed="64"/>
      </bottom>
      <diagonal/>
    </border>
    <border>
      <left style="medium">
        <color indexed="64"/>
      </left>
      <right style="medium">
        <color indexed="64"/>
      </right>
      <top/>
      <bottom/>
      <diagonal/>
    </border>
    <border>
      <left style="medium">
        <color indexed="64"/>
      </left>
      <right/>
      <top style="dotted">
        <color indexed="64"/>
      </top>
      <bottom style="medium">
        <color auto="1"/>
      </bottom>
      <diagonal/>
    </border>
    <border>
      <left/>
      <right/>
      <top style="dotted">
        <color indexed="64"/>
      </top>
      <bottom style="medium">
        <color auto="1"/>
      </bottom>
      <diagonal/>
    </border>
    <border>
      <left/>
      <right style="thin">
        <color indexed="64"/>
      </right>
      <top style="dotted">
        <color indexed="64"/>
      </top>
      <bottom style="medium">
        <color auto="1"/>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auto="1"/>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auto="1"/>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style="medium">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medium">
        <color indexed="64"/>
      </top>
      <bottom style="dotted">
        <color auto="1"/>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medium">
        <color auto="1"/>
      </bottom>
      <diagonal/>
    </border>
    <border>
      <left style="thin">
        <color indexed="64"/>
      </left>
      <right style="medium">
        <color indexed="64"/>
      </right>
      <top style="dotted">
        <color indexed="64"/>
      </top>
      <bottom style="medium">
        <color auto="1"/>
      </bottom>
      <diagonal/>
    </border>
    <border>
      <left style="thin">
        <color indexed="64"/>
      </left>
      <right/>
      <top style="dotted">
        <color indexed="64"/>
      </top>
      <bottom style="medium">
        <color auto="1"/>
      </bottom>
      <diagonal/>
    </border>
    <border>
      <left/>
      <right style="medium">
        <color indexed="64"/>
      </right>
      <top style="dotted">
        <color indexed="64"/>
      </top>
      <bottom style="medium">
        <color auto="1"/>
      </bottom>
      <diagonal/>
    </border>
  </borders>
  <cellStyleXfs count="8">
    <xf numFmtId="0" fontId="0" fillId="0" borderId="0"/>
    <xf numFmtId="43" fontId="13" fillId="0" borderId="0" applyFont="0" applyFill="0" applyBorder="0" applyAlignment="0" applyProtection="0"/>
    <xf numFmtId="0" fontId="14" fillId="0" borderId="0"/>
    <xf numFmtId="0" fontId="14" fillId="0" borderId="0"/>
    <xf numFmtId="0" fontId="29" fillId="0" borderId="0"/>
    <xf numFmtId="0" fontId="2" fillId="0" borderId="0"/>
    <xf numFmtId="43" fontId="2" fillId="0" borderId="0" applyFont="0" applyFill="0" applyBorder="0" applyAlignment="0" applyProtection="0"/>
    <xf numFmtId="0" fontId="1" fillId="0" borderId="0"/>
  </cellStyleXfs>
  <cellXfs count="1029">
    <xf numFmtId="0" fontId="0" fillId="0" borderId="0" xfId="0"/>
    <xf numFmtId="0" fontId="0" fillId="0" borderId="0" xfId="0" applyAlignment="1">
      <alignment horizontal="center"/>
    </xf>
    <xf numFmtId="0" fontId="3" fillId="0" borderId="0" xfId="0" applyFont="1"/>
    <xf numFmtId="0" fontId="0" fillId="0" borderId="1" xfId="0" applyBorder="1"/>
    <xf numFmtId="0" fontId="4" fillId="0" borderId="0" xfId="0" applyFont="1"/>
    <xf numFmtId="0" fontId="2" fillId="0" borderId="0" xfId="0" applyFont="1"/>
    <xf numFmtId="167" fontId="0" fillId="0" borderId="0" xfId="0" applyNumberFormat="1"/>
    <xf numFmtId="0" fontId="5" fillId="0" borderId="0" xfId="0" applyFont="1"/>
    <xf numFmtId="0" fontId="0" fillId="0" borderId="6" xfId="0" applyBorder="1"/>
    <xf numFmtId="0" fontId="0" fillId="0" borderId="7" xfId="0" applyBorder="1"/>
    <xf numFmtId="0" fontId="6" fillId="0" borderId="0" xfId="0" applyFont="1"/>
    <xf numFmtId="0" fontId="0" fillId="0" borderId="4" xfId="0" applyBorder="1"/>
    <xf numFmtId="0" fontId="0" fillId="0" borderId="8" xfId="0" applyBorder="1"/>
    <xf numFmtId="0" fontId="0" fillId="0" borderId="5" xfId="0" applyBorder="1"/>
    <xf numFmtId="0" fontId="0" fillId="0" borderId="9" xfId="0" applyBorder="1"/>
    <xf numFmtId="0" fontId="0" fillId="0" borderId="0" xfId="0" applyAlignment="1">
      <alignment horizontal="left"/>
    </xf>
    <xf numFmtId="0" fontId="0" fillId="0" borderId="10" xfId="0" applyBorder="1"/>
    <xf numFmtId="0" fontId="0" fillId="0" borderId="12" xfId="0" applyBorder="1"/>
    <xf numFmtId="167" fontId="3" fillId="0" borderId="0" xfId="0" applyNumberFormat="1" applyFont="1" applyAlignment="1" applyProtection="1">
      <alignment horizontal="center"/>
      <protection locked="0"/>
    </xf>
    <xf numFmtId="165" fontId="0" fillId="0" borderId="0" xfId="0" applyNumberFormat="1"/>
    <xf numFmtId="164" fontId="0" fillId="0" borderId="0" xfId="0" applyNumberFormat="1" applyAlignment="1">
      <alignment horizontal="center"/>
    </xf>
    <xf numFmtId="0" fontId="2" fillId="0" borderId="0" xfId="0" applyFont="1" applyProtection="1">
      <protection locked="0"/>
    </xf>
    <xf numFmtId="0" fontId="0" fillId="0" borderId="0" xfId="0" applyAlignment="1" applyProtection="1">
      <alignment horizontal="center"/>
      <protection locked="0"/>
    </xf>
    <xf numFmtId="0" fontId="0" fillId="0" borderId="14" xfId="0" applyBorder="1" applyAlignment="1">
      <alignment horizontal="center"/>
    </xf>
    <xf numFmtId="0" fontId="19" fillId="0" borderId="13" xfId="2" applyFont="1" applyBorder="1" applyAlignment="1" applyProtection="1">
      <alignment horizontal="center" vertical="center" wrapText="1" shrinkToFit="1"/>
      <protection hidden="1"/>
    </xf>
    <xf numFmtId="169" fontId="19" fillId="3" borderId="13" xfId="3" applyNumberFormat="1" applyFont="1" applyFill="1" applyBorder="1" applyAlignment="1" applyProtection="1">
      <alignment horizontal="center" wrapText="1" shrinkToFit="1"/>
      <protection hidden="1"/>
    </xf>
    <xf numFmtId="0" fontId="19" fillId="0" borderId="13" xfId="2" applyFont="1" applyBorder="1" applyAlignment="1" applyProtection="1">
      <alignment horizontal="center" wrapText="1" shrinkToFit="1"/>
      <protection hidden="1"/>
    </xf>
    <xf numFmtId="170" fontId="19" fillId="3" borderId="13" xfId="1" applyNumberFormat="1" applyFont="1" applyFill="1" applyBorder="1" applyAlignment="1" applyProtection="1">
      <alignment horizontal="center" wrapText="1" shrinkToFit="1"/>
      <protection hidden="1"/>
    </xf>
    <xf numFmtId="0" fontId="2" fillId="0" borderId="13" xfId="0" applyFont="1" applyBorder="1" applyAlignment="1" applyProtection="1">
      <alignment horizontal="center" wrapText="1" shrinkToFit="1"/>
      <protection hidden="1"/>
    </xf>
    <xf numFmtId="49" fontId="0" fillId="0" borderId="14" xfId="0" applyNumberFormat="1" applyBorder="1" applyAlignment="1">
      <alignment horizontal="center"/>
    </xf>
    <xf numFmtId="1" fontId="0" fillId="0" borderId="14" xfId="0" applyNumberFormat="1" applyBorder="1" applyAlignment="1">
      <alignment horizontal="center"/>
    </xf>
    <xf numFmtId="165" fontId="0" fillId="0" borderId="14" xfId="0" applyNumberFormat="1" applyBorder="1" applyAlignment="1">
      <alignment horizontal="center"/>
    </xf>
    <xf numFmtId="0" fontId="8" fillId="0" borderId="13" xfId="0" applyFont="1" applyBorder="1" applyAlignment="1" applyProtection="1">
      <alignment horizontal="center" wrapText="1" shrinkToFit="1"/>
      <protection hidden="1"/>
    </xf>
    <xf numFmtId="49" fontId="2" fillId="0" borderId="14" xfId="0" applyNumberFormat="1" applyFont="1" applyBorder="1" applyAlignment="1">
      <alignment horizontal="center"/>
    </xf>
    <xf numFmtId="0" fontId="0" fillId="0" borderId="0" xfId="0" applyAlignment="1" applyProtection="1">
      <alignment wrapText="1" shrinkToFit="1"/>
      <protection locked="0"/>
    </xf>
    <xf numFmtId="0" fontId="17" fillId="0" borderId="0" xfId="0" applyFont="1"/>
    <xf numFmtId="0" fontId="17" fillId="0" borderId="13" xfId="0" applyFont="1" applyBorder="1" applyAlignment="1" applyProtection="1">
      <alignment horizontal="center" wrapText="1" shrinkToFit="1"/>
      <protection hidden="1"/>
    </xf>
    <xf numFmtId="0" fontId="17" fillId="0" borderId="14" xfId="0" applyFont="1" applyBorder="1" applyAlignment="1">
      <alignment horizontal="center"/>
    </xf>
    <xf numFmtId="49" fontId="17" fillId="0" borderId="14" xfId="0" applyNumberFormat="1" applyFont="1" applyBorder="1" applyAlignment="1">
      <alignment horizontal="center"/>
    </xf>
    <xf numFmtId="170" fontId="20" fillId="3" borderId="13" xfId="1" applyNumberFormat="1" applyFont="1" applyFill="1" applyBorder="1" applyAlignment="1" applyProtection="1">
      <alignment horizontal="center" wrapText="1" shrinkToFit="1"/>
      <protection hidden="1"/>
    </xf>
    <xf numFmtId="0" fontId="2" fillId="0" borderId="0" xfId="0" applyFont="1" applyAlignment="1">
      <alignment horizontal="right"/>
    </xf>
    <xf numFmtId="0" fontId="0" fillId="0" borderId="0" xfId="0" applyAlignment="1">
      <alignment horizontal="left" vertical="center"/>
    </xf>
    <xf numFmtId="49" fontId="2" fillId="0" borderId="0" xfId="0" applyNumberFormat="1" applyFont="1" applyAlignment="1">
      <alignment horizontal="center" vertical="center"/>
    </xf>
    <xf numFmtId="49" fontId="21" fillId="0" borderId="0" xfId="0" applyNumberFormat="1" applyFont="1" applyAlignment="1">
      <alignment horizontal="left" vertical="center"/>
    </xf>
    <xf numFmtId="49" fontId="0" fillId="0" borderId="0" xfId="0" applyNumberFormat="1" applyAlignment="1">
      <alignment horizontal="center" vertical="center"/>
    </xf>
    <xf numFmtId="49" fontId="21" fillId="0" borderId="0" xfId="0" applyNumberFormat="1" applyFont="1" applyAlignment="1">
      <alignment horizontal="left" vertical="center" wrapText="1"/>
    </xf>
    <xf numFmtId="0" fontId="0" fillId="0" borderId="0" xfId="0" applyAlignment="1">
      <alignment horizontal="left" vertical="top"/>
    </xf>
    <xf numFmtId="49" fontId="22" fillId="0" borderId="0" xfId="0" applyNumberFormat="1" applyFont="1" applyAlignment="1">
      <alignment horizontal="left" vertical="top"/>
    </xf>
    <xf numFmtId="49" fontId="22" fillId="0" borderId="0" xfId="0" applyNumberFormat="1" applyFont="1" applyAlignment="1">
      <alignment horizontal="left" vertical="top" shrinkToFit="1"/>
    </xf>
    <xf numFmtId="49" fontId="18" fillId="0" borderId="0" xfId="0" applyNumberFormat="1" applyFont="1" applyAlignment="1">
      <alignment vertical="top" wrapText="1"/>
    </xf>
    <xf numFmtId="49" fontId="18" fillId="0" borderId="0" xfId="0" applyNumberFormat="1" applyFont="1" applyAlignment="1">
      <alignment horizontal="left" vertical="top" wrapText="1"/>
    </xf>
    <xf numFmtId="49" fontId="18" fillId="0" borderId="0" xfId="0" applyNumberFormat="1" applyFont="1" applyAlignment="1">
      <alignment horizontal="center" vertical="top"/>
    </xf>
    <xf numFmtId="49" fontId="18" fillId="0" borderId="0" xfId="0" applyNumberFormat="1" applyFont="1" applyAlignment="1">
      <alignment horizontal="left" vertical="top"/>
    </xf>
    <xf numFmtId="49" fontId="22" fillId="0" borderId="0" xfId="0" applyNumberFormat="1" applyFont="1" applyAlignment="1">
      <alignment vertical="top"/>
    </xf>
    <xf numFmtId="49" fontId="22" fillId="0" borderId="0" xfId="0" applyNumberFormat="1" applyFont="1" applyAlignment="1">
      <alignment horizontal="left" vertical="center"/>
    </xf>
    <xf numFmtId="0" fontId="17" fillId="0" borderId="0" xfId="0" applyFont="1" applyAlignment="1">
      <alignment horizontal="center"/>
    </xf>
    <xf numFmtId="165" fontId="0" fillId="5" borderId="0" xfId="0" applyNumberFormat="1" applyFill="1" applyAlignment="1">
      <alignment horizontal="center" vertical="center"/>
    </xf>
    <xf numFmtId="165" fontId="0" fillId="5" borderId="7" xfId="0" applyNumberFormat="1" applyFill="1" applyBorder="1" applyAlignment="1">
      <alignment horizontal="center" vertical="center"/>
    </xf>
    <xf numFmtId="0" fontId="26" fillId="0" borderId="0" xfId="0" applyFont="1" applyAlignment="1">
      <alignment vertical="center"/>
    </xf>
    <xf numFmtId="165" fontId="0" fillId="5" borderId="9" xfId="0" applyNumberFormat="1" applyFill="1" applyBorder="1" applyAlignment="1">
      <alignment horizontal="center" vertical="center"/>
    </xf>
    <xf numFmtId="0" fontId="25" fillId="0" borderId="0" xfId="0" applyFont="1" applyAlignment="1">
      <alignment horizontal="right"/>
    </xf>
    <xf numFmtId="2" fontId="4" fillId="5" borderId="0" xfId="0" applyNumberFormat="1" applyFont="1" applyFill="1" applyAlignment="1">
      <alignment horizontal="center" vertical="center"/>
    </xf>
    <xf numFmtId="0" fontId="4" fillId="0" borderId="0" xfId="0" applyFont="1" applyAlignment="1">
      <alignment horizontal="center" wrapText="1"/>
    </xf>
    <xf numFmtId="0" fontId="25" fillId="3" borderId="70" xfId="0" applyFont="1" applyFill="1" applyBorder="1" applyAlignment="1">
      <alignment horizontal="center" vertical="center"/>
    </xf>
    <xf numFmtId="0" fontId="25" fillId="3" borderId="25" xfId="0" applyFont="1" applyFill="1" applyBorder="1" applyAlignment="1">
      <alignment horizontal="center" vertical="center"/>
    </xf>
    <xf numFmtId="0" fontId="4" fillId="3" borderId="10" xfId="0" applyFont="1" applyFill="1" applyBorder="1" applyAlignment="1">
      <alignment horizontal="center"/>
    </xf>
    <xf numFmtId="0" fontId="4" fillId="3" borderId="11" xfId="0" applyFont="1" applyFill="1" applyBorder="1" applyAlignment="1">
      <alignment horizontal="center" wrapText="1"/>
    </xf>
    <xf numFmtId="0" fontId="4" fillId="3" borderId="12" xfId="0" applyFont="1" applyFill="1" applyBorder="1" applyAlignment="1">
      <alignment horizontal="center" wrapText="1"/>
    </xf>
    <xf numFmtId="0" fontId="4" fillId="3" borderId="24" xfId="0" applyFont="1" applyFill="1" applyBorder="1" applyAlignment="1">
      <alignment horizontal="center"/>
    </xf>
    <xf numFmtId="0" fontId="26" fillId="3" borderId="10" xfId="0" applyFont="1" applyFill="1" applyBorder="1" applyAlignment="1">
      <alignment horizontal="center"/>
    </xf>
    <xf numFmtId="0" fontId="25" fillId="3" borderId="6" xfId="0" applyFont="1" applyFill="1" applyBorder="1" applyAlignment="1">
      <alignment horizontal="center" vertical="center"/>
    </xf>
    <xf numFmtId="165" fontId="2" fillId="5" borderId="0" xfId="0" applyNumberFormat="1" applyFont="1" applyFill="1" applyAlignment="1">
      <alignment horizontal="center" vertical="center"/>
    </xf>
    <xf numFmtId="0" fontId="25" fillId="3" borderId="10" xfId="0" applyFont="1" applyFill="1" applyBorder="1" applyAlignment="1">
      <alignment horizontal="center" vertical="center"/>
    </xf>
    <xf numFmtId="165" fontId="0" fillId="5" borderId="11" xfId="0" applyNumberFormat="1" applyFill="1" applyBorder="1" applyAlignment="1">
      <alignment horizontal="center" vertical="center"/>
    </xf>
    <xf numFmtId="165" fontId="0" fillId="5" borderId="12" xfId="0" applyNumberFormat="1" applyFill="1" applyBorder="1" applyAlignment="1">
      <alignment horizontal="center" vertical="center"/>
    </xf>
    <xf numFmtId="165" fontId="0" fillId="5" borderId="24" xfId="0" applyNumberFormat="1" applyFill="1" applyBorder="1" applyAlignment="1">
      <alignment horizontal="center" vertical="center"/>
    </xf>
    <xf numFmtId="0" fontId="0" fillId="3" borderId="0" xfId="0" applyFill="1" applyAlignment="1">
      <alignment horizontal="center" vertical="center"/>
    </xf>
    <xf numFmtId="0" fontId="0" fillId="3" borderId="0" xfId="0" applyFill="1" applyAlignment="1">
      <alignment vertical="center"/>
    </xf>
    <xf numFmtId="0" fontId="25" fillId="0" borderId="0" xfId="0" applyFont="1"/>
    <xf numFmtId="1" fontId="26" fillId="5" borderId="0" xfId="0" applyNumberFormat="1" applyFont="1" applyFill="1" applyAlignment="1">
      <alignment horizontal="center"/>
    </xf>
    <xf numFmtId="0" fontId="25" fillId="0" borderId="3" xfId="0" applyFont="1" applyBorder="1"/>
    <xf numFmtId="0" fontId="25" fillId="0" borderId="4" xfId="0" applyFont="1" applyBorder="1" applyAlignment="1">
      <alignment horizontal="right"/>
    </xf>
    <xf numFmtId="1" fontId="26" fillId="5" borderId="4" xfId="0" applyNumberFormat="1" applyFont="1" applyFill="1" applyBorder="1" applyAlignment="1">
      <alignment horizontal="center"/>
    </xf>
    <xf numFmtId="0" fontId="25" fillId="0" borderId="4" xfId="0" applyFont="1" applyBorder="1"/>
    <xf numFmtId="0" fontId="25" fillId="0" borderId="6" xfId="0" applyFont="1" applyBorder="1"/>
    <xf numFmtId="0" fontId="25" fillId="0" borderId="11" xfId="0" applyFont="1" applyBorder="1"/>
    <xf numFmtId="0" fontId="28" fillId="0" borderId="3" xfId="0" applyFont="1" applyBorder="1" applyAlignment="1">
      <alignment horizontal="right" vertical="center"/>
    </xf>
    <xf numFmtId="0" fontId="4" fillId="3" borderId="77" xfId="0" applyFont="1" applyFill="1" applyBorder="1" applyAlignment="1">
      <alignment horizontal="center"/>
    </xf>
    <xf numFmtId="0" fontId="4" fillId="3" borderId="38" xfId="0" applyFont="1" applyFill="1" applyBorder="1" applyAlignment="1">
      <alignment horizontal="center" wrapText="1"/>
    </xf>
    <xf numFmtId="165" fontId="0" fillId="5" borderId="74" xfId="0" applyNumberFormat="1" applyFill="1" applyBorder="1" applyAlignment="1">
      <alignment horizontal="center" vertical="center"/>
    </xf>
    <xf numFmtId="165" fontId="0" fillId="5" borderId="1" xfId="0" applyNumberFormat="1" applyFill="1" applyBorder="1" applyAlignment="1">
      <alignment horizontal="center" vertical="center"/>
    </xf>
    <xf numFmtId="165" fontId="0" fillId="5" borderId="75" xfId="0" applyNumberFormat="1" applyFill="1" applyBorder="1" applyAlignment="1">
      <alignment horizontal="center" vertical="center"/>
    </xf>
    <xf numFmtId="165" fontId="0" fillId="5" borderId="77" xfId="0" applyNumberFormat="1" applyFill="1" applyBorder="1" applyAlignment="1">
      <alignment horizontal="center" vertical="center"/>
    </xf>
    <xf numFmtId="165" fontId="0" fillId="5" borderId="38" xfId="0" applyNumberFormat="1" applyFill="1" applyBorder="1" applyAlignment="1">
      <alignment horizontal="center" vertical="center"/>
    </xf>
    <xf numFmtId="0" fontId="25" fillId="0" borderId="10" xfId="0" applyFont="1" applyBorder="1"/>
    <xf numFmtId="0" fontId="25" fillId="0" borderId="11" xfId="0" applyFont="1" applyBorder="1" applyAlignment="1">
      <alignment horizontal="right"/>
    </xf>
    <xf numFmtId="1" fontId="26" fillId="0" borderId="11" xfId="0" applyNumberFormat="1" applyFont="1" applyBorder="1" applyAlignment="1">
      <alignment horizontal="center"/>
    </xf>
    <xf numFmtId="0" fontId="29" fillId="0" borderId="0" xfId="4" applyAlignment="1">
      <alignment horizontal="left" vertical="top"/>
    </xf>
    <xf numFmtId="0" fontId="0" fillId="0" borderId="0" xfId="0" applyAlignment="1" applyProtection="1">
      <alignment horizontal="left"/>
      <protection locked="0"/>
    </xf>
    <xf numFmtId="0" fontId="31" fillId="0" borderId="0" xfId="0" applyFont="1"/>
    <xf numFmtId="171" fontId="22" fillId="0" borderId="0" xfId="0" applyNumberFormat="1" applyFont="1" applyAlignment="1">
      <alignment horizontal="left" vertical="top"/>
    </xf>
    <xf numFmtId="0" fontId="30" fillId="0" borderId="0" xfId="0" applyFont="1" applyAlignment="1">
      <alignment vertical="center"/>
    </xf>
    <xf numFmtId="0" fontId="21" fillId="0" borderId="0" xfId="0" applyFont="1" applyAlignment="1">
      <alignment vertical="center"/>
    </xf>
    <xf numFmtId="0" fontId="30" fillId="0" borderId="0" xfId="0" applyFont="1" applyAlignment="1">
      <alignment horizontal="left" vertical="center" indent="8"/>
    </xf>
    <xf numFmtId="165" fontId="0" fillId="4" borderId="6" xfId="0" applyNumberFormat="1" applyFill="1" applyBorder="1" applyAlignment="1" applyProtection="1">
      <alignment horizontal="center" vertical="center"/>
      <protection locked="0"/>
    </xf>
    <xf numFmtId="165" fontId="0" fillId="4" borderId="10" xfId="0" applyNumberFormat="1" applyFill="1" applyBorder="1" applyAlignment="1" applyProtection="1">
      <alignment horizontal="center" vertical="center"/>
      <protection locked="0"/>
    </xf>
    <xf numFmtId="0" fontId="0" fillId="7" borderId="0" xfId="0" applyFill="1"/>
    <xf numFmtId="0" fontId="17" fillId="7" borderId="0" xfId="0" applyFont="1" applyFill="1"/>
    <xf numFmtId="0" fontId="8" fillId="0" borderId="0" xfId="0" applyFont="1" applyAlignment="1" applyProtection="1">
      <alignment horizontal="center" wrapText="1" shrinkToFit="1"/>
      <protection hidden="1"/>
    </xf>
    <xf numFmtId="49" fontId="0" fillId="0" borderId="1" xfId="0" applyNumberFormat="1" applyBorder="1" applyAlignment="1">
      <alignment horizontal="center"/>
    </xf>
    <xf numFmtId="170" fontId="19" fillId="3" borderId="1" xfId="1" applyNumberFormat="1" applyFont="1" applyFill="1" applyBorder="1" applyAlignment="1" applyProtection="1">
      <alignment horizontal="center" wrapText="1" shrinkToFit="1"/>
      <protection hidden="1"/>
    </xf>
    <xf numFmtId="2" fontId="2" fillId="0" borderId="14" xfId="0" applyNumberFormat="1" applyFont="1" applyBorder="1" applyAlignment="1">
      <alignment horizontal="center"/>
    </xf>
    <xf numFmtId="0" fontId="2" fillId="0" borderId="14" xfId="0" applyFont="1" applyBorder="1" applyAlignment="1">
      <alignment horizontal="center"/>
    </xf>
    <xf numFmtId="2" fontId="17" fillId="0" borderId="14" xfId="0" applyNumberFormat="1" applyFont="1" applyBorder="1" applyAlignment="1">
      <alignment horizontal="center"/>
    </xf>
    <xf numFmtId="171" fontId="0" fillId="0" borderId="14" xfId="0" applyNumberFormat="1" applyBorder="1" applyAlignment="1">
      <alignment horizontal="center"/>
    </xf>
    <xf numFmtId="49" fontId="33" fillId="0" borderId="0" xfId="0" applyNumberFormat="1" applyFont="1" applyAlignment="1">
      <alignment vertical="center" wrapText="1"/>
    </xf>
    <xf numFmtId="0" fontId="33" fillId="0" borderId="0" xfId="0" applyFont="1" applyAlignment="1">
      <alignment horizontal="left" vertical="center" wrapText="1"/>
    </xf>
    <xf numFmtId="49" fontId="33" fillId="0" borderId="0" xfId="0" quotePrefix="1" applyNumberFormat="1" applyFont="1" applyAlignment="1">
      <alignment vertical="center" wrapText="1"/>
    </xf>
    <xf numFmtId="0" fontId="33" fillId="0" borderId="0" xfId="0" applyFont="1" applyAlignment="1">
      <alignment vertical="center" wrapText="1"/>
    </xf>
    <xf numFmtId="49" fontId="33" fillId="0" borderId="0" xfId="0" applyNumberFormat="1" applyFont="1" applyAlignment="1">
      <alignment horizontal="center" vertical="center" wrapText="1"/>
    </xf>
    <xf numFmtId="49" fontId="33" fillId="0" borderId="0" xfId="0" quotePrefix="1" applyNumberFormat="1" applyFont="1" applyAlignment="1">
      <alignment horizontal="center" vertical="center" wrapText="1"/>
    </xf>
    <xf numFmtId="49" fontId="0" fillId="0" borderId="0" xfId="0" applyNumberFormat="1"/>
    <xf numFmtId="49" fontId="32" fillId="0" borderId="0" xfId="0" applyNumberFormat="1" applyFont="1" applyAlignment="1">
      <alignment horizontal="left" vertical="top" wrapText="1"/>
    </xf>
    <xf numFmtId="0" fontId="8" fillId="7" borderId="16" xfId="0" applyFont="1" applyFill="1" applyBorder="1" applyAlignment="1" applyProtection="1">
      <alignment horizontal="center" wrapText="1" shrinkToFit="1"/>
      <protection hidden="1"/>
    </xf>
    <xf numFmtId="49" fontId="0" fillId="7" borderId="14" xfId="0" applyNumberFormat="1" applyFill="1" applyBorder="1" applyAlignment="1">
      <alignment horizontal="center"/>
    </xf>
    <xf numFmtId="0" fontId="8" fillId="7" borderId="13" xfId="0" applyFont="1" applyFill="1" applyBorder="1" applyAlignment="1" applyProtection="1">
      <alignment horizontal="center" wrapText="1" shrinkToFit="1"/>
      <protection hidden="1"/>
    </xf>
    <xf numFmtId="171" fontId="0" fillId="7" borderId="14" xfId="0" applyNumberFormat="1" applyFill="1" applyBorder="1" applyAlignment="1">
      <alignment horizontal="center"/>
    </xf>
    <xf numFmtId="0" fontId="0" fillId="7" borderId="14" xfId="0" applyFill="1" applyBorder="1" applyAlignment="1">
      <alignment horizontal="center"/>
    </xf>
    <xf numFmtId="0" fontId="2" fillId="7" borderId="14" xfId="0" applyFont="1" applyFill="1" applyBorder="1" applyAlignment="1">
      <alignment horizontal="center"/>
    </xf>
    <xf numFmtId="49" fontId="2" fillId="7" borderId="14" xfId="0" applyNumberFormat="1" applyFont="1" applyFill="1" applyBorder="1" applyAlignment="1">
      <alignment horizontal="center"/>
    </xf>
    <xf numFmtId="0" fontId="0" fillId="7" borderId="0" xfId="0" applyFill="1" applyAlignment="1">
      <alignment horizontal="center"/>
    </xf>
    <xf numFmtId="0" fontId="3" fillId="7" borderId="0" xfId="0" applyFont="1" applyFill="1" applyAlignment="1">
      <alignment horizontal="center"/>
    </xf>
    <xf numFmtId="0" fontId="0" fillId="7" borderId="13" xfId="0" applyFill="1" applyBorder="1" applyAlignment="1">
      <alignment horizontal="center"/>
    </xf>
    <xf numFmtId="1" fontId="0" fillId="7" borderId="14" xfId="0" applyNumberFormat="1" applyFill="1" applyBorder="1" applyAlignment="1">
      <alignment horizontal="center"/>
    </xf>
    <xf numFmtId="2" fontId="0" fillId="7" borderId="14" xfId="0" applyNumberFormat="1" applyFill="1" applyBorder="1" applyAlignment="1">
      <alignment horizontal="center"/>
    </xf>
    <xf numFmtId="0" fontId="2" fillId="7" borderId="13" xfId="0" applyFont="1" applyFill="1" applyBorder="1" applyAlignment="1">
      <alignment horizontal="center"/>
    </xf>
    <xf numFmtId="2" fontId="2" fillId="7" borderId="14" xfId="0" applyNumberFormat="1" applyFont="1" applyFill="1" applyBorder="1" applyAlignment="1">
      <alignment horizontal="center"/>
    </xf>
    <xf numFmtId="2" fontId="3" fillId="7" borderId="14" xfId="0" applyNumberFormat="1" applyFont="1" applyFill="1" applyBorder="1" applyAlignment="1">
      <alignment horizontal="center"/>
    </xf>
    <xf numFmtId="164" fontId="0" fillId="7" borderId="14" xfId="0" applyNumberFormat="1" applyFill="1" applyBorder="1" applyAlignment="1">
      <alignment horizontal="center"/>
    </xf>
    <xf numFmtId="0" fontId="2" fillId="7" borderId="15" xfId="0" applyFont="1" applyFill="1" applyBorder="1" applyAlignment="1" applyProtection="1">
      <alignment horizontal="center" wrapText="1" shrinkToFit="1"/>
      <protection hidden="1"/>
    </xf>
    <xf numFmtId="0" fontId="2" fillId="7" borderId="13" xfId="0" applyFont="1" applyFill="1" applyBorder="1" applyAlignment="1" applyProtection="1">
      <alignment horizontal="center" wrapText="1" shrinkToFit="1"/>
      <protection hidden="1"/>
    </xf>
    <xf numFmtId="0" fontId="2" fillId="7" borderId="0" xfId="0" applyFont="1" applyFill="1"/>
    <xf numFmtId="165" fontId="0" fillId="7" borderId="14" xfId="0" applyNumberFormat="1" applyFill="1" applyBorder="1" applyAlignment="1">
      <alignment horizontal="center"/>
    </xf>
    <xf numFmtId="0" fontId="34" fillId="0" borderId="0" xfId="0" applyFont="1"/>
    <xf numFmtId="2" fontId="0" fillId="0" borderId="0" xfId="0" applyNumberFormat="1" applyAlignment="1" applyProtection="1">
      <alignment horizontal="center"/>
      <protection locked="0"/>
    </xf>
    <xf numFmtId="0" fontId="3" fillId="0" borderId="17" xfId="0" applyFont="1" applyBorder="1" applyAlignment="1">
      <alignment vertical="center"/>
    </xf>
    <xf numFmtId="0" fontId="35" fillId="0" borderId="17" xfId="4" applyFont="1" applyBorder="1" applyAlignment="1">
      <alignment vertical="center"/>
    </xf>
    <xf numFmtId="0" fontId="2" fillId="0" borderId="0" xfId="4" applyFont="1" applyAlignment="1">
      <alignment horizontal="center"/>
    </xf>
    <xf numFmtId="0" fontId="35" fillId="0" borderId="0" xfId="4" applyFont="1" applyAlignment="1">
      <alignment vertical="center"/>
    </xf>
    <xf numFmtId="0" fontId="0" fillId="0" borderId="0" xfId="0" applyAlignment="1">
      <alignment vertical="center"/>
    </xf>
    <xf numFmtId="0" fontId="3" fillId="0" borderId="0" xfId="4" applyFont="1" applyAlignment="1">
      <alignment horizontal="center" vertical="center"/>
    </xf>
    <xf numFmtId="2" fontId="29" fillId="0" borderId="0" xfId="4" applyNumberFormat="1" applyAlignment="1">
      <alignment horizontal="center"/>
    </xf>
    <xf numFmtId="0" fontId="2" fillId="0" borderId="40" xfId="4" applyFont="1" applyBorder="1" applyAlignment="1">
      <alignment horizontal="center"/>
    </xf>
    <xf numFmtId="0" fontId="2" fillId="0" borderId="42" xfId="4" applyFont="1" applyBorder="1" applyAlignment="1">
      <alignment horizontal="center"/>
    </xf>
    <xf numFmtId="0" fontId="35" fillId="0" borderId="21" xfId="4" applyFont="1" applyBorder="1" applyAlignment="1">
      <alignment vertical="center"/>
    </xf>
    <xf numFmtId="0" fontId="0" fillId="11" borderId="0" xfId="0" applyFill="1"/>
    <xf numFmtId="0" fontId="0" fillId="11" borderId="0" xfId="0" applyFill="1" applyAlignment="1" applyProtection="1">
      <alignment horizontal="center"/>
      <protection locked="0"/>
    </xf>
    <xf numFmtId="0" fontId="0" fillId="11" borderId="0" xfId="0" applyFill="1" applyAlignment="1">
      <alignment horizontal="center"/>
    </xf>
    <xf numFmtId="0" fontId="17" fillId="0" borderId="1" xfId="0" applyFont="1" applyBorder="1"/>
    <xf numFmtId="0" fontId="8" fillId="0" borderId="26" xfId="0" applyFont="1" applyBorder="1" applyAlignment="1">
      <alignment horizontal="center" vertical="center"/>
    </xf>
    <xf numFmtId="0" fontId="8" fillId="0" borderId="26" xfId="0" applyFont="1" applyBorder="1" applyAlignment="1" applyProtection="1">
      <alignment horizontal="left" vertical="center"/>
      <protection locked="0"/>
    </xf>
    <xf numFmtId="0" fontId="17" fillId="0" borderId="26" xfId="0" applyFont="1" applyBorder="1" applyAlignment="1" applyProtection="1">
      <alignment horizontal="center"/>
      <protection locked="0"/>
    </xf>
    <xf numFmtId="0" fontId="8" fillId="0" borderId="0" xfId="0" applyFont="1" applyAlignment="1">
      <alignment horizontal="center" vertical="center"/>
    </xf>
    <xf numFmtId="0" fontId="8" fillId="0" borderId="0" xfId="0" applyFont="1" applyAlignment="1" applyProtection="1">
      <alignment horizontal="left" vertical="center"/>
      <protection locked="0"/>
    </xf>
    <xf numFmtId="0" fontId="17" fillId="0" borderId="0" xfId="0" applyFont="1" applyAlignment="1" applyProtection="1">
      <alignment horizontal="center"/>
      <protection locked="0"/>
    </xf>
    <xf numFmtId="0" fontId="17" fillId="0" borderId="24" xfId="0" applyFont="1" applyBorder="1" applyAlignment="1">
      <alignment horizontal="center" textRotation="90"/>
    </xf>
    <xf numFmtId="0" fontId="0" fillId="0" borderId="7" xfId="0" applyBorder="1" applyAlignment="1" applyProtection="1">
      <alignment horizontal="center"/>
      <protection locked="0"/>
    </xf>
    <xf numFmtId="166" fontId="4" fillId="0" borderId="6" xfId="0" applyNumberFormat="1" applyFont="1" applyBorder="1" applyAlignment="1">
      <alignment horizontal="center"/>
    </xf>
    <xf numFmtId="166" fontId="4" fillId="0" borderId="7" xfId="0" applyNumberFormat="1" applyFont="1" applyBorder="1" applyAlignment="1">
      <alignment horizontal="center"/>
    </xf>
    <xf numFmtId="166" fontId="4" fillId="0" borderId="0" xfId="0" applyNumberFormat="1" applyFont="1" applyAlignment="1">
      <alignment horizontal="center"/>
    </xf>
    <xf numFmtId="2" fontId="0" fillId="0" borderId="7" xfId="0" applyNumberFormat="1" applyBorder="1" applyAlignment="1">
      <alignment horizontal="center"/>
    </xf>
    <xf numFmtId="0" fontId="4" fillId="0" borderId="9" xfId="0" applyFont="1" applyBorder="1"/>
    <xf numFmtId="0" fontId="1" fillId="12" borderId="0" xfId="7" applyFill="1"/>
    <xf numFmtId="0" fontId="1" fillId="0" borderId="0" xfId="7"/>
    <xf numFmtId="14" fontId="1" fillId="14" borderId="23" xfId="7" applyNumberFormat="1" applyFill="1" applyBorder="1" applyAlignment="1" applyProtection="1">
      <alignment horizontal="center" vertical="center"/>
      <protection locked="0"/>
    </xf>
    <xf numFmtId="0" fontId="1" fillId="14" borderId="23" xfId="7" applyFill="1" applyBorder="1" applyAlignment="1" applyProtection="1">
      <alignment horizontal="center" vertical="center"/>
      <protection locked="0"/>
    </xf>
    <xf numFmtId="18" fontId="1" fillId="14" borderId="23" xfId="7" applyNumberFormat="1" applyFill="1" applyBorder="1" applyAlignment="1" applyProtection="1">
      <alignment horizontal="center" vertical="center"/>
      <protection locked="0"/>
    </xf>
    <xf numFmtId="14" fontId="1" fillId="0" borderId="0" xfId="7" applyNumberFormat="1" applyAlignment="1" applyProtection="1">
      <alignment horizontal="center"/>
      <protection locked="0"/>
    </xf>
    <xf numFmtId="0" fontId="41" fillId="0" borderId="0" xfId="7" applyFont="1"/>
    <xf numFmtId="14" fontId="1" fillId="0" borderId="0" xfId="7" applyNumberFormat="1" applyAlignment="1">
      <alignment horizontal="center"/>
    </xf>
    <xf numFmtId="0" fontId="38" fillId="0" borderId="0" xfId="7" applyFont="1" applyAlignment="1">
      <alignment horizontal="left"/>
    </xf>
    <xf numFmtId="0" fontId="42" fillId="0" borderId="0" xfId="7" applyFont="1" applyAlignment="1">
      <alignment horizontal="left"/>
    </xf>
    <xf numFmtId="0" fontId="43" fillId="0" borderId="0" xfId="7" applyFont="1" applyAlignment="1">
      <alignment horizontal="left"/>
    </xf>
    <xf numFmtId="0" fontId="43" fillId="0" borderId="0" xfId="7" applyFont="1"/>
    <xf numFmtId="0" fontId="43" fillId="0" borderId="0" xfId="7" applyFont="1" applyAlignment="1">
      <alignment horizontal="right"/>
    </xf>
    <xf numFmtId="0" fontId="43" fillId="14" borderId="23" xfId="7" applyFont="1" applyFill="1" applyBorder="1" applyAlignment="1" applyProtection="1">
      <alignment horizontal="center" vertical="center"/>
      <protection locked="0"/>
    </xf>
    <xf numFmtId="0" fontId="43" fillId="0" borderId="23" xfId="7" applyFont="1" applyBorder="1" applyAlignment="1">
      <alignment horizontal="center" vertical="center"/>
    </xf>
    <xf numFmtId="0" fontId="1" fillId="0" borderId="0" xfId="7" applyAlignment="1">
      <alignment vertical="center"/>
    </xf>
    <xf numFmtId="0" fontId="43" fillId="0" borderId="14" xfId="7" applyFont="1" applyBorder="1" applyAlignment="1">
      <alignment horizontal="center" vertical="center"/>
    </xf>
    <xf numFmtId="0" fontId="1" fillId="12" borderId="0" xfId="7" applyFill="1" applyAlignment="1">
      <alignment vertical="center"/>
    </xf>
    <xf numFmtId="0" fontId="43" fillId="0" borderId="0" xfId="7" applyFont="1" applyAlignment="1">
      <alignment vertical="center"/>
    </xf>
    <xf numFmtId="0" fontId="43" fillId="0" borderId="24" xfId="7" quotePrefix="1" applyFont="1" applyBorder="1" applyAlignment="1">
      <alignment horizontal="center" vertical="center"/>
    </xf>
    <xf numFmtId="2" fontId="43" fillId="14" borderId="24" xfId="7" applyNumberFormat="1" applyFont="1" applyFill="1" applyBorder="1" applyAlignment="1" applyProtection="1">
      <alignment horizontal="center" vertical="center"/>
      <protection locked="0"/>
    </xf>
    <xf numFmtId="2" fontId="43" fillId="15" borderId="84" xfId="7" applyNumberFormat="1" applyFont="1" applyFill="1" applyBorder="1" applyAlignment="1" applyProtection="1">
      <alignment horizontal="center" vertical="center"/>
      <protection locked="0"/>
    </xf>
    <xf numFmtId="2" fontId="43" fillId="14" borderId="11" xfId="7" applyNumberFormat="1" applyFont="1" applyFill="1" applyBorder="1" applyAlignment="1" applyProtection="1">
      <alignment horizontal="center" vertical="center"/>
      <protection locked="0"/>
    </xf>
    <xf numFmtId="0" fontId="43" fillId="12" borderId="0" xfId="7" applyFont="1" applyFill="1" applyAlignment="1">
      <alignment vertical="center"/>
    </xf>
    <xf numFmtId="0" fontId="43" fillId="0" borderId="19" xfId="7" quotePrefix="1" applyFont="1" applyBorder="1" applyAlignment="1">
      <alignment horizontal="center" vertical="center"/>
    </xf>
    <xf numFmtId="2" fontId="43" fillId="14" borderId="19" xfId="7" applyNumberFormat="1" applyFont="1" applyFill="1" applyBorder="1" applyAlignment="1" applyProtection="1">
      <alignment horizontal="center" vertical="center"/>
      <protection locked="0"/>
    </xf>
    <xf numFmtId="2" fontId="43" fillId="15" borderId="85" xfId="7" applyNumberFormat="1" applyFont="1" applyFill="1" applyBorder="1" applyAlignment="1" applyProtection="1">
      <alignment horizontal="center" vertical="center"/>
      <protection locked="0"/>
    </xf>
    <xf numFmtId="2" fontId="43" fillId="14" borderId="17" xfId="7" applyNumberFormat="1" applyFont="1" applyFill="1" applyBorder="1" applyAlignment="1" applyProtection="1">
      <alignment horizontal="center" vertical="center"/>
      <protection locked="0"/>
    </xf>
    <xf numFmtId="2" fontId="43" fillId="0" borderId="19" xfId="7" applyNumberFormat="1" applyFont="1" applyBorder="1" applyAlignment="1">
      <alignment horizontal="center" vertical="center"/>
    </xf>
    <xf numFmtId="2" fontId="43" fillId="0" borderId="85" xfId="7" applyNumberFormat="1" applyFont="1" applyBorder="1" applyAlignment="1">
      <alignment horizontal="center" vertical="center"/>
    </xf>
    <xf numFmtId="2" fontId="43" fillId="0" borderId="17" xfId="7" applyNumberFormat="1" applyFont="1" applyBorder="1" applyAlignment="1">
      <alignment horizontal="center" vertical="center"/>
    </xf>
    <xf numFmtId="0" fontId="43" fillId="0" borderId="20" xfId="7" quotePrefix="1" applyFont="1" applyBorder="1" applyAlignment="1">
      <alignment horizontal="center" vertical="center"/>
    </xf>
    <xf numFmtId="2" fontId="43" fillId="0" borderId="20" xfId="7" applyNumberFormat="1" applyFont="1" applyBorder="1" applyAlignment="1">
      <alignment horizontal="center" vertical="center"/>
    </xf>
    <xf numFmtId="2" fontId="43" fillId="0" borderId="81" xfId="7" applyNumberFormat="1" applyFont="1" applyBorder="1" applyAlignment="1">
      <alignment horizontal="center" vertical="center"/>
    </xf>
    <xf numFmtId="2" fontId="43" fillId="0" borderId="21" xfId="7" applyNumberFormat="1" applyFont="1" applyBorder="1" applyAlignment="1">
      <alignment horizontal="center" vertical="center"/>
    </xf>
    <xf numFmtId="1" fontId="43" fillId="0" borderId="15" xfId="7" quotePrefix="1" applyNumberFormat="1" applyFont="1" applyBorder="1" applyAlignment="1">
      <alignment vertical="center"/>
    </xf>
    <xf numFmtId="2" fontId="43" fillId="0" borderId="15" xfId="7" applyNumberFormat="1" applyFont="1" applyBorder="1" applyAlignment="1">
      <alignment horizontal="center" vertical="center"/>
    </xf>
    <xf numFmtId="2" fontId="43" fillId="0" borderId="86" xfId="7" applyNumberFormat="1" applyFont="1" applyBorder="1" applyAlignment="1">
      <alignment horizontal="center" vertical="center"/>
    </xf>
    <xf numFmtId="2" fontId="43" fillId="0" borderId="36" xfId="7" applyNumberFormat="1" applyFont="1" applyBorder="1" applyAlignment="1">
      <alignment horizontal="center" vertical="center"/>
    </xf>
    <xf numFmtId="0" fontId="43" fillId="0" borderId="13" xfId="7" quotePrefix="1" applyFont="1" applyBorder="1" applyAlignment="1">
      <alignment vertical="center"/>
    </xf>
    <xf numFmtId="2" fontId="43" fillId="16" borderId="13" xfId="7" applyNumberFormat="1" applyFont="1" applyFill="1" applyBorder="1" applyAlignment="1" applyProtection="1">
      <alignment horizontal="center" vertical="center"/>
      <protection locked="0"/>
    </xf>
    <xf numFmtId="2" fontId="43" fillId="15" borderId="14" xfId="7" applyNumberFormat="1" applyFont="1" applyFill="1" applyBorder="1" applyAlignment="1" applyProtection="1">
      <alignment horizontal="center" vertical="center"/>
      <protection locked="0"/>
    </xf>
    <xf numFmtId="2" fontId="43" fillId="16" borderId="49" xfId="7" applyNumberFormat="1" applyFont="1" applyFill="1" applyBorder="1" applyAlignment="1" applyProtection="1">
      <alignment horizontal="center" vertical="center"/>
      <protection locked="0"/>
    </xf>
    <xf numFmtId="165" fontId="39" fillId="0" borderId="13" xfId="7" applyNumberFormat="1" applyFont="1" applyBorder="1" applyAlignment="1">
      <alignment horizontal="center" vertical="center"/>
    </xf>
    <xf numFmtId="165" fontId="39" fillId="0" borderId="14" xfId="7" applyNumberFormat="1" applyFont="1" applyBorder="1" applyAlignment="1">
      <alignment horizontal="center" vertical="center"/>
    </xf>
    <xf numFmtId="165" fontId="39" fillId="0" borderId="49" xfId="7" applyNumberFormat="1" applyFont="1" applyBorder="1" applyAlignment="1">
      <alignment horizontal="center" vertical="center"/>
    </xf>
    <xf numFmtId="0" fontId="42" fillId="0" borderId="0" xfId="7" applyFont="1" applyAlignment="1">
      <alignment horizontal="center" vertical="top"/>
    </xf>
    <xf numFmtId="0" fontId="44" fillId="12" borderId="0" xfId="7" applyFont="1" applyFill="1" applyAlignment="1">
      <alignment vertical="center" wrapText="1"/>
    </xf>
    <xf numFmtId="0" fontId="43" fillId="12" borderId="0" xfId="7" applyFont="1" applyFill="1"/>
    <xf numFmtId="0" fontId="1" fillId="12" borderId="0" xfId="7" applyFill="1" applyProtection="1">
      <protection locked="0"/>
    </xf>
    <xf numFmtId="0" fontId="1" fillId="11" borderId="0" xfId="7" applyFill="1"/>
    <xf numFmtId="0" fontId="47" fillId="0" borderId="0" xfId="7" applyFont="1" applyAlignment="1">
      <alignment horizontal="right" vertical="center"/>
    </xf>
    <xf numFmtId="0" fontId="48" fillId="0" borderId="0" xfId="7" applyFont="1"/>
    <xf numFmtId="0" fontId="39" fillId="0" borderId="14" xfId="7" applyFont="1" applyBorder="1" applyAlignment="1">
      <alignment horizontal="center"/>
    </xf>
    <xf numFmtId="0" fontId="40" fillId="11" borderId="0" xfId="7" applyFont="1" applyFill="1"/>
    <xf numFmtId="0" fontId="40" fillId="8" borderId="92" xfId="7" applyFont="1" applyFill="1" applyBorder="1" applyAlignment="1">
      <alignment vertical="center"/>
    </xf>
    <xf numFmtId="0" fontId="40" fillId="0" borderId="0" xfId="7" applyFont="1"/>
    <xf numFmtId="0" fontId="40" fillId="8" borderId="97" xfId="7" applyFont="1" applyFill="1" applyBorder="1" applyAlignment="1">
      <alignment vertical="center"/>
    </xf>
    <xf numFmtId="165" fontId="40" fillId="0" borderId="35" xfId="7" applyNumberFormat="1" applyFont="1" applyBorder="1" applyAlignment="1">
      <alignment horizontal="center" vertical="center"/>
    </xf>
    <xf numFmtId="165" fontId="40" fillId="0" borderId="14" xfId="7" applyNumberFormat="1" applyFont="1" applyBorder="1" applyAlignment="1">
      <alignment horizontal="center" vertical="center"/>
    </xf>
    <xf numFmtId="0" fontId="39" fillId="0" borderId="0" xfId="7" applyFont="1" applyAlignment="1">
      <alignment vertical="center"/>
    </xf>
    <xf numFmtId="165" fontId="40" fillId="14" borderId="35" xfId="7" applyNumberFormat="1" applyFont="1" applyFill="1" applyBorder="1" applyAlignment="1" applyProtection="1">
      <alignment horizontal="center" vertical="center"/>
      <protection locked="0"/>
    </xf>
    <xf numFmtId="0" fontId="45" fillId="0" borderId="0" xfId="7" applyFont="1" applyAlignment="1">
      <alignment horizontal="center"/>
    </xf>
    <xf numFmtId="0" fontId="1" fillId="0" borderId="11" xfId="7" applyBorder="1" applyAlignment="1">
      <alignment horizontal="right" vertical="center"/>
    </xf>
    <xf numFmtId="2" fontId="43" fillId="0" borderId="11" xfId="7" applyNumberFormat="1" applyFont="1" applyBorder="1" applyAlignment="1">
      <alignment horizontal="center" vertical="center"/>
    </xf>
    <xf numFmtId="0" fontId="43" fillId="0" borderId="11" xfId="7" applyFont="1" applyBorder="1" applyAlignment="1">
      <alignment horizontal="left" vertical="center"/>
    </xf>
    <xf numFmtId="0" fontId="42" fillId="0" borderId="0" xfId="7" applyFont="1"/>
    <xf numFmtId="0" fontId="52" fillId="0" borderId="0" xfId="7" applyFont="1"/>
    <xf numFmtId="0" fontId="47" fillId="0" borderId="0" xfId="7" applyFont="1" applyAlignment="1">
      <alignment horizontal="center" vertical="center"/>
    </xf>
    <xf numFmtId="0" fontId="42" fillId="0" borderId="0" xfId="7" quotePrefix="1" applyFont="1" applyAlignment="1">
      <alignment horizontal="center" vertical="center"/>
    </xf>
    <xf numFmtId="0" fontId="43" fillId="0" borderId="6" xfId="7" applyFont="1" applyBorder="1" applyAlignment="1">
      <alignment horizontal="center" vertical="center"/>
    </xf>
    <xf numFmtId="0" fontId="42" fillId="0" borderId="0" xfId="7" applyFont="1" applyAlignment="1">
      <alignment horizontal="left" vertical="center"/>
    </xf>
    <xf numFmtId="0" fontId="42" fillId="0" borderId="0" xfId="7" quotePrefix="1" applyFont="1" applyAlignment="1">
      <alignment horizontal="left" vertical="top"/>
    </xf>
    <xf numFmtId="0" fontId="40" fillId="0" borderId="13" xfId="7" applyFont="1" applyBorder="1"/>
    <xf numFmtId="0" fontId="40" fillId="0" borderId="101" xfId="7" applyFont="1" applyBorder="1" applyAlignment="1">
      <alignment horizontal="center"/>
    </xf>
    <xf numFmtId="0" fontId="43" fillId="0" borderId="9" xfId="7" applyFont="1" applyBorder="1" applyAlignment="1">
      <alignment vertical="center"/>
    </xf>
    <xf numFmtId="0" fontId="40" fillId="14" borderId="6" xfId="7" applyFont="1" applyFill="1" applyBorder="1" applyAlignment="1" applyProtection="1">
      <alignment horizontal="center"/>
      <protection locked="0"/>
    </xf>
    <xf numFmtId="0" fontId="40" fillId="14" borderId="104" xfId="7" applyFont="1" applyFill="1" applyBorder="1" applyAlignment="1" applyProtection="1">
      <alignment horizontal="center"/>
      <protection locked="0"/>
    </xf>
    <xf numFmtId="0" fontId="43" fillId="0" borderId="19" xfId="7" applyFont="1" applyBorder="1" applyAlignment="1">
      <alignment vertical="center"/>
    </xf>
    <xf numFmtId="165" fontId="40" fillId="14" borderId="39" xfId="7" applyNumberFormat="1" applyFont="1" applyFill="1" applyBorder="1" applyAlignment="1" applyProtection="1">
      <alignment horizontal="center"/>
      <protection locked="0"/>
    </xf>
    <xf numFmtId="165" fontId="40" fillId="14" borderId="6" xfId="7" applyNumberFormat="1" applyFont="1" applyFill="1" applyBorder="1" applyAlignment="1" applyProtection="1">
      <alignment horizontal="center"/>
      <protection locked="0"/>
    </xf>
    <xf numFmtId="165" fontId="40" fillId="14" borderId="79" xfId="7" applyNumberFormat="1" applyFont="1" applyFill="1" applyBorder="1" applyAlignment="1" applyProtection="1">
      <alignment horizontal="center"/>
      <protection locked="0"/>
    </xf>
    <xf numFmtId="0" fontId="39" fillId="0" borderId="0" xfId="7" applyFont="1" applyAlignment="1">
      <alignment horizontal="left" vertical="center"/>
    </xf>
    <xf numFmtId="0" fontId="43" fillId="0" borderId="15" xfId="7" applyFont="1" applyBorder="1" applyAlignment="1">
      <alignment vertical="center"/>
    </xf>
    <xf numFmtId="2" fontId="40" fillId="0" borderId="35" xfId="7" applyNumberFormat="1" applyFont="1" applyBorder="1" applyAlignment="1">
      <alignment horizontal="center" vertical="center"/>
    </xf>
    <xf numFmtId="2" fontId="40" fillId="0" borderId="105" xfId="7" applyNumberFormat="1" applyFont="1" applyBorder="1" applyAlignment="1">
      <alignment horizontal="center" vertical="center"/>
    </xf>
    <xf numFmtId="0" fontId="43" fillId="0" borderId="106" xfId="7" applyFont="1" applyBorder="1" applyAlignment="1">
      <alignment horizontal="right" vertical="center"/>
    </xf>
    <xf numFmtId="0" fontId="40" fillId="14" borderId="107" xfId="7" applyFont="1" applyFill="1" applyBorder="1" applyAlignment="1" applyProtection="1">
      <alignment horizontal="center" vertical="center"/>
      <protection locked="0"/>
    </xf>
    <xf numFmtId="0" fontId="43" fillId="0" borderId="95" xfId="7" applyFont="1" applyBorder="1" applyAlignment="1">
      <alignment horizontal="right" vertical="center"/>
    </xf>
    <xf numFmtId="165" fontId="40" fillId="14" borderId="107" xfId="7" applyNumberFormat="1" applyFont="1" applyFill="1" applyBorder="1" applyAlignment="1" applyProtection="1">
      <alignment horizontal="center" vertical="center"/>
      <protection locked="0"/>
    </xf>
    <xf numFmtId="0" fontId="42" fillId="0" borderId="15" xfId="7" quotePrefix="1" applyFont="1" applyBorder="1" applyAlignment="1">
      <alignment horizontal="right" vertical="center"/>
    </xf>
    <xf numFmtId="165" fontId="40" fillId="0" borderId="105" xfId="7" applyNumberFormat="1" applyFont="1" applyBorder="1" applyAlignment="1">
      <alignment horizontal="center" vertical="center"/>
    </xf>
    <xf numFmtId="0" fontId="43" fillId="0" borderId="13" xfId="7" applyFont="1" applyBorder="1" applyAlignment="1">
      <alignment horizontal="left" vertical="center"/>
    </xf>
    <xf numFmtId="0" fontId="39" fillId="0" borderId="0" xfId="7" applyFont="1"/>
    <xf numFmtId="0" fontId="40" fillId="0" borderId="0" xfId="7" applyFont="1" applyAlignment="1">
      <alignment vertical="center"/>
    </xf>
    <xf numFmtId="0" fontId="1" fillId="15" borderId="0" xfId="7" applyFill="1"/>
    <xf numFmtId="0" fontId="40" fillId="0" borderId="23" xfId="7" quotePrefix="1" applyFont="1" applyBorder="1" applyAlignment="1">
      <alignment horizontal="center" vertical="center"/>
    </xf>
    <xf numFmtId="0" fontId="43" fillId="0" borderId="11" xfId="7" quotePrefix="1" applyFont="1" applyBorder="1" applyAlignment="1">
      <alignment horizontal="center" vertical="center"/>
    </xf>
    <xf numFmtId="165" fontId="40" fillId="0" borderId="23" xfId="7" quotePrefix="1" applyNumberFormat="1" applyFont="1" applyBorder="1" applyAlignment="1">
      <alignment horizontal="center" vertical="center"/>
    </xf>
    <xf numFmtId="0" fontId="40" fillId="0" borderId="0" xfId="7" quotePrefix="1" applyFont="1" applyAlignment="1">
      <alignment vertical="center"/>
    </xf>
    <xf numFmtId="0" fontId="42" fillId="0" borderId="11" xfId="7" applyFont="1" applyBorder="1" applyAlignment="1">
      <alignment horizontal="center"/>
    </xf>
    <xf numFmtId="165" fontId="1" fillId="0" borderId="0" xfId="7" applyNumberFormat="1" applyAlignment="1">
      <alignment horizontal="center" vertical="center"/>
    </xf>
    <xf numFmtId="0" fontId="38" fillId="0" borderId="0" xfId="7" applyFont="1" applyAlignment="1">
      <alignment horizontal="left" vertical="top"/>
    </xf>
    <xf numFmtId="0" fontId="43" fillId="0" borderId="0" xfId="7" applyFont="1" applyAlignment="1">
      <alignment horizontal="center" vertical="top"/>
    </xf>
    <xf numFmtId="0" fontId="43" fillId="0" borderId="0" xfId="7" applyFont="1" applyAlignment="1">
      <alignment horizontal="center" vertical="top" wrapText="1"/>
    </xf>
    <xf numFmtId="0" fontId="38" fillId="0" borderId="0" xfId="7" applyFont="1" applyAlignment="1">
      <alignment horizontal="center" vertical="center"/>
    </xf>
    <xf numFmtId="0" fontId="39" fillId="0" borderId="0" xfId="7" applyFont="1" applyAlignment="1">
      <alignment horizontal="left"/>
    </xf>
    <xf numFmtId="0" fontId="1" fillId="0" borderId="106" xfId="7" applyBorder="1" applyAlignment="1">
      <alignment horizontal="right" vertical="center"/>
    </xf>
    <xf numFmtId="0" fontId="43" fillId="0" borderId="114" xfId="7" applyFont="1" applyBorder="1" applyAlignment="1">
      <alignment horizontal="right" vertical="center"/>
    </xf>
    <xf numFmtId="0" fontId="38" fillId="11" borderId="0" xfId="7" applyFont="1" applyFill="1"/>
    <xf numFmtId="0" fontId="43" fillId="0" borderId="15" xfId="7" quotePrefix="1" applyFont="1" applyBorder="1" applyAlignment="1">
      <alignment horizontal="right" vertical="center"/>
    </xf>
    <xf numFmtId="0" fontId="0" fillId="13" borderId="2" xfId="0" applyFill="1" applyBorder="1" applyAlignment="1">
      <alignment horizontal="left" vertical="center"/>
    </xf>
    <xf numFmtId="0" fontId="2" fillId="0" borderId="3" xfId="0" applyFont="1" applyBorder="1"/>
    <xf numFmtId="0" fontId="2" fillId="0" borderId="4" xfId="0" applyFont="1" applyBorder="1"/>
    <xf numFmtId="0" fontId="2" fillId="0" borderId="5" xfId="0" applyFont="1" applyBorder="1"/>
    <xf numFmtId="0" fontId="2" fillId="11" borderId="0" xfId="0" applyFont="1" applyFill="1"/>
    <xf numFmtId="0" fontId="2" fillId="0" borderId="0" xfId="0" applyFont="1" applyAlignment="1">
      <alignment horizontal="left"/>
    </xf>
    <xf numFmtId="0" fontId="25" fillId="0" borderId="25" xfId="0" applyFont="1" applyBorder="1" applyAlignment="1">
      <alignment horizontal="left" vertical="top"/>
    </xf>
    <xf numFmtId="0" fontId="25" fillId="0" borderId="23" xfId="0" applyFont="1" applyBorder="1" applyAlignment="1">
      <alignment horizontal="left" vertical="top"/>
    </xf>
    <xf numFmtId="0" fontId="53" fillId="0" borderId="23" xfId="0" applyFont="1" applyBorder="1" applyAlignment="1">
      <alignment horizontal="left" vertical="top" wrapText="1"/>
    </xf>
    <xf numFmtId="0" fontId="25" fillId="0" borderId="23" xfId="0" applyFont="1" applyBorder="1" applyAlignment="1">
      <alignment horizontal="left" vertical="top" wrapText="1"/>
    </xf>
    <xf numFmtId="0" fontId="2" fillId="0" borderId="0" xfId="0" applyFont="1" applyAlignment="1">
      <alignment horizontal="left" vertical="center"/>
    </xf>
    <xf numFmtId="0" fontId="2" fillId="0" borderId="0" xfId="0" applyFont="1" applyAlignment="1">
      <alignment horizontal="left" vertical="top"/>
    </xf>
    <xf numFmtId="0" fontId="0" fillId="0" borderId="6"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13" xfId="0" applyBorder="1" applyAlignment="1">
      <alignment horizontal="center"/>
    </xf>
    <xf numFmtId="0" fontId="3" fillId="0" borderId="0" xfId="0" applyFont="1" applyAlignment="1">
      <alignment horizontal="center"/>
    </xf>
    <xf numFmtId="0" fontId="0" fillId="0" borderId="11" xfId="0" applyBorder="1" applyAlignment="1">
      <alignment horizontal="center"/>
    </xf>
    <xf numFmtId="0" fontId="0" fillId="0" borderId="9"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xf>
    <xf numFmtId="0" fontId="2" fillId="0" borderId="0" xfId="0" applyFont="1" applyAlignment="1">
      <alignment horizontal="center"/>
    </xf>
    <xf numFmtId="0" fontId="0" fillId="0" borderId="0" xfId="0" applyProtection="1">
      <protection locked="0"/>
    </xf>
    <xf numFmtId="0" fontId="43" fillId="0" borderId="0" xfId="7" applyFont="1" applyAlignment="1">
      <alignment horizontal="left" vertical="top" wrapText="1"/>
    </xf>
    <xf numFmtId="0" fontId="43" fillId="0" borderId="0" xfId="7" applyFont="1" applyAlignment="1">
      <alignment horizontal="left" vertical="center"/>
    </xf>
    <xf numFmtId="0" fontId="40" fillId="0" borderId="0" xfId="7" applyFont="1" applyAlignment="1">
      <alignment horizontal="center"/>
    </xf>
    <xf numFmtId="0" fontId="1" fillId="0" borderId="0" xfId="7" applyAlignment="1">
      <alignment horizontal="left"/>
    </xf>
    <xf numFmtId="0" fontId="1" fillId="0" borderId="0" xfId="7"/>
    <xf numFmtId="0" fontId="40" fillId="0" borderId="0" xfId="7" quotePrefix="1" applyFont="1" applyAlignment="1">
      <alignment horizontal="center" vertical="center"/>
    </xf>
    <xf numFmtId="0" fontId="40" fillId="0" borderId="0" xfId="7" applyFont="1" applyAlignment="1">
      <alignment horizontal="center" vertical="center"/>
    </xf>
    <xf numFmtId="0" fontId="1" fillId="0" borderId="11" xfId="7" applyBorder="1" applyAlignment="1">
      <alignment horizontal="center"/>
    </xf>
    <xf numFmtId="0" fontId="43" fillId="0" borderId="0" xfId="7" applyFont="1" applyAlignment="1">
      <alignment vertical="center" wrapText="1"/>
    </xf>
    <xf numFmtId="0" fontId="43" fillId="0" borderId="0" xfId="7" applyFont="1" applyAlignment="1">
      <alignment vertical="center"/>
    </xf>
    <xf numFmtId="0" fontId="42" fillId="0" borderId="13" xfId="7" applyFont="1" applyBorder="1" applyAlignment="1">
      <alignment horizontal="center" vertical="center"/>
    </xf>
    <xf numFmtId="0" fontId="42" fillId="0" borderId="49" xfId="7" applyFont="1" applyBorder="1" applyAlignment="1">
      <alignment horizontal="center" vertical="center"/>
    </xf>
    <xf numFmtId="165" fontId="40" fillId="14" borderId="83" xfId="7" applyNumberFormat="1" applyFont="1" applyFill="1" applyBorder="1" applyAlignment="1" applyProtection="1">
      <alignment horizontal="center" vertical="center"/>
      <protection locked="0"/>
    </xf>
    <xf numFmtId="0" fontId="42" fillId="0" borderId="0" xfId="7" applyFont="1" applyAlignment="1">
      <alignment horizontal="left" vertical="top" wrapText="1"/>
    </xf>
    <xf numFmtId="0" fontId="40" fillId="14" borderId="91" xfId="7" applyFont="1" applyFill="1" applyBorder="1" applyAlignment="1" applyProtection="1">
      <alignment horizontal="center" vertical="center"/>
      <protection locked="0"/>
    </xf>
    <xf numFmtId="0" fontId="40" fillId="0" borderId="83" xfId="7" applyFont="1" applyBorder="1" applyAlignment="1">
      <alignment horizontal="center"/>
    </xf>
    <xf numFmtId="2" fontId="40" fillId="0" borderId="108" xfId="7" applyNumberFormat="1" applyFont="1" applyBorder="1" applyAlignment="1">
      <alignment horizontal="center" vertical="center"/>
    </xf>
    <xf numFmtId="165" fontId="40" fillId="14" borderId="31" xfId="7" applyNumberFormat="1" applyFont="1" applyFill="1" applyBorder="1" applyAlignment="1" applyProtection="1">
      <alignment horizontal="center"/>
      <protection locked="0"/>
    </xf>
    <xf numFmtId="165" fontId="40" fillId="14" borderId="91" xfId="7" applyNumberFormat="1" applyFont="1" applyFill="1" applyBorder="1" applyAlignment="1" applyProtection="1">
      <alignment horizontal="center" vertical="center"/>
      <protection locked="0"/>
    </xf>
    <xf numFmtId="0" fontId="1" fillId="0" borderId="0" xfId="7" applyAlignment="1">
      <alignment horizontal="center" vertical="center"/>
    </xf>
    <xf numFmtId="0" fontId="38" fillId="0" borderId="0" xfId="7" applyFont="1" applyAlignment="1">
      <alignment horizontal="left" vertical="center"/>
    </xf>
    <xf numFmtId="0" fontId="43" fillId="0" borderId="0" xfId="7" applyFont="1" applyAlignment="1">
      <alignment horizontal="center" vertical="center"/>
    </xf>
    <xf numFmtId="0" fontId="43" fillId="0" borderId="0" xfId="7" applyFont="1" applyAlignment="1">
      <alignment horizontal="center"/>
    </xf>
    <xf numFmtId="0" fontId="1" fillId="0" borderId="0" xfId="7" applyAlignment="1">
      <alignment horizontal="center"/>
    </xf>
    <xf numFmtId="0" fontId="1" fillId="0" borderId="0" xfId="7" applyAlignment="1">
      <alignment horizontal="right"/>
    </xf>
    <xf numFmtId="0" fontId="0" fillId="0" borderId="4" xfId="0" applyBorder="1" applyAlignment="1">
      <alignment horizontal="center"/>
    </xf>
    <xf numFmtId="0" fontId="0" fillId="0" borderId="5" xfId="0"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0" xfId="0" applyFont="1" applyAlignment="1">
      <alignment horizontal="center"/>
    </xf>
    <xf numFmtId="2" fontId="29" fillId="0" borderId="6" xfId="4" applyNumberFormat="1" applyBorder="1" applyAlignment="1">
      <alignment horizontal="center"/>
    </xf>
    <xf numFmtId="0" fontId="0" fillId="0" borderId="11" xfId="0" applyBorder="1"/>
    <xf numFmtId="0" fontId="0" fillId="0" borderId="0" xfId="0" applyAlignment="1">
      <alignment horizontal="right"/>
    </xf>
    <xf numFmtId="0" fontId="43" fillId="0" borderId="45" xfId="7" applyFont="1" applyBorder="1" applyAlignment="1">
      <alignment horizontal="right" vertical="center"/>
    </xf>
    <xf numFmtId="0" fontId="43" fillId="0" borderId="46" xfId="7" applyFont="1" applyBorder="1" applyAlignment="1">
      <alignment horizontal="right" vertical="center"/>
    </xf>
    <xf numFmtId="0" fontId="39" fillId="0" borderId="0" xfId="7" applyFont="1" applyAlignment="1">
      <alignment horizontal="center"/>
    </xf>
    <xf numFmtId="0" fontId="40" fillId="0" borderId="0" xfId="7" applyFont="1" applyAlignment="1">
      <alignment horizontal="center"/>
    </xf>
    <xf numFmtId="0" fontId="1" fillId="0" borderId="23" xfId="7" applyBorder="1" applyAlignment="1">
      <alignment horizontal="left" vertical="center"/>
    </xf>
    <xf numFmtId="0" fontId="43" fillId="0" borderId="82" xfId="7" applyFont="1" applyBorder="1" applyAlignment="1">
      <alignment horizontal="center" vertical="center"/>
    </xf>
    <xf numFmtId="0" fontId="43" fillId="0" borderId="49" xfId="7" applyFont="1" applyBorder="1" applyAlignment="1">
      <alignment horizontal="center" vertical="center"/>
    </xf>
    <xf numFmtId="0" fontId="43" fillId="0" borderId="83" xfId="7" applyFont="1" applyBorder="1" applyAlignment="1">
      <alignment horizontal="center" vertical="center"/>
    </xf>
    <xf numFmtId="0" fontId="43" fillId="0" borderId="0" xfId="7" applyFont="1" applyAlignment="1">
      <alignment horizontal="left" vertical="top" wrapText="1"/>
    </xf>
    <xf numFmtId="0" fontId="43" fillId="0" borderId="17" xfId="7" applyFont="1" applyBorder="1" applyAlignment="1">
      <alignment horizontal="right" vertical="center"/>
    </xf>
    <xf numFmtId="0" fontId="43" fillId="0" borderId="2" xfId="7" applyFont="1" applyBorder="1" applyAlignment="1">
      <alignment horizontal="right" vertical="center"/>
    </xf>
    <xf numFmtId="0" fontId="43" fillId="0" borderId="17" xfId="7" applyFont="1" applyBorder="1" applyAlignment="1">
      <alignment horizontal="center" vertical="center"/>
    </xf>
    <xf numFmtId="0" fontId="43" fillId="0" borderId="2" xfId="7" applyFont="1" applyBorder="1" applyAlignment="1">
      <alignment horizontal="center" vertical="center"/>
    </xf>
    <xf numFmtId="0" fontId="43" fillId="0" borderId="21" xfId="7" applyFont="1" applyBorder="1" applyAlignment="1">
      <alignment horizontal="center" vertical="center"/>
    </xf>
    <xf numFmtId="0" fontId="43" fillId="0" borderId="30" xfId="7" applyFont="1" applyBorder="1" applyAlignment="1">
      <alignment horizontal="center" vertical="center"/>
    </xf>
    <xf numFmtId="0" fontId="43" fillId="0" borderId="50" xfId="7" applyFont="1" applyBorder="1" applyAlignment="1">
      <alignment horizontal="center" vertical="center"/>
    </xf>
    <xf numFmtId="0" fontId="43" fillId="0" borderId="0" xfId="7" applyFont="1" applyAlignment="1">
      <alignment horizontal="left" vertical="center"/>
    </xf>
    <xf numFmtId="0" fontId="44" fillId="0" borderId="0" xfId="7" applyFont="1" applyAlignment="1">
      <alignment horizontal="left" vertical="center" wrapText="1"/>
    </xf>
    <xf numFmtId="0" fontId="43" fillId="0" borderId="0" xfId="7" applyFont="1" applyAlignment="1">
      <alignment horizontal="left" vertical="center" wrapText="1"/>
    </xf>
    <xf numFmtId="0" fontId="46" fillId="0" borderId="0" xfId="7" applyFont="1" applyAlignment="1">
      <alignment horizontal="center" vertical="center"/>
    </xf>
    <xf numFmtId="14" fontId="1" fillId="0" borderId="11" xfId="7" applyNumberFormat="1" applyBorder="1" applyAlignment="1">
      <alignment horizontal="center"/>
    </xf>
    <xf numFmtId="0" fontId="1" fillId="0" borderId="17" xfId="7" applyBorder="1" applyAlignment="1">
      <alignment horizontal="center"/>
    </xf>
    <xf numFmtId="0" fontId="1" fillId="0" borderId="13" xfId="7" applyBorder="1" applyAlignment="1">
      <alignment horizontal="center"/>
    </xf>
    <xf numFmtId="0" fontId="1" fillId="0" borderId="49" xfId="7" applyBorder="1" applyAlignment="1">
      <alignment horizontal="center"/>
    </xf>
    <xf numFmtId="0" fontId="1" fillId="0" borderId="50" xfId="7" applyBorder="1" applyAlignment="1">
      <alignment horizontal="center"/>
    </xf>
    <xf numFmtId="0" fontId="40" fillId="0" borderId="49" xfId="7" applyFont="1" applyBorder="1" applyAlignment="1">
      <alignment horizontal="center"/>
    </xf>
    <xf numFmtId="0" fontId="40" fillId="0" borderId="87" xfId="7" applyFont="1" applyBorder="1" applyAlignment="1">
      <alignment horizontal="center"/>
    </xf>
    <xf numFmtId="0" fontId="40" fillId="0" borderId="83" xfId="7" applyFont="1" applyBorder="1" applyAlignment="1">
      <alignment horizontal="center"/>
    </xf>
    <xf numFmtId="0" fontId="43" fillId="0" borderId="16" xfId="7" applyFont="1" applyBorder="1" applyAlignment="1">
      <alignment horizontal="center" vertical="center"/>
    </xf>
    <xf numFmtId="0" fontId="43" fillId="0" borderId="26" xfId="7" applyFont="1" applyBorder="1" applyAlignment="1">
      <alignment horizontal="center" vertical="center"/>
    </xf>
    <xf numFmtId="0" fontId="40" fillId="14" borderId="88" xfId="7" applyFont="1" applyFill="1" applyBorder="1" applyAlignment="1" applyProtection="1">
      <alignment horizontal="center" vertical="center"/>
      <protection locked="0"/>
    </xf>
    <xf numFmtId="0" fontId="40" fillId="14" borderId="89" xfId="7" applyFont="1" applyFill="1" applyBorder="1" applyAlignment="1" applyProtection="1">
      <alignment horizontal="center" vertical="center"/>
      <protection locked="0"/>
    </xf>
    <xf numFmtId="0" fontId="40" fillId="14" borderId="90" xfId="7" applyFont="1" applyFill="1" applyBorder="1" applyAlignment="1" applyProtection="1">
      <alignment horizontal="center" vertical="center"/>
      <protection locked="0"/>
    </xf>
    <xf numFmtId="0" fontId="43" fillId="0" borderId="93" xfId="7" applyFont="1" applyBorder="1" applyAlignment="1">
      <alignment horizontal="right" vertical="center"/>
    </xf>
    <xf numFmtId="0" fontId="43" fillId="0" borderId="94" xfId="7" applyFont="1" applyBorder="1" applyAlignment="1">
      <alignment horizontal="right" vertical="center"/>
    </xf>
    <xf numFmtId="0" fontId="40" fillId="14" borderId="95" xfId="7" applyFont="1" applyFill="1" applyBorder="1" applyAlignment="1" applyProtection="1">
      <alignment horizontal="center" vertical="center"/>
      <protection locked="0"/>
    </xf>
    <xf numFmtId="0" fontId="40" fillId="14" borderId="96" xfId="7" applyFont="1" applyFill="1" applyBorder="1" applyAlignment="1" applyProtection="1">
      <alignment horizontal="center" vertical="center"/>
      <protection locked="0"/>
    </xf>
    <xf numFmtId="0" fontId="40" fillId="14" borderId="91" xfId="7" applyFont="1" applyFill="1" applyBorder="1" applyAlignment="1" applyProtection="1">
      <alignment horizontal="center" vertical="center"/>
      <protection locked="0"/>
    </xf>
    <xf numFmtId="0" fontId="42" fillId="0" borderId="98" xfId="7" quotePrefix="1" applyFont="1" applyBorder="1" applyAlignment="1">
      <alignment horizontal="right" vertical="center"/>
    </xf>
    <xf numFmtId="0" fontId="42" fillId="0" borderId="99" xfId="7" quotePrefix="1" applyFont="1" applyBorder="1" applyAlignment="1">
      <alignment horizontal="right" vertical="center"/>
    </xf>
    <xf numFmtId="165" fontId="40" fillId="0" borderId="98" xfId="7" quotePrefix="1" applyNumberFormat="1" applyFont="1" applyBorder="1" applyAlignment="1">
      <alignment horizontal="center" vertical="center"/>
    </xf>
    <xf numFmtId="165" fontId="40" fillId="0" borderId="100" xfId="7" quotePrefix="1" applyNumberFormat="1" applyFont="1" applyBorder="1" applyAlignment="1">
      <alignment horizontal="center" vertical="center"/>
    </xf>
    <xf numFmtId="0" fontId="42" fillId="0" borderId="13" xfId="7" applyFont="1" applyBorder="1" applyAlignment="1">
      <alignment horizontal="center" vertical="center"/>
    </xf>
    <xf numFmtId="0" fontId="42" fillId="0" borderId="49" xfId="7" applyFont="1" applyBorder="1" applyAlignment="1">
      <alignment horizontal="center" vertical="center"/>
    </xf>
    <xf numFmtId="0" fontId="42" fillId="0" borderId="50" xfId="7" applyFont="1" applyBorder="1" applyAlignment="1">
      <alignment horizontal="center" vertical="center"/>
    </xf>
    <xf numFmtId="165" fontId="40" fillId="14" borderId="49" xfId="7" applyNumberFormat="1" applyFont="1" applyFill="1" applyBorder="1" applyAlignment="1" applyProtection="1">
      <alignment horizontal="center" vertical="center"/>
      <protection locked="0"/>
    </xf>
    <xf numFmtId="165" fontId="40" fillId="14" borderId="87" xfId="7" applyNumberFormat="1" applyFont="1" applyFill="1" applyBorder="1" applyAlignment="1" applyProtection="1">
      <alignment horizontal="center" vertical="center"/>
      <protection locked="0"/>
    </xf>
    <xf numFmtId="165" fontId="40" fillId="14" borderId="83" xfId="7" applyNumberFormat="1" applyFont="1" applyFill="1" applyBorder="1" applyAlignment="1" applyProtection="1">
      <alignment horizontal="center" vertical="center"/>
      <protection locked="0"/>
    </xf>
    <xf numFmtId="0" fontId="42" fillId="0" borderId="0" xfId="7" applyFont="1" applyAlignment="1">
      <alignment horizontal="left" vertical="top" wrapText="1"/>
    </xf>
    <xf numFmtId="0" fontId="40" fillId="0" borderId="0" xfId="7" quotePrefix="1" applyFont="1" applyAlignment="1">
      <alignment horizontal="center" vertical="center"/>
    </xf>
    <xf numFmtId="0" fontId="40" fillId="0" borderId="0" xfId="7" applyFont="1" applyAlignment="1">
      <alignment horizontal="center" vertical="center"/>
    </xf>
    <xf numFmtId="0" fontId="43" fillId="0" borderId="11" xfId="7" applyFont="1" applyBorder="1" applyAlignment="1">
      <alignment horizontal="center"/>
    </xf>
    <xf numFmtId="164" fontId="40" fillId="0" borderId="70" xfId="7" applyNumberFormat="1" applyFont="1" applyBorder="1" applyAlignment="1">
      <alignment horizontal="center" vertical="center"/>
    </xf>
    <xf numFmtId="164" fontId="40" fillId="0" borderId="25" xfId="7" applyNumberFormat="1" applyFont="1" applyBorder="1" applyAlignment="1">
      <alignment horizontal="center" vertical="center"/>
    </xf>
    <xf numFmtId="0" fontId="43" fillId="0" borderId="6" xfId="7" applyFont="1" applyBorder="1" applyAlignment="1">
      <alignment horizontal="left" vertical="center"/>
    </xf>
    <xf numFmtId="0" fontId="43" fillId="0" borderId="4" xfId="7" applyFont="1" applyBorder="1" applyAlignment="1">
      <alignment horizontal="center"/>
    </xf>
    <xf numFmtId="0" fontId="1" fillId="0" borderId="0" xfId="7" applyAlignment="1">
      <alignment horizontal="left" wrapText="1"/>
    </xf>
    <xf numFmtId="0" fontId="1" fillId="0" borderId="11" xfId="7" applyBorder="1" applyAlignment="1">
      <alignment horizontal="center"/>
    </xf>
    <xf numFmtId="2" fontId="40" fillId="0" borderId="70" xfId="7" applyNumberFormat="1" applyFont="1" applyBorder="1" applyAlignment="1">
      <alignment horizontal="center" vertical="center"/>
    </xf>
    <xf numFmtId="2" fontId="40" fillId="0" borderId="25" xfId="7" applyNumberFormat="1" applyFont="1" applyBorder="1" applyAlignment="1">
      <alignment horizontal="center" vertical="center"/>
    </xf>
    <xf numFmtId="0" fontId="1" fillId="0" borderId="6" xfId="7" quotePrefix="1" applyBorder="1" applyAlignment="1">
      <alignment horizontal="left" vertical="center"/>
    </xf>
    <xf numFmtId="0" fontId="1" fillId="0" borderId="0" xfId="7" applyAlignment="1">
      <alignment horizontal="left" vertical="center"/>
    </xf>
    <xf numFmtId="0" fontId="1" fillId="0" borderId="6" xfId="7" applyBorder="1" applyAlignment="1">
      <alignment horizontal="left" vertical="center"/>
    </xf>
    <xf numFmtId="164" fontId="1" fillId="0" borderId="4" xfId="7" applyNumberFormat="1" applyBorder="1" applyAlignment="1">
      <alignment horizontal="center"/>
    </xf>
    <xf numFmtId="1" fontId="40" fillId="0" borderId="92" xfId="7" applyNumberFormat="1" applyFont="1" applyBorder="1" applyAlignment="1">
      <alignment horizontal="center" vertical="center"/>
    </xf>
    <xf numFmtId="1" fontId="40" fillId="0" borderId="86" xfId="7" applyNumberFormat="1" applyFont="1" applyBorder="1" applyAlignment="1">
      <alignment horizontal="center" vertical="center"/>
    </xf>
    <xf numFmtId="0" fontId="43" fillId="0" borderId="0" xfId="7" applyFont="1" applyAlignment="1">
      <alignment vertical="center" wrapText="1"/>
    </xf>
    <xf numFmtId="0" fontId="43" fillId="0" borderId="0" xfId="7" applyFont="1" applyAlignment="1">
      <alignment vertical="center"/>
    </xf>
    <xf numFmtId="0" fontId="43" fillId="0" borderId="4" xfId="7" applyFont="1" applyBorder="1" applyAlignment="1">
      <alignment horizontal="center" vertical="center"/>
    </xf>
    <xf numFmtId="0" fontId="1" fillId="0" borderId="0" xfId="7" applyAlignment="1">
      <alignment horizontal="left"/>
    </xf>
    <xf numFmtId="0" fontId="40" fillId="0" borderId="25" xfId="7" applyFont="1" applyBorder="1" applyAlignment="1">
      <alignment horizontal="center" vertical="center"/>
    </xf>
    <xf numFmtId="0" fontId="1" fillId="0" borderId="0" xfId="7" quotePrefix="1" applyAlignment="1">
      <alignment horizontal="left" vertical="center"/>
    </xf>
    <xf numFmtId="0" fontId="1" fillId="0" borderId="4" xfId="7" applyBorder="1" applyAlignment="1">
      <alignment horizontal="center"/>
    </xf>
    <xf numFmtId="0" fontId="40" fillId="14" borderId="44" xfId="7" applyFont="1" applyFill="1" applyBorder="1" applyAlignment="1" applyProtection="1">
      <alignment horizontal="center"/>
      <protection locked="0"/>
    </xf>
    <xf numFmtId="0" fontId="40" fillId="14" borderId="102" xfId="7" applyFont="1" applyFill="1" applyBorder="1" applyAlignment="1" applyProtection="1">
      <alignment horizontal="center"/>
      <protection locked="0"/>
    </xf>
    <xf numFmtId="0" fontId="40" fillId="14" borderId="103" xfId="7" applyFont="1" applyFill="1" applyBorder="1" applyAlignment="1" applyProtection="1">
      <alignment horizontal="center"/>
      <protection locked="0"/>
    </xf>
    <xf numFmtId="0" fontId="43" fillId="14" borderId="31" xfId="7" applyFont="1" applyFill="1" applyBorder="1" applyAlignment="1" applyProtection="1">
      <alignment horizontal="center" vertical="center"/>
      <protection locked="0"/>
    </xf>
    <xf numFmtId="0" fontId="1" fillId="14" borderId="18" xfId="7" applyFill="1" applyBorder="1" applyAlignment="1" applyProtection="1">
      <alignment horizontal="center" vertical="center"/>
      <protection locked="0"/>
    </xf>
    <xf numFmtId="0" fontId="40" fillId="0" borderId="13" xfId="7" applyFont="1" applyBorder="1" applyAlignment="1">
      <alignment horizontal="center"/>
    </xf>
    <xf numFmtId="165" fontId="40" fillId="14" borderId="19" xfId="7" applyNumberFormat="1" applyFont="1" applyFill="1" applyBorder="1" applyAlignment="1" applyProtection="1">
      <alignment horizontal="center"/>
      <protection locked="0"/>
    </xf>
    <xf numFmtId="165" fontId="40" fillId="14" borderId="18" xfId="7" applyNumberFormat="1" applyFont="1" applyFill="1" applyBorder="1" applyAlignment="1" applyProtection="1">
      <alignment horizontal="center"/>
      <protection locked="0"/>
    </xf>
    <xf numFmtId="165" fontId="40" fillId="14" borderId="31" xfId="7" applyNumberFormat="1" applyFont="1" applyFill="1" applyBorder="1" applyAlignment="1" applyProtection="1">
      <alignment horizontal="center"/>
      <protection locked="0"/>
    </xf>
    <xf numFmtId="165" fontId="40" fillId="14" borderId="8" xfId="7" applyNumberFormat="1" applyFont="1" applyFill="1" applyBorder="1" applyAlignment="1" applyProtection="1">
      <alignment horizontal="center"/>
      <protection locked="0"/>
    </xf>
    <xf numFmtId="165" fontId="40" fillId="14" borderId="5" xfId="7" applyNumberFormat="1" applyFont="1" applyFill="1" applyBorder="1" applyAlignment="1" applyProtection="1">
      <alignment horizontal="center"/>
      <protection locked="0"/>
    </xf>
    <xf numFmtId="165" fontId="40" fillId="14" borderId="3" xfId="7" applyNumberFormat="1" applyFont="1" applyFill="1" applyBorder="1" applyAlignment="1" applyProtection="1">
      <alignment horizontal="center"/>
      <protection locked="0"/>
    </xf>
    <xf numFmtId="165" fontId="39" fillId="0" borderId="109" xfId="7" applyNumberFormat="1" applyFont="1" applyBorder="1" applyAlignment="1">
      <alignment horizontal="center" vertical="center"/>
    </xf>
    <xf numFmtId="165" fontId="39" fillId="0" borderId="110" xfId="7" applyNumberFormat="1" applyFont="1" applyBorder="1" applyAlignment="1">
      <alignment horizontal="center" vertical="center"/>
    </xf>
    <xf numFmtId="165" fontId="39" fillId="0" borderId="111" xfId="7" applyNumberFormat="1" applyFont="1" applyBorder="1" applyAlignment="1">
      <alignment horizontal="center" vertical="center"/>
    </xf>
    <xf numFmtId="2" fontId="40" fillId="0" borderId="15" xfId="7" applyNumberFormat="1" applyFont="1" applyBorder="1" applyAlignment="1">
      <alignment horizontal="center" vertical="center"/>
    </xf>
    <xf numFmtId="0" fontId="40" fillId="0" borderId="37" xfId="7" applyFont="1" applyBorder="1" applyAlignment="1">
      <alignment horizontal="center" vertical="center"/>
    </xf>
    <xf numFmtId="0" fontId="43" fillId="14" borderId="95" xfId="7" applyFont="1" applyFill="1" applyBorder="1" applyAlignment="1" applyProtection="1">
      <alignment horizontal="center" vertical="center"/>
      <protection locked="0"/>
    </xf>
    <xf numFmtId="0" fontId="43" fillId="14" borderId="96" xfId="7" applyFont="1" applyFill="1" applyBorder="1" applyAlignment="1" applyProtection="1">
      <alignment horizontal="center" vertical="center"/>
      <protection locked="0"/>
    </xf>
    <xf numFmtId="0" fontId="43" fillId="14" borderId="91" xfId="7" applyFont="1" applyFill="1" applyBorder="1" applyAlignment="1" applyProtection="1">
      <alignment horizontal="center" vertical="center"/>
      <protection locked="0"/>
    </xf>
    <xf numFmtId="165" fontId="43" fillId="14" borderId="95" xfId="7" applyNumberFormat="1" applyFont="1" applyFill="1" applyBorder="1" applyAlignment="1" applyProtection="1">
      <alignment horizontal="center" vertical="center"/>
      <protection locked="0"/>
    </xf>
    <xf numFmtId="165" fontId="43" fillId="14" borderId="96" xfId="7" applyNumberFormat="1" applyFont="1" applyFill="1" applyBorder="1" applyAlignment="1" applyProtection="1">
      <alignment horizontal="center" vertical="center"/>
      <protection locked="0"/>
    </xf>
    <xf numFmtId="165" fontId="43" fillId="14" borderId="91" xfId="7" applyNumberFormat="1" applyFont="1" applyFill="1" applyBorder="1" applyAlignment="1" applyProtection="1">
      <alignment horizontal="center" vertical="center"/>
      <protection locked="0"/>
    </xf>
    <xf numFmtId="2" fontId="40" fillId="0" borderId="82" xfId="7" applyNumberFormat="1" applyFont="1" applyBorder="1" applyAlignment="1">
      <alignment horizontal="center" vertical="center"/>
    </xf>
    <xf numFmtId="2" fontId="40" fillId="0" borderId="108" xfId="7" applyNumberFormat="1" applyFont="1" applyBorder="1" applyAlignment="1">
      <alignment horizontal="center" vertical="center"/>
    </xf>
    <xf numFmtId="0" fontId="43" fillId="0" borderId="0" xfId="7" applyFont="1" applyAlignment="1">
      <alignment horizontal="center" vertical="center" wrapText="1"/>
    </xf>
    <xf numFmtId="0" fontId="1" fillId="0" borderId="0" xfId="7" applyAlignment="1">
      <alignment horizontal="center"/>
    </xf>
    <xf numFmtId="2" fontId="43" fillId="0" borderId="11" xfId="7" applyNumberFormat="1" applyFont="1" applyBorder="1" applyAlignment="1">
      <alignment horizontal="center"/>
    </xf>
    <xf numFmtId="165" fontId="40" fillId="0" borderId="3" xfId="7" applyNumberFormat="1" applyFont="1" applyBorder="1" applyAlignment="1">
      <alignment horizontal="center" vertical="center"/>
    </xf>
    <xf numFmtId="165" fontId="40" fillId="0" borderId="5" xfId="7" applyNumberFormat="1" applyFont="1" applyBorder="1" applyAlignment="1">
      <alignment horizontal="center" vertical="center"/>
    </xf>
    <xf numFmtId="165" fontId="40" fillId="0" borderId="10" xfId="7" applyNumberFormat="1" applyFont="1" applyBorder="1" applyAlignment="1">
      <alignment horizontal="center" vertical="center"/>
    </xf>
    <xf numFmtId="165" fontId="40" fillId="0" borderId="12" xfId="7" applyNumberFormat="1" applyFont="1" applyBorder="1" applyAlignment="1">
      <alignment horizontal="center" vertical="center"/>
    </xf>
    <xf numFmtId="0" fontId="45" fillId="0" borderId="0" xfId="7" applyFont="1" applyAlignment="1">
      <alignment horizontal="center" vertical="center"/>
    </xf>
    <xf numFmtId="0" fontId="43" fillId="0" borderId="0" xfId="7" applyFont="1" applyAlignment="1">
      <alignment horizontal="center"/>
    </xf>
    <xf numFmtId="0" fontId="43" fillId="0" borderId="0" xfId="7" applyFont="1" applyAlignment="1">
      <alignment horizontal="left" wrapText="1"/>
    </xf>
    <xf numFmtId="0" fontId="42" fillId="0" borderId="0" xfId="7" applyFont="1" applyAlignment="1">
      <alignment horizontal="left" vertical="center" wrapText="1"/>
    </xf>
    <xf numFmtId="165" fontId="40" fillId="0" borderId="31" xfId="7" applyNumberFormat="1" applyFont="1" applyBorder="1" applyAlignment="1">
      <alignment horizontal="center" vertical="center" wrapText="1"/>
    </xf>
    <xf numFmtId="165" fontId="40" fillId="0" borderId="17" xfId="7" applyNumberFormat="1" applyFont="1" applyBorder="1" applyAlignment="1">
      <alignment horizontal="center" vertical="center" wrapText="1"/>
    </xf>
    <xf numFmtId="165" fontId="40" fillId="0" borderId="18" xfId="7" applyNumberFormat="1" applyFont="1" applyBorder="1" applyAlignment="1">
      <alignment horizontal="center" vertical="center" wrapText="1"/>
    </xf>
    <xf numFmtId="0" fontId="42" fillId="0" borderId="6" xfId="7" applyFont="1" applyBorder="1" applyAlignment="1">
      <alignment horizontal="left" vertical="center" wrapText="1"/>
    </xf>
    <xf numFmtId="165" fontId="40" fillId="0" borderId="31" xfId="7" applyNumberFormat="1" applyFont="1" applyBorder="1" applyAlignment="1">
      <alignment horizontal="center" vertical="center"/>
    </xf>
    <xf numFmtId="165" fontId="40" fillId="0" borderId="18" xfId="7" applyNumberFormat="1" applyFont="1" applyBorder="1" applyAlignment="1">
      <alignment horizontal="center" vertical="center"/>
    </xf>
    <xf numFmtId="165" fontId="43" fillId="0" borderId="11" xfId="7" quotePrefix="1" applyNumberFormat="1" applyFont="1" applyBorder="1" applyAlignment="1">
      <alignment horizontal="center"/>
    </xf>
    <xf numFmtId="165" fontId="1" fillId="0" borderId="11" xfId="7" applyNumberFormat="1" applyBorder="1" applyAlignment="1">
      <alignment horizontal="center"/>
    </xf>
    <xf numFmtId="0" fontId="38" fillId="0" borderId="0" xfId="7" applyFont="1" applyAlignment="1">
      <alignment horizontal="left" vertical="center"/>
    </xf>
    <xf numFmtId="0" fontId="43" fillId="0" borderId="0" xfId="7" applyFont="1" applyAlignment="1">
      <alignment horizontal="center" vertical="center"/>
    </xf>
    <xf numFmtId="0" fontId="43" fillId="0" borderId="0" xfId="7" applyFont="1" applyAlignment="1">
      <alignment horizontal="right" vertical="center"/>
    </xf>
    <xf numFmtId="0" fontId="1" fillId="0" borderId="0" xfId="7" applyAlignment="1">
      <alignment horizontal="right" vertical="center"/>
    </xf>
    <xf numFmtId="0" fontId="1" fillId="0" borderId="0" xfId="7" applyAlignment="1">
      <alignment horizontal="center" vertical="center"/>
    </xf>
    <xf numFmtId="165" fontId="38" fillId="0" borderId="31" xfId="7" applyNumberFormat="1" applyFont="1" applyBorder="1" applyAlignment="1">
      <alignment horizontal="center" vertical="center"/>
    </xf>
    <xf numFmtId="165" fontId="38" fillId="0" borderId="18" xfId="7" applyNumberFormat="1" applyFont="1" applyBorder="1" applyAlignment="1">
      <alignment horizontal="center" vertical="center"/>
    </xf>
    <xf numFmtId="0" fontId="40" fillId="0" borderId="50" xfId="7" applyFont="1" applyBorder="1" applyAlignment="1">
      <alignment horizontal="center"/>
    </xf>
    <xf numFmtId="165" fontId="40" fillId="14" borderId="44" xfId="7" applyNumberFormat="1" applyFont="1" applyFill="1" applyBorder="1" applyAlignment="1" applyProtection="1">
      <alignment horizontal="center" vertical="center"/>
      <protection locked="0"/>
    </xf>
    <xf numFmtId="165" fontId="40" fillId="14" borderId="102" xfId="7" applyNumberFormat="1" applyFont="1" applyFill="1" applyBorder="1" applyAlignment="1" applyProtection="1">
      <alignment horizontal="center" vertical="center"/>
      <protection locked="0"/>
    </xf>
    <xf numFmtId="165" fontId="40" fillId="14" borderId="103" xfId="7" applyNumberFormat="1" applyFont="1" applyFill="1" applyBorder="1" applyAlignment="1" applyProtection="1">
      <alignment horizontal="center" vertical="center"/>
      <protection locked="0"/>
    </xf>
    <xf numFmtId="165" fontId="40" fillId="14" borderId="45" xfId="7" applyNumberFormat="1" applyFont="1" applyFill="1" applyBorder="1" applyAlignment="1" applyProtection="1">
      <alignment horizontal="center" vertical="center"/>
      <protection locked="0"/>
    </xf>
    <xf numFmtId="165" fontId="40" fillId="14" borderId="46" xfId="7" applyNumberFormat="1" applyFont="1" applyFill="1" applyBorder="1" applyAlignment="1" applyProtection="1">
      <alignment horizontal="center" vertical="center"/>
      <protection locked="0"/>
    </xf>
    <xf numFmtId="165" fontId="40" fillId="0" borderId="20" xfId="7" applyNumberFormat="1" applyFont="1" applyBorder="1" applyAlignment="1">
      <alignment horizontal="center" vertical="center"/>
    </xf>
    <xf numFmtId="0" fontId="40" fillId="0" borderId="22" xfId="7" applyFont="1" applyBorder="1" applyAlignment="1">
      <alignment horizontal="center" vertical="center"/>
    </xf>
    <xf numFmtId="165" fontId="40" fillId="0" borderId="29" xfId="7" applyNumberFormat="1" applyFont="1" applyBorder="1" applyAlignment="1">
      <alignment horizontal="center" vertical="center"/>
    </xf>
    <xf numFmtId="165" fontId="40" fillId="0" borderId="21" xfId="7" applyNumberFormat="1" applyFont="1" applyBorder="1" applyAlignment="1">
      <alignment horizontal="center" vertical="center"/>
    </xf>
    <xf numFmtId="0" fontId="40" fillId="0" borderId="30" xfId="7" applyFont="1" applyBorder="1" applyAlignment="1">
      <alignment horizontal="center" vertical="center"/>
    </xf>
    <xf numFmtId="165" fontId="40" fillId="14" borderId="95" xfId="7" applyNumberFormat="1" applyFont="1" applyFill="1" applyBorder="1" applyAlignment="1" applyProtection="1">
      <alignment horizontal="center" vertical="center"/>
      <protection locked="0"/>
    </xf>
    <xf numFmtId="165" fontId="40" fillId="14" borderId="96" xfId="7" applyNumberFormat="1" applyFont="1" applyFill="1" applyBorder="1" applyAlignment="1" applyProtection="1">
      <alignment horizontal="center" vertical="center"/>
      <protection locked="0"/>
    </xf>
    <xf numFmtId="165" fontId="40" fillId="14" borderId="91" xfId="7" applyNumberFormat="1" applyFont="1" applyFill="1" applyBorder="1" applyAlignment="1" applyProtection="1">
      <alignment horizontal="center" vertical="center"/>
      <protection locked="0"/>
    </xf>
    <xf numFmtId="165" fontId="40" fillId="14" borderId="90" xfId="7" applyNumberFormat="1" applyFont="1" applyFill="1" applyBorder="1" applyAlignment="1" applyProtection="1">
      <alignment horizontal="center" vertical="center"/>
      <protection locked="0"/>
    </xf>
    <xf numFmtId="165" fontId="40" fillId="14" borderId="89" xfId="7" applyNumberFormat="1" applyFont="1" applyFill="1" applyBorder="1" applyAlignment="1" applyProtection="1">
      <alignment horizontal="center" vertical="center"/>
      <protection locked="0"/>
    </xf>
    <xf numFmtId="165" fontId="40" fillId="14" borderId="112" xfId="7" applyNumberFormat="1" applyFont="1" applyFill="1" applyBorder="1" applyAlignment="1" applyProtection="1">
      <alignment horizontal="center" vertical="center"/>
      <protection locked="0"/>
    </xf>
    <xf numFmtId="165" fontId="40" fillId="14" borderId="113" xfId="7" applyNumberFormat="1" applyFont="1" applyFill="1" applyBorder="1" applyAlignment="1" applyProtection="1">
      <alignment horizontal="center" vertical="center"/>
      <protection locked="0"/>
    </xf>
    <xf numFmtId="165" fontId="39" fillId="0" borderId="109" xfId="7" applyNumberFormat="1" applyFont="1" applyBorder="1" applyAlignment="1">
      <alignment horizontal="center" vertical="center" wrapText="1" shrinkToFit="1"/>
    </xf>
    <xf numFmtId="165" fontId="39" fillId="0" borderId="110" xfId="7" applyNumberFormat="1" applyFont="1" applyBorder="1" applyAlignment="1">
      <alignment horizontal="center" vertical="center" wrapText="1" shrinkToFit="1"/>
    </xf>
    <xf numFmtId="165" fontId="39" fillId="0" borderId="111" xfId="7" applyNumberFormat="1" applyFont="1" applyBorder="1" applyAlignment="1">
      <alignment horizontal="center" vertical="center" wrapText="1" shrinkToFit="1"/>
    </xf>
    <xf numFmtId="165" fontId="40" fillId="14" borderId="114" xfId="7" applyNumberFormat="1" applyFont="1" applyFill="1" applyBorder="1" applyAlignment="1" applyProtection="1">
      <alignment horizontal="center" vertical="center"/>
      <protection locked="0"/>
    </xf>
    <xf numFmtId="165" fontId="40" fillId="14" borderId="115" xfId="7" applyNumberFormat="1" applyFont="1" applyFill="1" applyBorder="1" applyAlignment="1" applyProtection="1">
      <alignment horizontal="center" vertical="center"/>
      <protection locked="0"/>
    </xf>
    <xf numFmtId="165" fontId="40" fillId="14" borderId="116" xfId="7" applyNumberFormat="1" applyFont="1" applyFill="1" applyBorder="1" applyAlignment="1" applyProtection="1">
      <alignment horizontal="center" vertical="center"/>
      <protection locked="0"/>
    </xf>
    <xf numFmtId="165" fontId="40" fillId="14" borderId="117" xfId="7" applyNumberFormat="1" applyFont="1" applyFill="1" applyBorder="1" applyAlignment="1" applyProtection="1">
      <alignment horizontal="center" vertical="center"/>
      <protection locked="0"/>
    </xf>
    <xf numFmtId="165" fontId="40" fillId="14" borderId="118" xfId="7" applyNumberFormat="1" applyFont="1" applyFill="1" applyBorder="1" applyAlignment="1" applyProtection="1">
      <alignment horizontal="center" vertical="center"/>
      <protection locked="0"/>
    </xf>
    <xf numFmtId="165" fontId="40" fillId="0" borderId="15" xfId="7" applyNumberFormat="1" applyFont="1" applyBorder="1" applyAlignment="1">
      <alignment horizontal="center" vertical="center"/>
    </xf>
    <xf numFmtId="165" fontId="40" fillId="0" borderId="36" xfId="7" applyNumberFormat="1" applyFont="1" applyBorder="1" applyAlignment="1">
      <alignment horizontal="center" vertical="center"/>
    </xf>
    <xf numFmtId="165" fontId="40" fillId="0" borderId="119" xfId="7" applyNumberFormat="1" applyFont="1" applyBorder="1" applyAlignment="1">
      <alignment horizontal="center" vertical="center"/>
    </xf>
    <xf numFmtId="165" fontId="40" fillId="0" borderId="120" xfId="7" applyNumberFormat="1" applyFont="1" applyBorder="1" applyAlignment="1">
      <alignment horizontal="center" vertical="center"/>
    </xf>
    <xf numFmtId="0" fontId="1" fillId="0" borderId="0" xfId="7" applyAlignment="1">
      <alignment horizontal="right"/>
    </xf>
    <xf numFmtId="165" fontId="40" fillId="0" borderId="121" xfId="7" applyNumberFormat="1" applyFont="1" applyBorder="1" applyAlignment="1">
      <alignment horizontal="center" vertical="center"/>
    </xf>
    <xf numFmtId="165" fontId="40" fillId="0" borderId="100" xfId="7" applyNumberFormat="1" applyFont="1" applyBorder="1" applyAlignment="1">
      <alignment horizontal="center" vertical="center"/>
    </xf>
    <xf numFmtId="165" fontId="40" fillId="0" borderId="99" xfId="7" applyNumberFormat="1" applyFont="1" applyBorder="1" applyAlignment="1">
      <alignment horizontal="center" vertical="center"/>
    </xf>
    <xf numFmtId="165" fontId="40" fillId="0" borderId="122" xfId="7" applyNumberFormat="1" applyFont="1" applyBorder="1" applyAlignment="1">
      <alignment horizontal="center" vertical="center"/>
    </xf>
    <xf numFmtId="1" fontId="39" fillId="0" borderId="13" xfId="7" applyNumberFormat="1" applyFont="1" applyBorder="1" applyAlignment="1">
      <alignment horizontal="center" vertical="center"/>
    </xf>
    <xf numFmtId="0" fontId="39" fillId="0" borderId="50" xfId="7" applyFont="1" applyBorder="1" applyAlignment="1">
      <alignment horizontal="center" vertical="center"/>
    </xf>
    <xf numFmtId="0" fontId="39" fillId="0" borderId="13" xfId="7" applyFont="1" applyBorder="1" applyAlignment="1">
      <alignment horizontal="center" vertical="center"/>
    </xf>
    <xf numFmtId="0" fontId="0" fillId="0" borderId="31" xfId="0" applyBorder="1" applyAlignment="1">
      <alignment horizontal="center"/>
    </xf>
    <xf numFmtId="0" fontId="0" fillId="0" borderId="17" xfId="0" applyBorder="1" applyAlignment="1">
      <alignment horizontal="center"/>
    </xf>
    <xf numFmtId="0" fontId="0" fillId="0" borderId="2" xfId="0" applyBorder="1" applyAlignment="1">
      <alignment horizontal="center"/>
    </xf>
    <xf numFmtId="1" fontId="0" fillId="4" borderId="31" xfId="0" applyNumberFormat="1" applyFill="1" applyBorder="1" applyAlignment="1" applyProtection="1">
      <alignment horizontal="center"/>
      <protection locked="0"/>
    </xf>
    <xf numFmtId="1" fontId="0" fillId="4" borderId="17" xfId="0" applyNumberFormat="1" applyFill="1" applyBorder="1" applyAlignment="1" applyProtection="1">
      <alignment horizontal="center"/>
      <protection locked="0"/>
    </xf>
    <xf numFmtId="1" fontId="0" fillId="4" borderId="18" xfId="0" applyNumberFormat="1" applyFill="1" applyBorder="1" applyAlignment="1" applyProtection="1">
      <alignment horizontal="center"/>
      <protection locked="0"/>
    </xf>
    <xf numFmtId="2" fontId="0" fillId="4" borderId="29" xfId="0" applyNumberFormat="1" applyFill="1" applyBorder="1" applyAlignment="1" applyProtection="1">
      <alignment horizontal="center"/>
      <protection locked="0"/>
    </xf>
    <xf numFmtId="2" fontId="0" fillId="4" borderId="21" xfId="0" applyNumberFormat="1" applyFill="1" applyBorder="1" applyAlignment="1" applyProtection="1">
      <alignment horizontal="center"/>
      <protection locked="0"/>
    </xf>
    <xf numFmtId="2" fontId="0" fillId="4" borderId="22" xfId="0" applyNumberFormat="1" applyFill="1" applyBorder="1" applyAlignment="1" applyProtection="1">
      <alignment horizontal="center"/>
      <protection locked="0"/>
    </xf>
    <xf numFmtId="0" fontId="0" fillId="0" borderId="18" xfId="0" applyBorder="1" applyAlignment="1">
      <alignment horizontal="center"/>
    </xf>
    <xf numFmtId="0" fontId="0" fillId="4" borderId="31" xfId="0" applyFill="1" applyBorder="1" applyAlignment="1">
      <alignment horizontal="center"/>
    </xf>
    <xf numFmtId="0" fontId="0" fillId="4" borderId="17" xfId="0" applyFill="1" applyBorder="1" applyAlignment="1">
      <alignment horizontal="center"/>
    </xf>
    <xf numFmtId="0" fontId="0" fillId="4" borderId="18" xfId="0" applyFill="1" applyBorder="1" applyAlignment="1">
      <alignment horizontal="center"/>
    </xf>
    <xf numFmtId="2" fontId="0" fillId="0" borderId="31" xfId="0" applyNumberFormat="1" applyBorder="1" applyAlignment="1">
      <alignment horizontal="center"/>
    </xf>
    <xf numFmtId="0" fontId="35" fillId="0" borderId="29" xfId="4" applyFont="1" applyBorder="1" applyAlignment="1">
      <alignment vertical="center"/>
    </xf>
    <xf numFmtId="0" fontId="0" fillId="0" borderId="21" xfId="0" applyBorder="1" applyAlignment="1">
      <alignment vertical="center"/>
    </xf>
    <xf numFmtId="0" fontId="35" fillId="0" borderId="31" xfId="4" applyFont="1" applyBorder="1" applyAlignment="1">
      <alignment vertical="center"/>
    </xf>
    <xf numFmtId="0" fontId="0" fillId="0" borderId="17" xfId="0" applyBorder="1" applyAlignment="1">
      <alignment vertical="center"/>
    </xf>
    <xf numFmtId="0" fontId="0" fillId="4" borderId="29" xfId="0" applyFill="1" applyBorder="1" applyAlignment="1" applyProtection="1">
      <alignment horizontal="center"/>
      <protection locked="0"/>
    </xf>
    <xf numFmtId="0" fontId="0" fillId="4" borderId="21" xfId="0" applyFill="1" applyBorder="1" applyAlignment="1" applyProtection="1">
      <alignment horizontal="center"/>
      <protection locked="0"/>
    </xf>
    <xf numFmtId="0" fontId="0" fillId="4" borderId="22" xfId="0" applyFill="1" applyBorder="1" applyAlignment="1" applyProtection="1">
      <alignment horizontal="center"/>
      <protection locked="0"/>
    </xf>
    <xf numFmtId="0" fontId="4" fillId="0" borderId="31" xfId="0" applyFont="1" applyBorder="1" applyAlignment="1">
      <alignment horizontal="center"/>
    </xf>
    <xf numFmtId="2" fontId="29" fillId="0" borderId="17" xfId="4" applyNumberFormat="1" applyBorder="1" applyAlignment="1">
      <alignment horizontal="center"/>
    </xf>
    <xf numFmtId="2" fontId="29" fillId="0" borderId="31" xfId="4" applyNumberFormat="1" applyBorder="1" applyAlignment="1">
      <alignment horizontal="center"/>
    </xf>
    <xf numFmtId="2" fontId="29" fillId="9" borderId="31" xfId="4" applyNumberFormat="1" applyFill="1" applyBorder="1" applyAlignment="1" applyProtection="1">
      <alignment horizontal="center"/>
      <protection locked="0"/>
    </xf>
    <xf numFmtId="0" fontId="0" fillId="0" borderId="17" xfId="0" applyBorder="1" applyAlignment="1" applyProtection="1">
      <alignment horizontal="center"/>
      <protection locked="0"/>
    </xf>
    <xf numFmtId="0" fontId="0" fillId="0" borderId="6" xfId="0" applyBorder="1" applyAlignment="1">
      <alignment horizontal="center"/>
    </xf>
    <xf numFmtId="0" fontId="0" fillId="0" borderId="0" xfId="0" applyAlignment="1">
      <alignment horizontal="center"/>
    </xf>
    <xf numFmtId="0" fontId="0" fillId="0" borderId="7" xfId="0" applyBorder="1" applyAlignment="1">
      <alignment horizontal="center"/>
    </xf>
    <xf numFmtId="2" fontId="29" fillId="0" borderId="29" xfId="4" applyNumberFormat="1" applyBorder="1" applyAlignment="1">
      <alignment horizontal="center"/>
    </xf>
    <xf numFmtId="2" fontId="0" fillId="0" borderId="21" xfId="0" applyNumberFormat="1" applyBorder="1" applyAlignment="1">
      <alignment horizontal="center"/>
    </xf>
    <xf numFmtId="2" fontId="29" fillId="0" borderId="23" xfId="4" applyNumberFormat="1" applyBorder="1" applyAlignment="1">
      <alignment horizontal="center"/>
    </xf>
    <xf numFmtId="0" fontId="0" fillId="0" borderId="23" xfId="0" applyBorder="1" applyAlignment="1">
      <alignment horizontal="center"/>
    </xf>
    <xf numFmtId="0" fontId="0" fillId="4" borderId="31" xfId="0" applyFill="1" applyBorder="1" applyAlignment="1" applyProtection="1">
      <alignment horizontal="center"/>
      <protection locked="0"/>
    </xf>
    <xf numFmtId="0" fontId="0" fillId="4" borderId="17" xfId="0" applyFill="1" applyBorder="1" applyAlignment="1" applyProtection="1">
      <alignment horizontal="center"/>
      <protection locked="0"/>
    </xf>
    <xf numFmtId="0" fontId="0" fillId="4" borderId="18" xfId="0" applyFill="1" applyBorder="1" applyAlignment="1" applyProtection="1">
      <alignment horizontal="center"/>
      <protection locked="0"/>
    </xf>
    <xf numFmtId="2" fontId="0" fillId="0" borderId="17" xfId="0" applyNumberFormat="1" applyBorder="1" applyAlignment="1">
      <alignment horizontal="center"/>
    </xf>
    <xf numFmtId="2" fontId="0" fillId="0" borderId="18" xfId="0" applyNumberFormat="1" applyBorder="1" applyAlignment="1">
      <alignment horizontal="center"/>
    </xf>
    <xf numFmtId="0" fontId="0" fillId="0" borderId="19" xfId="0" applyBorder="1" applyAlignment="1">
      <alignment horizontal="center"/>
    </xf>
    <xf numFmtId="0" fontId="2" fillId="0" borderId="19" xfId="0" applyFont="1" applyBorder="1" applyAlignment="1">
      <alignment horizontal="center"/>
    </xf>
    <xf numFmtId="0" fontId="0" fillId="0" borderId="9" xfId="0" applyBorder="1" applyAlignment="1">
      <alignment horizontal="center"/>
    </xf>
    <xf numFmtId="164" fontId="0" fillId="0" borderId="31" xfId="0" applyNumberFormat="1" applyBorder="1" applyAlignment="1">
      <alignment horizontal="center"/>
    </xf>
    <xf numFmtId="1" fontId="0" fillId="0" borderId="31" xfId="0" applyNumberFormat="1" applyBorder="1" applyAlignment="1">
      <alignment horizontal="center"/>
    </xf>
    <xf numFmtId="1" fontId="0" fillId="0" borderId="17" xfId="0" applyNumberFormat="1" applyBorder="1" applyAlignment="1">
      <alignment horizontal="center"/>
    </xf>
    <xf numFmtId="1" fontId="0" fillId="0" borderId="18" xfId="0" applyNumberForma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2" fillId="0" borderId="70" xfId="0" applyFont="1" applyBorder="1" applyAlignment="1">
      <alignment horizontal="center"/>
    </xf>
    <xf numFmtId="0" fontId="0" fillId="0" borderId="70" xfId="0" applyBorder="1" applyAlignment="1">
      <alignment horizontal="center"/>
    </xf>
    <xf numFmtId="0" fontId="0" fillId="0" borderId="25" xfId="0" applyBorder="1" applyAlignment="1">
      <alignment horizontal="center"/>
    </xf>
    <xf numFmtId="0" fontId="35" fillId="0" borderId="0" xfId="4" applyFont="1" applyAlignment="1">
      <alignment vertical="center" wrapText="1" shrinkToFit="1"/>
    </xf>
    <xf numFmtId="0" fontId="0" fillId="0" borderId="0" xfId="0" applyAlignment="1">
      <alignment vertical="center" wrapText="1" shrinkToFit="1"/>
    </xf>
    <xf numFmtId="0" fontId="6" fillId="0" borderId="24" xfId="0" applyFont="1" applyBorder="1" applyAlignment="1">
      <alignment horizontal="center"/>
    </xf>
    <xf numFmtId="0" fontId="6" fillId="0" borderId="11" xfId="0" applyFont="1" applyBorder="1" applyAlignment="1">
      <alignment horizontal="center"/>
    </xf>
    <xf numFmtId="0" fontId="0" fillId="4" borderId="2" xfId="0" applyFill="1" applyBorder="1" applyAlignment="1" applyProtection="1">
      <alignment horizontal="center"/>
      <protection locked="0"/>
    </xf>
    <xf numFmtId="0" fontId="2" fillId="0" borderId="4" xfId="0" applyFont="1" applyBorder="1" applyAlignment="1">
      <alignment horizontal="center"/>
    </xf>
    <xf numFmtId="0" fontId="2" fillId="0" borderId="5" xfId="0" applyFont="1" applyBorder="1" applyAlignment="1">
      <alignment horizontal="center"/>
    </xf>
    <xf numFmtId="0" fontId="2" fillId="0" borderId="3" xfId="0" applyFont="1" applyBorder="1" applyAlignment="1">
      <alignment horizontal="center"/>
    </xf>
    <xf numFmtId="0" fontId="2" fillId="0" borderId="28" xfId="0" applyFont="1" applyBorder="1" applyAlignment="1">
      <alignment horizontal="center"/>
    </xf>
    <xf numFmtId="0" fontId="2" fillId="0" borderId="6" xfId="0" applyFont="1" applyBorder="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0" xfId="0" applyBorder="1" applyAlignment="1">
      <alignment horizontal="center"/>
    </xf>
    <xf numFmtId="0" fontId="0" fillId="0" borderId="38" xfId="0" applyBorder="1" applyAlignment="1">
      <alignment horizontal="center"/>
    </xf>
    <xf numFmtId="164" fontId="0" fillId="4" borderId="31" xfId="0" applyNumberFormat="1" applyFill="1" applyBorder="1" applyAlignment="1" applyProtection="1">
      <alignment horizontal="center"/>
      <protection locked="0"/>
    </xf>
    <xf numFmtId="164" fontId="0" fillId="4" borderId="17" xfId="0" applyNumberFormat="1" applyFill="1" applyBorder="1" applyAlignment="1" applyProtection="1">
      <alignment horizontal="center"/>
      <protection locked="0"/>
    </xf>
    <xf numFmtId="164" fontId="0" fillId="4" borderId="18" xfId="0" applyNumberFormat="1" applyFill="1" applyBorder="1" applyAlignment="1" applyProtection="1">
      <alignment horizontal="center"/>
      <protection locked="0"/>
    </xf>
    <xf numFmtId="164" fontId="0" fillId="0" borderId="17" xfId="0" applyNumberFormat="1" applyBorder="1" applyAlignment="1">
      <alignment horizontal="center"/>
    </xf>
    <xf numFmtId="164" fontId="0" fillId="0" borderId="18" xfId="0" applyNumberFormat="1" applyBorder="1" applyAlignment="1">
      <alignment horizontal="center"/>
    </xf>
    <xf numFmtId="0" fontId="2" fillId="8" borderId="31" xfId="0" applyFont="1" applyFill="1" applyBorder="1" applyAlignment="1">
      <alignment horizontal="center"/>
    </xf>
    <xf numFmtId="0" fontId="0" fillId="8" borderId="17" xfId="0" applyFill="1" applyBorder="1" applyAlignment="1">
      <alignment horizontal="center"/>
    </xf>
    <xf numFmtId="0" fontId="0" fillId="8" borderId="2" xfId="0" applyFill="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28" xfId="0" applyBorder="1" applyAlignment="1">
      <alignment horizontal="center"/>
    </xf>
    <xf numFmtId="0" fontId="0" fillId="4" borderId="11" xfId="0" applyFill="1" applyBorder="1" applyAlignment="1" applyProtection="1">
      <alignment horizontal="left"/>
      <protection locked="0"/>
    </xf>
    <xf numFmtId="0" fontId="0" fillId="4" borderId="0" xfId="0" applyFill="1" applyAlignment="1" applyProtection="1">
      <alignment horizontal="left"/>
      <protection locked="0"/>
    </xf>
    <xf numFmtId="0" fontId="0" fillId="0" borderId="24" xfId="0" applyBorder="1" applyAlignment="1">
      <alignment horizontal="center"/>
    </xf>
    <xf numFmtId="0" fontId="3" fillId="0" borderId="19" xfId="0" applyFont="1" applyBorder="1" applyAlignment="1">
      <alignment horizontal="center" wrapText="1" shrinkToFit="1"/>
    </xf>
    <xf numFmtId="0" fontId="3" fillId="0" borderId="17" xfId="0" applyFont="1" applyBorder="1" applyAlignment="1">
      <alignment horizontal="center" wrapText="1" shrinkToFit="1"/>
    </xf>
    <xf numFmtId="0" fontId="3" fillId="0" borderId="18" xfId="0" applyFont="1" applyBorder="1" applyAlignment="1">
      <alignment horizontal="center" wrapText="1" shrinkToFit="1"/>
    </xf>
    <xf numFmtId="2" fontId="0" fillId="8" borderId="31" xfId="0" applyNumberFormat="1" applyFill="1" applyBorder="1" applyAlignment="1">
      <alignment horizontal="center"/>
    </xf>
    <xf numFmtId="2" fontId="0" fillId="8" borderId="17" xfId="0" applyNumberFormat="1" applyFill="1" applyBorder="1" applyAlignment="1">
      <alignment horizontal="center"/>
    </xf>
    <xf numFmtId="2" fontId="0" fillId="8" borderId="18" xfId="0" applyNumberFormat="1" applyFill="1" applyBorder="1" applyAlignment="1">
      <alignment horizontal="center"/>
    </xf>
    <xf numFmtId="0" fontId="0" fillId="0" borderId="8" xfId="0" applyBorder="1" applyAlignment="1">
      <alignment horizontal="center"/>
    </xf>
    <xf numFmtId="0" fontId="2" fillId="0" borderId="7" xfId="0" applyFont="1" applyBorder="1" applyAlignment="1">
      <alignment horizontal="center"/>
    </xf>
    <xf numFmtId="1" fontId="0" fillId="0" borderId="29" xfId="0" applyNumberFormat="1" applyBorder="1" applyAlignment="1">
      <alignment horizontal="center"/>
    </xf>
    <xf numFmtId="1" fontId="0" fillId="0" borderId="21" xfId="0" applyNumberFormat="1" applyBorder="1" applyAlignment="1">
      <alignment horizontal="center"/>
    </xf>
    <xf numFmtId="1" fontId="0" fillId="0" borderId="22" xfId="0" applyNumberFormat="1" applyBorder="1" applyAlignment="1">
      <alignment horizontal="center"/>
    </xf>
    <xf numFmtId="0" fontId="0" fillId="0" borderId="31" xfId="0" applyBorder="1" applyAlignment="1" applyProtection="1">
      <alignment horizontal="center"/>
      <protection locked="0"/>
    </xf>
    <xf numFmtId="0" fontId="2" fillId="0" borderId="19" xfId="0" applyFont="1" applyBorder="1" applyAlignment="1">
      <alignment horizontal="center" vertical="center" wrapText="1" shrinkToFit="1"/>
    </xf>
    <xf numFmtId="0" fontId="0" fillId="0" borderId="17" xfId="0" applyBorder="1" applyAlignment="1">
      <alignment horizontal="center" vertical="center" wrapText="1" shrinkToFit="1"/>
    </xf>
    <xf numFmtId="0" fontId="0" fillId="0" borderId="18" xfId="0" applyBorder="1" applyAlignment="1">
      <alignment horizontal="center" vertical="center" wrapText="1" shrinkToFit="1"/>
    </xf>
    <xf numFmtId="0" fontId="9" fillId="0" borderId="9" xfId="0" applyFont="1" applyBorder="1" applyAlignment="1">
      <alignment horizontal="center"/>
    </xf>
    <xf numFmtId="0" fontId="9" fillId="0" borderId="0" xfId="0" applyFont="1" applyAlignment="1">
      <alignment horizontal="center"/>
    </xf>
    <xf numFmtId="164" fontId="0" fillId="0" borderId="29" xfId="0" applyNumberFormat="1" applyBorder="1" applyAlignment="1">
      <alignment horizontal="center"/>
    </xf>
    <xf numFmtId="164" fontId="0" fillId="0" borderId="21" xfId="0" applyNumberFormat="1" applyBorder="1" applyAlignment="1">
      <alignment horizontal="center"/>
    </xf>
    <xf numFmtId="164" fontId="0" fillId="0" borderId="22" xfId="0" applyNumberFormat="1" applyBorder="1" applyAlignment="1">
      <alignment horizontal="center"/>
    </xf>
    <xf numFmtId="0" fontId="0" fillId="0" borderId="29" xfId="0" applyBorder="1" applyAlignment="1">
      <alignment horizontal="center"/>
    </xf>
    <xf numFmtId="0" fontId="0" fillId="0" borderId="21" xfId="0" applyBorder="1" applyAlignment="1">
      <alignment horizontal="center"/>
    </xf>
    <xf numFmtId="0" fontId="0" fillId="0" borderId="30" xfId="0" applyBorder="1" applyAlignment="1">
      <alignment horizontal="center"/>
    </xf>
    <xf numFmtId="166" fontId="0" fillId="0" borderId="31" xfId="0" applyNumberFormat="1" applyBorder="1" applyAlignment="1">
      <alignment horizontal="center"/>
    </xf>
    <xf numFmtId="166" fontId="0" fillId="0" borderId="17" xfId="0" applyNumberFormat="1" applyBorder="1" applyAlignment="1">
      <alignment horizontal="center"/>
    </xf>
    <xf numFmtId="166" fontId="0" fillId="0" borderId="18" xfId="0" applyNumberFormat="1" applyBorder="1" applyAlignment="1">
      <alignment horizontal="center"/>
    </xf>
    <xf numFmtId="165" fontId="0" fillId="0" borderId="31" xfId="0" applyNumberFormat="1" applyBorder="1" applyAlignment="1">
      <alignment horizontal="center"/>
    </xf>
    <xf numFmtId="165" fontId="0" fillId="0" borderId="17" xfId="0" applyNumberFormat="1" applyBorder="1" applyAlignment="1">
      <alignment horizontal="center"/>
    </xf>
    <xf numFmtId="165" fontId="0" fillId="0" borderId="18" xfId="0" applyNumberFormat="1" applyBorder="1" applyAlignment="1">
      <alignment horizontal="center"/>
    </xf>
    <xf numFmtId="0" fontId="0" fillId="0" borderId="2" xfId="0" applyBorder="1" applyAlignment="1" applyProtection="1">
      <alignment horizontal="center"/>
      <protection locked="0"/>
    </xf>
    <xf numFmtId="165" fontId="0" fillId="4" borderId="31" xfId="0" applyNumberFormat="1" applyFill="1" applyBorder="1" applyAlignment="1" applyProtection="1">
      <alignment horizontal="center"/>
      <protection locked="0"/>
    </xf>
    <xf numFmtId="165" fontId="0" fillId="4" borderId="17" xfId="0" applyNumberFormat="1" applyFill="1" applyBorder="1" applyAlignment="1" applyProtection="1">
      <alignment horizontal="center"/>
      <protection locked="0"/>
    </xf>
    <xf numFmtId="165" fontId="0" fillId="4" borderId="18" xfId="0" applyNumberFormat="1" applyFill="1" applyBorder="1" applyAlignment="1" applyProtection="1">
      <alignment horizontal="center"/>
      <protection locked="0"/>
    </xf>
    <xf numFmtId="0" fontId="0" fillId="0" borderId="22" xfId="0" applyBorder="1" applyAlignment="1">
      <alignment horizontal="center"/>
    </xf>
    <xf numFmtId="0" fontId="2" fillId="4" borderId="11" xfId="0" applyFont="1" applyFill="1" applyBorder="1" applyAlignment="1" applyProtection="1">
      <alignment horizontal="left"/>
      <protection locked="0"/>
    </xf>
    <xf numFmtId="0" fontId="0" fillId="4" borderId="48" xfId="0" applyFill="1" applyBorder="1" applyAlignment="1" applyProtection="1">
      <alignment horizontal="left"/>
      <protection locked="0"/>
    </xf>
    <xf numFmtId="0" fontId="2" fillId="0" borderId="48" xfId="0" applyFont="1" applyBorder="1" applyAlignment="1">
      <alignment horizontal="center"/>
    </xf>
    <xf numFmtId="0" fontId="0" fillId="0" borderId="48" xfId="0" applyBorder="1" applyAlignment="1">
      <alignment horizontal="center"/>
    </xf>
    <xf numFmtId="0" fontId="2" fillId="4" borderId="43" xfId="0" applyFont="1" applyFill="1" applyBorder="1" applyAlignment="1" applyProtection="1">
      <alignment horizontal="center"/>
      <protection locked="0"/>
    </xf>
    <xf numFmtId="0" fontId="0" fillId="4" borderId="43" xfId="0" applyFill="1" applyBorder="1" applyAlignment="1" applyProtection="1">
      <alignment horizontal="center"/>
      <protection locked="0"/>
    </xf>
    <xf numFmtId="0" fontId="0" fillId="4" borderId="47" xfId="0" applyFill="1" applyBorder="1" applyAlignment="1" applyProtection="1">
      <alignment horizontal="center"/>
      <protection locked="0"/>
    </xf>
    <xf numFmtId="0" fontId="2" fillId="4" borderId="25" xfId="0" applyFont="1" applyFill="1" applyBorder="1" applyAlignment="1" applyProtection="1">
      <alignment horizontal="center"/>
      <protection locked="0"/>
    </xf>
    <xf numFmtId="0" fontId="0" fillId="4" borderId="25" xfId="0" applyFill="1" applyBorder="1" applyAlignment="1" applyProtection="1">
      <alignment horizontal="center"/>
      <protection locked="0"/>
    </xf>
    <xf numFmtId="0" fontId="0" fillId="4" borderId="32" xfId="0" applyFill="1" applyBorder="1" applyAlignment="1" applyProtection="1">
      <alignment horizontal="center"/>
      <protection locked="0"/>
    </xf>
    <xf numFmtId="0" fontId="2" fillId="4" borderId="42" xfId="0" applyFont="1" applyFill="1" applyBorder="1" applyAlignment="1" applyProtection="1">
      <alignment horizontal="center"/>
      <protection locked="0"/>
    </xf>
    <xf numFmtId="1" fontId="2" fillId="0" borderId="3" xfId="0" applyNumberFormat="1" applyFont="1" applyBorder="1" applyAlignment="1">
      <alignment horizontal="center" vertical="center"/>
    </xf>
    <xf numFmtId="1" fontId="2" fillId="0" borderId="4" xfId="0" applyNumberFormat="1" applyFont="1" applyBorder="1" applyAlignment="1">
      <alignment horizontal="center" vertical="center"/>
    </xf>
    <xf numFmtId="1" fontId="2" fillId="0" borderId="5" xfId="0" applyNumberFormat="1" applyFont="1" applyBorder="1" applyAlignment="1">
      <alignment horizontal="center" vertical="center"/>
    </xf>
    <xf numFmtId="1" fontId="2" fillId="0" borderId="6" xfId="0" applyNumberFormat="1" applyFont="1" applyBorder="1" applyAlignment="1">
      <alignment horizontal="center" vertical="center"/>
    </xf>
    <xf numFmtId="1" fontId="2" fillId="0" borderId="0" xfId="0" applyNumberFormat="1" applyFont="1" applyAlignment="1">
      <alignment horizontal="center" vertical="center"/>
    </xf>
    <xf numFmtId="1" fontId="2" fillId="0" borderId="7" xfId="0" applyNumberFormat="1" applyFont="1" applyBorder="1" applyAlignment="1">
      <alignment horizontal="center" vertical="center"/>
    </xf>
    <xf numFmtId="1" fontId="2" fillId="0" borderId="35" xfId="0" applyNumberFormat="1" applyFont="1" applyBorder="1" applyAlignment="1">
      <alignment horizontal="center" vertical="center"/>
    </xf>
    <xf numFmtId="1" fontId="2" fillId="0" borderId="36" xfId="0" applyNumberFormat="1" applyFont="1" applyBorder="1" applyAlignment="1">
      <alignment horizontal="center" vertical="center"/>
    </xf>
    <xf numFmtId="1" fontId="2" fillId="0" borderId="37" xfId="0" applyNumberFormat="1" applyFont="1" applyBorder="1" applyAlignment="1">
      <alignment horizontal="center" vertical="center"/>
    </xf>
    <xf numFmtId="1" fontId="0" fillId="0" borderId="33" xfId="0" applyNumberFormat="1" applyBorder="1" applyAlignment="1">
      <alignment horizontal="center" vertical="center" wrapText="1" shrinkToFit="1"/>
    </xf>
    <xf numFmtId="1" fontId="0" fillId="0" borderId="26" xfId="0" applyNumberFormat="1" applyBorder="1" applyAlignment="1">
      <alignment horizontal="center" vertical="center" wrapText="1" shrinkToFit="1"/>
    </xf>
    <xf numFmtId="1" fontId="0" fillId="0" borderId="34" xfId="0" applyNumberFormat="1" applyBorder="1" applyAlignment="1">
      <alignment horizontal="center" vertical="center" wrapText="1" shrinkToFit="1"/>
    </xf>
    <xf numFmtId="0" fontId="0" fillId="0" borderId="35" xfId="0" applyBorder="1" applyAlignment="1">
      <alignment horizontal="center" vertical="center" wrapText="1" shrinkToFit="1"/>
    </xf>
    <xf numFmtId="0" fontId="0" fillId="0" borderId="36" xfId="0" applyBorder="1" applyAlignment="1">
      <alignment horizontal="center" vertical="center" wrapText="1" shrinkToFit="1"/>
    </xf>
    <xf numFmtId="0" fontId="0" fillId="0" borderId="37" xfId="0" applyBorder="1" applyAlignment="1">
      <alignment horizontal="center" vertical="center" wrapText="1" shrinkToFit="1"/>
    </xf>
    <xf numFmtId="1" fontId="0" fillId="0" borderId="6" xfId="0" applyNumberFormat="1" applyBorder="1" applyAlignment="1">
      <alignment horizontal="center"/>
    </xf>
    <xf numFmtId="1" fontId="0" fillId="0" borderId="0" xfId="0" applyNumberFormat="1" applyAlignment="1">
      <alignment horizontal="center"/>
    </xf>
    <xf numFmtId="1" fontId="0" fillId="0" borderId="7" xfId="0" applyNumberFormat="1" applyBorder="1" applyAlignment="1">
      <alignment horizontal="center"/>
    </xf>
    <xf numFmtId="1" fontId="0" fillId="0" borderId="35" xfId="0" applyNumberFormat="1" applyBorder="1" applyAlignment="1">
      <alignment horizontal="center"/>
    </xf>
    <xf numFmtId="1" fontId="0" fillId="0" borderId="36" xfId="0" applyNumberFormat="1" applyBorder="1" applyAlignment="1">
      <alignment horizontal="center"/>
    </xf>
    <xf numFmtId="1" fontId="0" fillId="0" borderId="37" xfId="0" applyNumberFormat="1" applyBorder="1" applyAlignment="1">
      <alignment horizontal="center"/>
    </xf>
    <xf numFmtId="0" fontId="2" fillId="4" borderId="41" xfId="0" applyFont="1" applyFill="1" applyBorder="1" applyAlignment="1" applyProtection="1">
      <alignment horizontal="center"/>
      <protection locked="0"/>
    </xf>
    <xf numFmtId="1" fontId="0" fillId="0" borderId="3" xfId="0" applyNumberFormat="1" applyBorder="1" applyAlignment="1">
      <alignment horizontal="center" vertical="center"/>
    </xf>
    <xf numFmtId="1" fontId="0" fillId="0" borderId="4" xfId="0" applyNumberFormat="1" applyBorder="1" applyAlignment="1">
      <alignment horizontal="center" vertical="center"/>
    </xf>
    <xf numFmtId="1" fontId="0" fillId="0" borderId="5" xfId="0" applyNumberFormat="1" applyBorder="1" applyAlignment="1">
      <alignment horizontal="center" vertical="center"/>
    </xf>
    <xf numFmtId="1" fontId="0" fillId="0" borderId="6" xfId="0" applyNumberFormat="1" applyBorder="1" applyAlignment="1">
      <alignment horizontal="center" vertical="center"/>
    </xf>
    <xf numFmtId="1" fontId="0" fillId="0" borderId="0" xfId="0" applyNumberFormat="1" applyAlignment="1">
      <alignment horizontal="center" vertical="center"/>
    </xf>
    <xf numFmtId="1" fontId="0" fillId="0" borderId="7" xfId="0" applyNumberFormat="1" applyBorder="1" applyAlignment="1">
      <alignment horizontal="center" vertical="center"/>
    </xf>
    <xf numFmtId="1" fontId="0" fillId="0" borderId="35" xfId="0" applyNumberFormat="1" applyBorder="1" applyAlignment="1">
      <alignment horizontal="center" vertical="center"/>
    </xf>
    <xf numFmtId="1" fontId="0" fillId="0" borderId="36" xfId="0" applyNumberFormat="1" applyBorder="1" applyAlignment="1">
      <alignment horizontal="center" vertical="center"/>
    </xf>
    <xf numFmtId="1" fontId="0" fillId="0" borderId="37" xfId="0" applyNumberFormat="1" applyBorder="1" applyAlignment="1">
      <alignment horizontal="center" vertical="center"/>
    </xf>
    <xf numFmtId="0" fontId="2" fillId="4" borderId="10" xfId="0" applyFont="1" applyFill="1" applyBorder="1" applyAlignment="1" applyProtection="1">
      <alignment horizontal="center"/>
      <protection locked="0"/>
    </xf>
    <xf numFmtId="0" fontId="0" fillId="4" borderId="11"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2" fillId="4" borderId="23" xfId="0" applyFont="1" applyFill="1" applyBorder="1" applyAlignment="1" applyProtection="1">
      <alignment horizontal="center"/>
      <protection locked="0"/>
    </xf>
    <xf numFmtId="0" fontId="0" fillId="4" borderId="23" xfId="0" applyFill="1" applyBorder="1" applyAlignment="1" applyProtection="1">
      <alignment horizontal="center"/>
      <protection locked="0"/>
    </xf>
    <xf numFmtId="0" fontId="0" fillId="4" borderId="39" xfId="0" applyFill="1" applyBorder="1" applyAlignment="1" applyProtection="1">
      <alignment horizontal="center"/>
      <protection locked="0"/>
    </xf>
    <xf numFmtId="0" fontId="0" fillId="4" borderId="10" xfId="0" applyFill="1" applyBorder="1" applyAlignment="1" applyProtection="1">
      <alignment horizontal="center"/>
      <protection locked="0"/>
    </xf>
    <xf numFmtId="0" fontId="0" fillId="4" borderId="12" xfId="0" applyFill="1" applyBorder="1" applyAlignment="1" applyProtection="1">
      <alignment horizontal="center"/>
      <protection locked="0"/>
    </xf>
    <xf numFmtId="0" fontId="2" fillId="4" borderId="40" xfId="0" applyFont="1" applyFill="1" applyBorder="1" applyAlignment="1" applyProtection="1">
      <alignment horizontal="center"/>
      <protection locked="0"/>
    </xf>
    <xf numFmtId="0" fontId="2" fillId="4" borderId="24" xfId="0" applyFont="1" applyFill="1" applyBorder="1" applyAlignment="1" applyProtection="1">
      <alignment horizontal="center"/>
      <protection locked="0"/>
    </xf>
    <xf numFmtId="0" fontId="2" fillId="4" borderId="11" xfId="0" applyFont="1" applyFill="1" applyBorder="1" applyAlignment="1" applyProtection="1">
      <alignment horizontal="center"/>
      <protection locked="0"/>
    </xf>
    <xf numFmtId="0" fontId="2" fillId="4" borderId="12" xfId="0" applyFont="1" applyFill="1" applyBorder="1" applyAlignment="1" applyProtection="1">
      <alignment horizontal="center"/>
      <protection locked="0"/>
    </xf>
    <xf numFmtId="0" fontId="0" fillId="4" borderId="30" xfId="0" applyFill="1" applyBorder="1" applyAlignment="1" applyProtection="1">
      <alignment horizontal="center"/>
      <protection locked="0"/>
    </xf>
    <xf numFmtId="0" fontId="2" fillId="4" borderId="19" xfId="0" applyFont="1" applyFill="1" applyBorder="1" applyAlignment="1" applyProtection="1">
      <alignment horizontal="center"/>
      <protection locked="0"/>
    </xf>
    <xf numFmtId="0" fontId="2" fillId="4" borderId="17" xfId="0" applyFont="1" applyFill="1" applyBorder="1" applyAlignment="1" applyProtection="1">
      <alignment horizontal="center"/>
      <protection locked="0"/>
    </xf>
    <xf numFmtId="0" fontId="2" fillId="4" borderId="18" xfId="0" applyFont="1" applyFill="1" applyBorder="1" applyAlignment="1" applyProtection="1">
      <alignment horizontal="center"/>
      <protection locked="0"/>
    </xf>
    <xf numFmtId="0" fontId="2" fillId="4" borderId="20" xfId="0" applyFont="1" applyFill="1" applyBorder="1" applyAlignment="1" applyProtection="1">
      <alignment horizontal="center"/>
      <protection locked="0"/>
    </xf>
    <xf numFmtId="0" fontId="2" fillId="4" borderId="21" xfId="0" applyFont="1" applyFill="1" applyBorder="1" applyAlignment="1" applyProtection="1">
      <alignment horizontal="center"/>
      <protection locked="0"/>
    </xf>
    <xf numFmtId="0" fontId="2" fillId="4" borderId="22" xfId="0" applyFont="1" applyFill="1" applyBorder="1" applyAlignment="1" applyProtection="1">
      <alignment horizontal="center"/>
      <protection locked="0"/>
    </xf>
    <xf numFmtId="1" fontId="0" fillId="4" borderId="23" xfId="0" applyNumberFormat="1" applyFill="1" applyBorder="1" applyAlignment="1" applyProtection="1">
      <alignment horizontal="center"/>
      <protection locked="0"/>
    </xf>
    <xf numFmtId="0" fontId="2" fillId="4" borderId="31" xfId="0" applyFont="1" applyFill="1" applyBorder="1" applyAlignment="1" applyProtection="1">
      <alignment horizontal="center"/>
      <protection locked="0"/>
    </xf>
    <xf numFmtId="1" fontId="0" fillId="4" borderId="29" xfId="0" applyNumberFormat="1" applyFill="1" applyBorder="1" applyAlignment="1" applyProtection="1">
      <alignment horizontal="center"/>
      <protection locked="0"/>
    </xf>
    <xf numFmtId="1" fontId="0" fillId="4" borderId="21" xfId="0" applyNumberFormat="1" applyFill="1" applyBorder="1" applyAlignment="1" applyProtection="1">
      <alignment horizontal="center"/>
      <protection locked="0"/>
    </xf>
    <xf numFmtId="1" fontId="0" fillId="4" borderId="22" xfId="0" applyNumberFormat="1" applyFill="1" applyBorder="1" applyAlignment="1" applyProtection="1">
      <alignment horizontal="center"/>
      <protection locked="0"/>
    </xf>
    <xf numFmtId="0" fontId="2" fillId="4" borderId="29" xfId="0" applyFont="1" applyFill="1" applyBorder="1" applyAlignment="1" applyProtection="1">
      <alignment horizontal="center"/>
      <protection locked="0"/>
    </xf>
    <xf numFmtId="1" fontId="0" fillId="4" borderId="25" xfId="0" applyNumberFormat="1" applyFill="1" applyBorder="1" applyAlignment="1" applyProtection="1">
      <alignment horizontal="center"/>
      <protection locked="0"/>
    </xf>
    <xf numFmtId="2" fontId="0" fillId="4" borderId="31" xfId="0" applyNumberFormat="1" applyFill="1" applyBorder="1" applyAlignment="1" applyProtection="1">
      <alignment horizontal="center"/>
      <protection locked="0"/>
    </xf>
    <xf numFmtId="2" fontId="0" fillId="4" borderId="17" xfId="0" applyNumberFormat="1" applyFill="1" applyBorder="1" applyAlignment="1" applyProtection="1">
      <alignment horizontal="center"/>
      <protection locked="0"/>
    </xf>
    <xf numFmtId="2" fontId="0" fillId="4" borderId="18" xfId="0" applyNumberFormat="1" applyFill="1" applyBorder="1" applyAlignment="1" applyProtection="1">
      <alignment horizontal="center"/>
      <protection locked="0"/>
    </xf>
    <xf numFmtId="0" fontId="10" fillId="0" borderId="11" xfId="0" applyFont="1" applyBorder="1" applyAlignment="1">
      <alignment horizontal="center"/>
    </xf>
    <xf numFmtId="0" fontId="0" fillId="0" borderId="18" xfId="0" applyBorder="1" applyAlignment="1" applyProtection="1">
      <alignment horizontal="center"/>
      <protection locked="0"/>
    </xf>
    <xf numFmtId="0" fontId="2" fillId="0" borderId="8" xfId="0" applyFont="1" applyBorder="1" applyAlignment="1">
      <alignment horizontal="center"/>
    </xf>
    <xf numFmtId="0" fontId="7" fillId="0" borderId="0" xfId="0" applyFont="1" applyAlignment="1">
      <alignment horizontal="center"/>
    </xf>
    <xf numFmtId="166" fontId="2" fillId="0" borderId="29" xfId="0" applyNumberFormat="1" applyFont="1" applyBorder="1" applyAlignment="1">
      <alignment horizontal="center"/>
    </xf>
    <xf numFmtId="166" fontId="0" fillId="0" borderId="21" xfId="0" applyNumberFormat="1" applyBorder="1" applyAlignment="1">
      <alignment horizontal="center"/>
    </xf>
    <xf numFmtId="166" fontId="0" fillId="0" borderId="22" xfId="0" applyNumberFormat="1" applyBorder="1" applyAlignment="1">
      <alignment horizontal="center"/>
    </xf>
    <xf numFmtId="0" fontId="0" fillId="4" borderId="17" xfId="0" applyFill="1" applyBorder="1" applyAlignment="1" applyProtection="1">
      <alignment horizontal="left"/>
      <protection locked="0"/>
    </xf>
    <xf numFmtId="49" fontId="0" fillId="0" borderId="11" xfId="0" applyNumberFormat="1" applyBorder="1" applyAlignment="1">
      <alignment horizontal="center"/>
    </xf>
    <xf numFmtId="0" fontId="2" fillId="0" borderId="29" xfId="0" applyFont="1" applyBorder="1" applyAlignment="1">
      <alignment horizontal="center"/>
    </xf>
    <xf numFmtId="14" fontId="0" fillId="4" borderId="11" xfId="0" applyNumberFormat="1" applyFill="1" applyBorder="1" applyAlignment="1" applyProtection="1">
      <alignment horizontal="center"/>
      <protection locked="0"/>
    </xf>
    <xf numFmtId="0" fontId="3" fillId="0" borderId="29" xfId="4" applyFont="1" applyBorder="1" applyAlignment="1">
      <alignment horizontal="center" vertical="center"/>
    </xf>
    <xf numFmtId="0" fontId="0" fillId="0" borderId="21" xfId="0" applyBorder="1" applyAlignment="1">
      <alignment horizontal="center" vertical="center"/>
    </xf>
    <xf numFmtId="0" fontId="2" fillId="0" borderId="25" xfId="0" applyFont="1" applyBorder="1" applyAlignment="1">
      <alignment horizontal="center"/>
    </xf>
    <xf numFmtId="0" fontId="8" fillId="0" borderId="6" xfId="0" applyFont="1" applyBorder="1" applyAlignment="1">
      <alignment horizontal="center"/>
    </xf>
    <xf numFmtId="0" fontId="8" fillId="0" borderId="0" xfId="0" applyFont="1" applyAlignment="1">
      <alignment horizontal="center"/>
    </xf>
    <xf numFmtId="0" fontId="8" fillId="0" borderId="7" xfId="0" applyFont="1" applyBorder="1" applyAlignment="1">
      <alignment horizontal="center"/>
    </xf>
    <xf numFmtId="0" fontId="0" fillId="0" borderId="20" xfId="0" applyBorder="1" applyAlignment="1">
      <alignment horizontal="center"/>
    </xf>
    <xf numFmtId="0" fontId="0" fillId="0" borderId="1" xfId="0" applyBorder="1" applyAlignment="1">
      <alignment horizontal="center"/>
    </xf>
    <xf numFmtId="2" fontId="29" fillId="0" borderId="6" xfId="4" applyNumberFormat="1" applyBorder="1" applyAlignment="1">
      <alignment horizontal="center"/>
    </xf>
    <xf numFmtId="2" fontId="29" fillId="9" borderId="17" xfId="4" applyNumberFormat="1" applyFill="1" applyBorder="1" applyAlignment="1" applyProtection="1">
      <alignment horizontal="center"/>
      <protection locked="0"/>
    </xf>
    <xf numFmtId="0" fontId="4" fillId="0" borderId="23" xfId="0" applyFont="1" applyBorder="1" applyAlignment="1">
      <alignment horizontal="center" wrapText="1" shrinkToFit="1"/>
    </xf>
    <xf numFmtId="0" fontId="0" fillId="0" borderId="23" xfId="0" applyBorder="1" applyAlignment="1">
      <alignment horizontal="center" wrapText="1" shrinkToFit="1"/>
    </xf>
    <xf numFmtId="0" fontId="0" fillId="4" borderId="2" xfId="0" applyFill="1" applyBorder="1" applyAlignment="1">
      <alignment horizontal="center"/>
    </xf>
    <xf numFmtId="0" fontId="3" fillId="0" borderId="31" xfId="4"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166" fontId="4" fillId="10" borderId="23" xfId="0" applyNumberFormat="1" applyFont="1" applyFill="1" applyBorder="1" applyAlignment="1" applyProtection="1">
      <alignment horizontal="center" wrapText="1" shrinkToFit="1"/>
      <protection locked="0"/>
    </xf>
    <xf numFmtId="0" fontId="0" fillId="0" borderId="23" xfId="0" applyBorder="1" applyAlignment="1" applyProtection="1">
      <alignment horizontal="center" wrapText="1" shrinkToFit="1"/>
      <protection locked="0"/>
    </xf>
    <xf numFmtId="0" fontId="4" fillId="0" borderId="23" xfId="0" applyFont="1" applyBorder="1" applyAlignment="1">
      <alignment horizontal="center"/>
    </xf>
    <xf numFmtId="0" fontId="8" fillId="0" borderId="31" xfId="0" applyFont="1" applyBorder="1" applyAlignment="1">
      <alignment horizontal="center"/>
    </xf>
    <xf numFmtId="0" fontId="8" fillId="0" borderId="17" xfId="0" applyFont="1" applyBorder="1" applyAlignment="1">
      <alignment horizontal="center"/>
    </xf>
    <xf numFmtId="0" fontId="8" fillId="0" borderId="18" xfId="0" applyFont="1" applyBorder="1" applyAlignment="1">
      <alignment horizontal="center"/>
    </xf>
    <xf numFmtId="0" fontId="8" fillId="0" borderId="8"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2" fillId="0" borderId="31" xfId="0" applyFont="1" applyBorder="1" applyAlignment="1">
      <alignment horizontal="center"/>
    </xf>
    <xf numFmtId="0" fontId="4" fillId="0" borderId="0" xfId="4" applyFont="1" applyAlignment="1">
      <alignment horizontal="center" wrapText="1" shrinkToFit="1"/>
    </xf>
    <xf numFmtId="0" fontId="4" fillId="0" borderId="0" xfId="0" applyFont="1" applyAlignment="1">
      <alignment wrapText="1" shrinkToFit="1"/>
    </xf>
    <xf numFmtId="2" fontId="29" fillId="0" borderId="21" xfId="4" applyNumberFormat="1" applyBorder="1" applyAlignment="1">
      <alignment horizontal="center"/>
    </xf>
    <xf numFmtId="1" fontId="2" fillId="4" borderId="31" xfId="0" applyNumberFormat="1" applyFont="1" applyFill="1" applyBorder="1" applyAlignment="1">
      <alignment horizontal="center"/>
    </xf>
    <xf numFmtId="1" fontId="0" fillId="4" borderId="17" xfId="0" applyNumberFormat="1" applyFill="1" applyBorder="1" applyAlignment="1">
      <alignment horizontal="center"/>
    </xf>
    <xf numFmtId="1" fontId="0" fillId="4" borderId="18" xfId="0" applyNumberFormat="1" applyFill="1" applyBorder="1" applyAlignment="1">
      <alignment horizontal="center"/>
    </xf>
    <xf numFmtId="0" fontId="2" fillId="0" borderId="11" xfId="0" applyFont="1" applyBorder="1" applyAlignment="1">
      <alignment horizontal="center"/>
    </xf>
    <xf numFmtId="0" fontId="23" fillId="0" borderId="16" xfId="0" applyFont="1" applyBorder="1" applyAlignment="1">
      <alignment horizontal="center" wrapText="1" shrinkToFit="1"/>
    </xf>
    <xf numFmtId="0" fontId="23" fillId="0" borderId="26" xfId="0" applyFont="1" applyBorder="1" applyAlignment="1">
      <alignment horizontal="center" wrapText="1" shrinkToFit="1"/>
    </xf>
    <xf numFmtId="0" fontId="23" fillId="0" borderId="27" xfId="0" applyFont="1" applyBorder="1" applyAlignment="1">
      <alignment horizontal="center" wrapText="1" shrinkToFit="1"/>
    </xf>
    <xf numFmtId="0" fontId="4" fillId="0" borderId="6" xfId="0" applyFont="1" applyBorder="1" applyAlignment="1">
      <alignment horizontal="center"/>
    </xf>
    <xf numFmtId="0" fontId="4" fillId="0" borderId="0" xfId="0" applyFont="1" applyAlignment="1">
      <alignment horizontal="center"/>
    </xf>
    <xf numFmtId="0" fontId="0" fillId="0" borderId="7" xfId="0" applyBorder="1" applyAlignment="1">
      <alignment vertical="center" wrapText="1" shrinkToFit="1"/>
    </xf>
    <xf numFmtId="0" fontId="4" fillId="0" borderId="7" xfId="0" applyFont="1" applyBorder="1" applyAlignment="1">
      <alignment horizontal="center"/>
    </xf>
    <xf numFmtId="0" fontId="6" fillId="0" borderId="44" xfId="0" applyFont="1" applyBorder="1" applyAlignment="1">
      <alignment horizontal="center"/>
    </xf>
    <xf numFmtId="0" fontId="6" fillId="0" borderId="45" xfId="0" applyFont="1" applyBorder="1" applyAlignment="1">
      <alignment horizontal="center"/>
    </xf>
    <xf numFmtId="0" fontId="6" fillId="0" borderId="46" xfId="0" applyFont="1" applyBorder="1" applyAlignment="1">
      <alignment horizontal="center"/>
    </xf>
    <xf numFmtId="0" fontId="2" fillId="0" borderId="13" xfId="0" applyFont="1" applyBorder="1" applyAlignment="1">
      <alignment horizontal="center" wrapText="1" shrinkToFit="1"/>
    </xf>
    <xf numFmtId="0" fontId="2" fillId="0" borderId="49" xfId="0" applyFont="1" applyBorder="1" applyAlignment="1">
      <alignment horizontal="center" wrapText="1" shrinkToFit="1"/>
    </xf>
    <xf numFmtId="0" fontId="2" fillId="0" borderId="50" xfId="0" applyFont="1" applyBorder="1" applyAlignment="1">
      <alignment horizontal="center" wrapText="1" shrinkToFit="1"/>
    </xf>
    <xf numFmtId="164" fontId="2" fillId="0" borderId="10" xfId="0" applyNumberFormat="1" applyFont="1" applyBorder="1" applyAlignment="1">
      <alignment horizontal="center" vertical="center"/>
    </xf>
    <xf numFmtId="164" fontId="2" fillId="0" borderId="11" xfId="0" applyNumberFormat="1" applyFont="1" applyBorder="1" applyAlignment="1">
      <alignment horizontal="center" vertical="center"/>
    </xf>
    <xf numFmtId="164" fontId="2" fillId="0" borderId="38" xfId="0" applyNumberFormat="1" applyFont="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65" fontId="0" fillId="0" borderId="78" xfId="0" applyNumberFormat="1" applyBorder="1" applyAlignment="1">
      <alignment horizontal="center" vertical="center"/>
    </xf>
    <xf numFmtId="165" fontId="0" fillId="0" borderId="79" xfId="0" applyNumberFormat="1" applyBorder="1" applyAlignment="1">
      <alignment horizontal="center" vertical="center"/>
    </xf>
    <xf numFmtId="1" fontId="0" fillId="0" borderId="23" xfId="0" applyNumberFormat="1" applyBorder="1" applyAlignment="1">
      <alignment horizontal="center" vertical="center"/>
    </xf>
    <xf numFmtId="1" fontId="0" fillId="0" borderId="39" xfId="0" applyNumberFormat="1" applyBorder="1" applyAlignment="1">
      <alignment horizontal="center" vertical="center"/>
    </xf>
    <xf numFmtId="0" fontId="2" fillId="0" borderId="43" xfId="0" applyFont="1" applyBorder="1" applyAlignment="1">
      <alignment horizontal="center" vertical="center"/>
    </xf>
    <xf numFmtId="0" fontId="0" fillId="0" borderId="43" xfId="0" applyBorder="1" applyAlignment="1">
      <alignment horizontal="center" vertical="center"/>
    </xf>
    <xf numFmtId="0" fontId="0" fillId="0" borderId="47" xfId="0" applyBorder="1" applyAlignment="1">
      <alignment horizontal="center" vertical="center"/>
    </xf>
    <xf numFmtId="0" fontId="0" fillId="13" borderId="19" xfId="0" applyFill="1" applyBorder="1" applyAlignment="1">
      <alignment horizontal="left" vertical="center"/>
    </xf>
    <xf numFmtId="0" fontId="0" fillId="13" borderId="17" xfId="0" applyFill="1" applyBorder="1" applyAlignment="1">
      <alignment horizontal="left" vertical="center"/>
    </xf>
    <xf numFmtId="2" fontId="0" fillId="0" borderId="23" xfId="0" applyNumberFormat="1" applyBorder="1" applyAlignment="1">
      <alignment horizontal="center" vertical="center"/>
    </xf>
    <xf numFmtId="2" fontId="0" fillId="0" borderId="39" xfId="0" applyNumberFormat="1" applyBorder="1" applyAlignment="1">
      <alignment horizontal="center" vertical="center"/>
    </xf>
    <xf numFmtId="2" fontId="0" fillId="13" borderId="17" xfId="0" applyNumberFormat="1" applyFill="1" applyBorder="1" applyAlignment="1">
      <alignment horizontal="left" vertical="center"/>
    </xf>
    <xf numFmtId="2" fontId="0" fillId="0" borderId="25" xfId="0" applyNumberFormat="1" applyBorder="1" applyAlignment="1">
      <alignment horizontal="center" vertical="center"/>
    </xf>
    <xf numFmtId="2" fontId="0" fillId="0" borderId="32" xfId="0" applyNumberFormat="1" applyBorder="1" applyAlignment="1">
      <alignment horizontal="center" vertical="center"/>
    </xf>
    <xf numFmtId="0" fontId="0" fillId="0" borderId="41" xfId="0" applyBorder="1" applyAlignment="1">
      <alignment horizontal="center" vertical="center"/>
    </xf>
    <xf numFmtId="0" fontId="0" fillId="0" borderId="25" xfId="0" applyBorder="1" applyAlignment="1">
      <alignment horizontal="center" vertical="center"/>
    </xf>
    <xf numFmtId="0" fontId="0" fillId="0" borderId="19" xfId="0" applyBorder="1" applyAlignment="1">
      <alignment horizontal="center" vertical="center"/>
    </xf>
    <xf numFmtId="0" fontId="0" fillId="4" borderId="36" xfId="0" applyFill="1" applyBorder="1" applyAlignment="1" applyProtection="1">
      <alignment horizontal="center"/>
      <protection locked="0"/>
    </xf>
    <xf numFmtId="0" fontId="0" fillId="4" borderId="49" xfId="0" applyFill="1" applyBorder="1" applyAlignment="1" applyProtection="1">
      <alignment horizontal="center" wrapText="1" shrinkToFit="1"/>
      <protection locked="0"/>
    </xf>
    <xf numFmtId="164" fontId="0" fillId="4" borderId="25" xfId="0" applyNumberFormat="1" applyFill="1" applyBorder="1" applyAlignment="1" applyProtection="1">
      <alignment horizontal="center" vertical="center"/>
      <protection locked="0"/>
    </xf>
    <xf numFmtId="164" fontId="0" fillId="0" borderId="31" xfId="0" applyNumberFormat="1" applyBorder="1" applyAlignment="1">
      <alignment horizontal="center" vertical="center"/>
    </xf>
    <xf numFmtId="164" fontId="0" fillId="0" borderId="17" xfId="0" applyNumberFormat="1" applyBorder="1" applyAlignment="1">
      <alignment horizontal="center" vertical="center"/>
    </xf>
    <xf numFmtId="164" fontId="0" fillId="0" borderId="18" xfId="0" applyNumberFormat="1" applyBorder="1" applyAlignment="1">
      <alignment horizontal="center" vertical="center"/>
    </xf>
    <xf numFmtId="0" fontId="2" fillId="0" borderId="23" xfId="0" applyFont="1" applyBorder="1" applyAlignment="1">
      <alignment horizontal="center" vertical="center"/>
    </xf>
    <xf numFmtId="0" fontId="0" fillId="0" borderId="23" xfId="0" applyBorder="1" applyAlignment="1">
      <alignment horizontal="center" vertical="center"/>
    </xf>
    <xf numFmtId="0" fontId="0" fillId="0" borderId="59" xfId="0" applyBorder="1" applyAlignment="1">
      <alignment horizontal="center"/>
    </xf>
    <xf numFmtId="0" fontId="0" fillId="0" borderId="60" xfId="0" applyBorder="1" applyAlignment="1">
      <alignment horizontal="center"/>
    </xf>
    <xf numFmtId="0" fontId="2" fillId="13" borderId="13" xfId="0" applyFont="1" applyFill="1" applyBorder="1" applyAlignment="1">
      <alignment horizontal="center"/>
    </xf>
    <xf numFmtId="0" fontId="0" fillId="13" borderId="49" xfId="0" applyFill="1" applyBorder="1" applyAlignment="1">
      <alignment horizontal="center"/>
    </xf>
    <xf numFmtId="0" fontId="0" fillId="13" borderId="50" xfId="0" applyFill="1" applyBorder="1" applyAlignment="1">
      <alignment horizontal="center"/>
    </xf>
    <xf numFmtId="0" fontId="17" fillId="0" borderId="29" xfId="0" applyFont="1" applyBorder="1" applyAlignment="1">
      <alignment horizontal="center" vertical="center"/>
    </xf>
    <xf numFmtId="0" fontId="17" fillId="0" borderId="21" xfId="0" applyFont="1" applyBorder="1" applyAlignment="1">
      <alignment horizontal="center" vertical="center"/>
    </xf>
    <xf numFmtId="49" fontId="3" fillId="4" borderId="29" xfId="0" applyNumberFormat="1" applyFont="1" applyFill="1" applyBorder="1" applyAlignment="1" applyProtection="1">
      <alignment horizontal="center" vertical="top"/>
      <protection locked="0"/>
    </xf>
    <xf numFmtId="49" fontId="3" fillId="4" borderId="21" xfId="0" applyNumberFormat="1" applyFont="1" applyFill="1" applyBorder="1" applyAlignment="1" applyProtection="1">
      <alignment horizontal="center" vertical="top"/>
      <protection locked="0"/>
    </xf>
    <xf numFmtId="49" fontId="3" fillId="4" borderId="22" xfId="0" applyNumberFormat="1" applyFont="1" applyFill="1" applyBorder="1" applyAlignment="1" applyProtection="1">
      <alignment horizontal="center" vertical="top"/>
      <protection locked="0"/>
    </xf>
    <xf numFmtId="0" fontId="2" fillId="0" borderId="64" xfId="0" applyFont="1" applyBorder="1" applyAlignment="1">
      <alignment horizontal="center"/>
    </xf>
    <xf numFmtId="0" fontId="0" fillId="0" borderId="65" xfId="0" applyBorder="1" applyAlignment="1">
      <alignment horizontal="center"/>
    </xf>
    <xf numFmtId="0" fontId="0" fillId="0" borderId="66" xfId="0" applyBorder="1" applyAlignment="1">
      <alignment horizontal="center"/>
    </xf>
    <xf numFmtId="0" fontId="0" fillId="4" borderId="43" xfId="0" applyFill="1" applyBorder="1" applyAlignment="1" applyProtection="1">
      <alignment horizontal="center" vertical="center"/>
      <protection locked="0"/>
    </xf>
    <xf numFmtId="0" fontId="3" fillId="0" borderId="0" xfId="0" applyFont="1" applyAlignment="1">
      <alignment horizontal="center"/>
    </xf>
    <xf numFmtId="2" fontId="8" fillId="0" borderId="26" xfId="0" applyNumberFormat="1" applyFont="1" applyBorder="1" applyAlignment="1">
      <alignment horizontal="right"/>
    </xf>
    <xf numFmtId="2" fontId="8" fillId="0" borderId="0" xfId="0" applyNumberFormat="1" applyFont="1" applyAlignment="1">
      <alignment horizontal="right"/>
    </xf>
    <xf numFmtId="0" fontId="2" fillId="0" borderId="65" xfId="0" applyFont="1" applyBorder="1" applyAlignment="1">
      <alignment horizontal="center"/>
    </xf>
    <xf numFmtId="0" fontId="0" fillId="0" borderId="49" xfId="0" applyBorder="1" applyAlignment="1">
      <alignment horizont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4" borderId="4" xfId="0" applyFont="1" applyFill="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2" fillId="0" borderId="61" xfId="0" applyFont="1" applyBorder="1" applyAlignment="1">
      <alignment horizontal="center" vertical="center" wrapText="1" shrinkToFit="1"/>
    </xf>
    <xf numFmtId="0" fontId="0" fillId="0" borderId="62" xfId="0" applyBorder="1" applyAlignment="1">
      <alignment horizontal="center" vertical="center" wrapText="1" shrinkToFit="1"/>
    </xf>
    <xf numFmtId="0" fontId="0" fillId="0" borderId="63" xfId="0" applyBorder="1" applyAlignment="1">
      <alignment horizontal="center" vertical="center" wrapText="1" shrinkToFit="1"/>
    </xf>
    <xf numFmtId="0" fontId="2" fillId="13" borderId="44" xfId="0" applyFont="1" applyFill="1" applyBorder="1" applyAlignment="1">
      <alignment horizontal="left" vertical="center" wrapText="1" shrinkToFit="1"/>
    </xf>
    <xf numFmtId="0" fontId="0" fillId="13" borderId="45" xfId="0" applyFill="1" applyBorder="1" applyAlignment="1">
      <alignment horizontal="left" vertical="center" wrapText="1" shrinkToFit="1"/>
    </xf>
    <xf numFmtId="0" fontId="0" fillId="13" borderId="46" xfId="0" applyFill="1" applyBorder="1" applyAlignment="1">
      <alignment horizontal="left" vertical="center" wrapText="1" shrinkToFit="1"/>
    </xf>
    <xf numFmtId="0" fontId="6" fillId="0" borderId="0" xfId="0" applyFont="1" applyAlignment="1">
      <alignment horizontal="center"/>
    </xf>
    <xf numFmtId="0" fontId="2" fillId="0" borderId="61" xfId="0" applyFont="1" applyBorder="1" applyAlignment="1">
      <alignment horizontal="center"/>
    </xf>
    <xf numFmtId="0" fontId="0" fillId="0" borderId="62" xfId="0" applyBorder="1" applyAlignment="1">
      <alignment horizontal="center"/>
    </xf>
    <xf numFmtId="0" fontId="0" fillId="0" borderId="63" xfId="0" applyBorder="1" applyAlignment="1">
      <alignment horizontal="center"/>
    </xf>
    <xf numFmtId="0" fontId="2" fillId="0" borderId="23" xfId="0" applyFont="1" applyBorder="1" applyAlignment="1">
      <alignment horizontal="center"/>
    </xf>
    <xf numFmtId="49" fontId="3" fillId="4" borderId="23" xfId="0" applyNumberFormat="1" applyFont="1" applyFill="1" applyBorder="1" applyAlignment="1" applyProtection="1">
      <alignment horizontal="center" vertical="center"/>
      <protection locked="0"/>
    </xf>
    <xf numFmtId="0" fontId="0" fillId="4" borderId="23" xfId="0" applyFill="1" applyBorder="1" applyAlignment="1" applyProtection="1">
      <alignment horizontal="center" vertical="center"/>
      <protection locked="0"/>
    </xf>
    <xf numFmtId="49" fontId="2" fillId="4" borderId="49" xfId="0" applyNumberFormat="1" applyFont="1" applyFill="1" applyBorder="1" applyAlignment="1" applyProtection="1">
      <alignment horizontal="center"/>
      <protection locked="0"/>
    </xf>
    <xf numFmtId="0" fontId="2" fillId="0" borderId="26" xfId="0" applyFont="1" applyBorder="1" applyAlignment="1" applyProtection="1">
      <alignment horizontal="center"/>
      <protection locked="0"/>
    </xf>
    <xf numFmtId="167" fontId="3" fillId="0" borderId="0" xfId="0" applyNumberFormat="1" applyFont="1" applyAlignment="1" applyProtection="1">
      <alignment horizontal="left"/>
      <protection locked="0"/>
    </xf>
    <xf numFmtId="0" fontId="3" fillId="0" borderId="61" xfId="0" applyFont="1" applyBorder="1" applyAlignment="1">
      <alignment horizontal="center"/>
    </xf>
    <xf numFmtId="0" fontId="3" fillId="0" borderId="62" xfId="0" applyFont="1" applyBorder="1" applyAlignment="1">
      <alignment horizontal="center"/>
    </xf>
    <xf numFmtId="0" fontId="3" fillId="0" borderId="63" xfId="0" applyFont="1" applyBorder="1" applyAlignment="1">
      <alignment horizontal="center"/>
    </xf>
    <xf numFmtId="0" fontId="3" fillId="0" borderId="0" xfId="0" applyFont="1" applyAlignment="1" applyProtection="1">
      <alignment horizontal="center"/>
      <protection locked="0"/>
    </xf>
    <xf numFmtId="0" fontId="0" fillId="0" borderId="13" xfId="0" applyBorder="1" applyAlignment="1">
      <alignment horizontal="center"/>
    </xf>
    <xf numFmtId="0" fontId="4" fillId="0" borderId="13" xfId="0" applyFont="1" applyBorder="1" applyAlignment="1">
      <alignment horizontal="center"/>
    </xf>
    <xf numFmtId="0" fontId="3" fillId="0" borderId="41" xfId="0" applyFont="1" applyBorder="1" applyAlignment="1">
      <alignment horizontal="center"/>
    </xf>
    <xf numFmtId="0" fontId="3" fillId="0" borderId="25" xfId="0" applyFont="1" applyBorder="1" applyAlignment="1">
      <alignment horizontal="center"/>
    </xf>
    <xf numFmtId="0" fontId="3" fillId="0" borderId="32" xfId="0" applyFont="1" applyBorder="1" applyAlignment="1">
      <alignment horizontal="center"/>
    </xf>
    <xf numFmtId="1" fontId="0" fillId="4" borderId="23" xfId="0" applyNumberFormat="1" applyFill="1" applyBorder="1" applyAlignment="1" applyProtection="1">
      <alignment horizontal="center" vertical="center"/>
      <protection locked="0"/>
    </xf>
    <xf numFmtId="49" fontId="2" fillId="4" borderId="36" xfId="0" applyNumberFormat="1" applyFont="1" applyFill="1" applyBorder="1" applyAlignment="1" applyProtection="1">
      <alignment horizontal="center"/>
      <protection locked="0"/>
    </xf>
    <xf numFmtId="49" fontId="0" fillId="4" borderId="36" xfId="0" applyNumberFormat="1" applyFill="1" applyBorder="1" applyAlignment="1" applyProtection="1">
      <alignment horizontal="center"/>
      <protection locked="0"/>
    </xf>
    <xf numFmtId="0" fontId="8" fillId="4" borderId="49" xfId="0" applyFont="1" applyFill="1" applyBorder="1" applyAlignment="1" applyProtection="1">
      <alignment horizontal="center"/>
      <protection locked="0"/>
    </xf>
    <xf numFmtId="0" fontId="0" fillId="4" borderId="49" xfId="0" applyFill="1" applyBorder="1" applyAlignment="1" applyProtection="1">
      <alignment horizontal="center"/>
      <protection locked="0"/>
    </xf>
    <xf numFmtId="0" fontId="3" fillId="0" borderId="31" xfId="0" applyFont="1" applyBorder="1" applyAlignment="1">
      <alignment horizontal="center" wrapText="1" shrinkToFit="1"/>
    </xf>
    <xf numFmtId="49" fontId="15" fillId="4" borderId="31" xfId="0" applyNumberFormat="1" applyFont="1" applyFill="1" applyBorder="1" applyAlignment="1" applyProtection="1">
      <alignment horizontal="left" vertical="center" wrapText="1" shrinkToFit="1"/>
      <protection locked="0"/>
    </xf>
    <xf numFmtId="0" fontId="15" fillId="0" borderId="17" xfId="0" applyFont="1" applyBorder="1" applyAlignment="1" applyProtection="1">
      <alignment vertical="center" wrapText="1" shrinkToFit="1"/>
      <protection locked="0"/>
    </xf>
    <xf numFmtId="0" fontId="15" fillId="0" borderId="18" xfId="0" applyFont="1" applyBorder="1" applyAlignment="1" applyProtection="1">
      <alignment vertical="center" wrapText="1" shrinkToFit="1"/>
      <protection locked="0"/>
    </xf>
    <xf numFmtId="49" fontId="3" fillId="4" borderId="31" xfId="0" applyNumberFormat="1" applyFont="1" applyFill="1" applyBorder="1" applyAlignment="1" applyProtection="1">
      <alignment horizontal="left" vertical="center" wrapText="1" shrinkToFit="1"/>
      <protection locked="0"/>
    </xf>
    <xf numFmtId="0" fontId="0" fillId="0" borderId="17" xfId="0" applyBorder="1" applyAlignment="1" applyProtection="1">
      <alignment vertical="center" wrapText="1" shrinkToFit="1"/>
      <protection locked="0"/>
    </xf>
    <xf numFmtId="0" fontId="0" fillId="0" borderId="18" xfId="0" applyBorder="1" applyAlignment="1" applyProtection="1">
      <alignment vertical="center" wrapText="1" shrinkToFit="1"/>
      <protection locked="0"/>
    </xf>
    <xf numFmtId="0" fontId="11" fillId="0" borderId="49" xfId="0" applyFont="1" applyBorder="1" applyAlignment="1" applyProtection="1">
      <alignment horizontal="center"/>
      <protection locked="0"/>
    </xf>
    <xf numFmtId="0" fontId="11" fillId="0" borderId="50" xfId="0" applyFont="1" applyBorder="1" applyAlignment="1" applyProtection="1">
      <alignment horizontal="center"/>
      <protection locked="0"/>
    </xf>
    <xf numFmtId="49" fontId="3" fillId="4" borderId="43" xfId="0" applyNumberFormat="1" applyFont="1" applyFill="1" applyBorder="1" applyAlignment="1" applyProtection="1">
      <alignment horizontal="center" vertical="center"/>
      <protection locked="0"/>
    </xf>
    <xf numFmtId="0" fontId="0" fillId="0" borderId="49" xfId="0" applyBorder="1" applyAlignment="1">
      <alignment horizontal="right"/>
    </xf>
    <xf numFmtId="167" fontId="8" fillId="0" borderId="49" xfId="0" applyNumberFormat="1" applyFont="1" applyBorder="1" applyAlignment="1" applyProtection="1">
      <alignment horizontal="center"/>
      <protection locked="0"/>
    </xf>
    <xf numFmtId="2" fontId="0" fillId="0" borderId="26" xfId="0" applyNumberFormat="1" applyBorder="1" applyAlignment="1" applyProtection="1">
      <alignment horizontal="center"/>
      <protection locked="0"/>
    </xf>
    <xf numFmtId="0" fontId="0" fillId="0" borderId="26" xfId="0" applyBorder="1" applyAlignment="1">
      <alignment horizontal="left"/>
    </xf>
    <xf numFmtId="2" fontId="8" fillId="0" borderId="0" xfId="0" applyNumberFormat="1" applyFont="1" applyAlignment="1">
      <alignment horizontal="center"/>
    </xf>
    <xf numFmtId="0" fontId="3" fillId="4" borderId="40" xfId="0" applyFont="1" applyFill="1" applyBorder="1" applyAlignment="1" applyProtection="1">
      <alignment horizontal="center"/>
      <protection locked="0"/>
    </xf>
    <xf numFmtId="0" fontId="3" fillId="4" borderId="23" xfId="0" applyFont="1" applyFill="1" applyBorder="1" applyAlignment="1" applyProtection="1">
      <alignment horizontal="center"/>
      <protection locked="0"/>
    </xf>
    <xf numFmtId="0" fontId="3" fillId="4" borderId="39" xfId="0" applyFont="1" applyFill="1" applyBorder="1" applyAlignment="1" applyProtection="1">
      <alignment horizontal="center"/>
      <protection locked="0"/>
    </xf>
    <xf numFmtId="0" fontId="3" fillId="4" borderId="42" xfId="0" applyFont="1" applyFill="1" applyBorder="1" applyAlignment="1" applyProtection="1">
      <alignment horizontal="center"/>
      <protection locked="0"/>
    </xf>
    <xf numFmtId="0" fontId="3" fillId="4" borderId="43" xfId="0" applyFont="1" applyFill="1" applyBorder="1" applyAlignment="1" applyProtection="1">
      <alignment horizontal="center"/>
      <protection locked="0"/>
    </xf>
    <xf numFmtId="0" fontId="3" fillId="4" borderId="47" xfId="0" applyFont="1" applyFill="1" applyBorder="1" applyAlignment="1" applyProtection="1">
      <alignment horizontal="center"/>
      <protection locked="0"/>
    </xf>
    <xf numFmtId="0" fontId="3" fillId="4" borderId="3" xfId="0" applyFont="1" applyFill="1" applyBorder="1" applyAlignment="1" applyProtection="1">
      <alignment horizontal="center"/>
      <protection locked="0"/>
    </xf>
    <xf numFmtId="0" fontId="3" fillId="4" borderId="4" xfId="0" applyFont="1" applyFill="1" applyBorder="1" applyAlignment="1" applyProtection="1">
      <alignment horizontal="center"/>
      <protection locked="0"/>
    </xf>
    <xf numFmtId="0" fontId="3" fillId="4" borderId="28" xfId="0" applyFont="1" applyFill="1" applyBorder="1" applyAlignment="1" applyProtection="1">
      <alignment horizontal="center"/>
      <protection locked="0"/>
    </xf>
    <xf numFmtId="0" fontId="0" fillId="0" borderId="41" xfId="0" applyBorder="1" applyAlignment="1">
      <alignment horizontal="center"/>
    </xf>
    <xf numFmtId="0" fontId="0" fillId="0" borderId="9" xfId="0" applyBorder="1" applyAlignment="1">
      <alignment horizontal="center" vertical="center"/>
    </xf>
    <xf numFmtId="0" fontId="0" fillId="0" borderId="0" xfId="0" applyAlignment="1">
      <alignment horizontal="center" vertical="center"/>
    </xf>
    <xf numFmtId="0" fontId="2" fillId="0" borderId="16" xfId="0" applyFont="1" applyBorder="1" applyAlignment="1">
      <alignment horizontal="center" wrapText="1" shrinkToFit="1"/>
    </xf>
    <xf numFmtId="0" fontId="2" fillId="0" borderId="26" xfId="0" applyFont="1" applyBorder="1" applyAlignment="1">
      <alignment horizontal="center" wrapText="1" shrinkToFit="1"/>
    </xf>
    <xf numFmtId="0" fontId="2" fillId="0" borderId="27" xfId="0" applyFont="1" applyBorder="1" applyAlignment="1">
      <alignment horizontal="center" wrapText="1" shrinkToFit="1"/>
    </xf>
    <xf numFmtId="0" fontId="0" fillId="0" borderId="32" xfId="0" applyBorder="1" applyAlignment="1">
      <alignment horizontal="center"/>
    </xf>
    <xf numFmtId="0" fontId="3" fillId="0" borderId="9" xfId="0" applyFont="1" applyBorder="1" applyAlignment="1">
      <alignment horizontal="center"/>
    </xf>
    <xf numFmtId="171" fontId="2" fillId="0" borderId="42" xfId="0" applyNumberFormat="1" applyFont="1" applyBorder="1" applyAlignment="1">
      <alignment horizontal="center" vertical="center"/>
    </xf>
    <xf numFmtId="171" fontId="0" fillId="0" borderId="43" xfId="0" applyNumberFormat="1" applyBorder="1" applyAlignment="1">
      <alignment horizontal="center" vertical="center"/>
    </xf>
    <xf numFmtId="0" fontId="0" fillId="0" borderId="40" xfId="0" applyBorder="1" applyAlignment="1">
      <alignment horizontal="center" vertical="center"/>
    </xf>
    <xf numFmtId="1" fontId="0" fillId="0" borderId="31" xfId="0" applyNumberFormat="1" applyBorder="1" applyAlignment="1">
      <alignment horizontal="center" vertical="center"/>
    </xf>
    <xf numFmtId="1" fontId="0" fillId="0" borderId="17" xfId="0" applyNumberFormat="1" applyBorder="1" applyAlignment="1">
      <alignment horizontal="center" vertical="center"/>
    </xf>
    <xf numFmtId="1" fontId="0" fillId="0" borderId="18" xfId="0" applyNumberFormat="1" applyBorder="1" applyAlignment="1">
      <alignment horizontal="center" vertical="center"/>
    </xf>
    <xf numFmtId="0" fontId="2" fillId="0" borderId="19" xfId="0" applyFont="1" applyBorder="1" applyAlignment="1">
      <alignment horizontal="center" vertical="center"/>
    </xf>
    <xf numFmtId="165" fontId="2" fillId="6" borderId="0" xfId="0" applyNumberFormat="1" applyFont="1" applyFill="1" applyAlignment="1" applyProtection="1">
      <alignment horizontal="center" vertical="center" wrapText="1" shrinkToFit="1"/>
      <protection locked="0"/>
    </xf>
    <xf numFmtId="0" fontId="0" fillId="0" borderId="51" xfId="0" applyBorder="1" applyAlignment="1">
      <alignment horizontal="center" vertical="center"/>
    </xf>
    <xf numFmtId="164" fontId="0" fillId="4" borderId="23" xfId="0" applyNumberFormat="1" applyFill="1" applyBorder="1" applyAlignment="1" applyProtection="1">
      <alignment horizontal="center" vertical="center"/>
      <protection locked="0"/>
    </xf>
    <xf numFmtId="0" fontId="0" fillId="0" borderId="52"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165" fontId="0" fillId="4" borderId="23" xfId="0" applyNumberFormat="1" applyFill="1" applyBorder="1" applyAlignment="1" applyProtection="1">
      <alignment horizontal="center" vertical="center"/>
      <protection locked="0"/>
    </xf>
    <xf numFmtId="2" fontId="0" fillId="0" borderId="3" xfId="0" applyNumberFormat="1" applyBorder="1" applyAlignment="1">
      <alignment horizontal="center" vertical="center" wrapText="1" shrinkToFit="1"/>
    </xf>
    <xf numFmtId="0" fontId="0" fillId="0" borderId="4" xfId="0" applyBorder="1" applyAlignment="1">
      <alignment horizontal="center" vertical="center" wrapText="1" shrinkToFit="1"/>
    </xf>
    <xf numFmtId="0" fontId="0" fillId="0" borderId="28"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38" xfId="0" applyBorder="1" applyAlignment="1">
      <alignment horizontal="center" vertical="center" wrapText="1" shrinkToFit="1"/>
    </xf>
    <xf numFmtId="0" fontId="0" fillId="0" borderId="31" xfId="0" applyBorder="1" applyAlignment="1">
      <alignment horizontal="center" vertical="center"/>
    </xf>
    <xf numFmtId="0" fontId="2" fillId="0" borderId="31" xfId="0" applyFont="1" applyBorder="1" applyAlignment="1">
      <alignment horizontal="center" vertical="center"/>
    </xf>
    <xf numFmtId="49" fontId="24" fillId="0" borderId="24" xfId="0" applyNumberFormat="1" applyFont="1" applyBorder="1" applyAlignment="1">
      <alignment horizontal="center" vertical="center" textRotation="90"/>
    </xf>
    <xf numFmtId="49" fontId="24" fillId="0" borderId="11" xfId="0" applyNumberFormat="1" applyFont="1" applyBorder="1" applyAlignment="1">
      <alignment horizontal="center" vertical="center" textRotation="90"/>
    </xf>
    <xf numFmtId="49" fontId="24" fillId="0" borderId="12" xfId="0" applyNumberFormat="1" applyFont="1" applyBorder="1" applyAlignment="1">
      <alignment horizontal="center" vertical="center" textRotation="90"/>
    </xf>
    <xf numFmtId="1" fontId="0" fillId="0" borderId="31" xfId="0" applyNumberFormat="1" applyBorder="1" applyAlignment="1" applyProtection="1">
      <alignment horizontal="center" vertical="center"/>
      <protection locked="0"/>
    </xf>
    <xf numFmtId="1" fontId="0" fillId="0" borderId="17" xfId="0" applyNumberFormat="1" applyBorder="1" applyAlignment="1" applyProtection="1">
      <alignment horizontal="center" vertical="center"/>
      <protection locked="0"/>
    </xf>
    <xf numFmtId="1" fontId="0" fillId="0" borderId="18" xfId="0" applyNumberFormat="1" applyBorder="1" applyAlignment="1" applyProtection="1">
      <alignment horizontal="center" vertical="center"/>
      <protection locked="0"/>
    </xf>
    <xf numFmtId="0" fontId="0" fillId="4" borderId="31" xfId="0" applyFill="1" applyBorder="1" applyAlignment="1" applyProtection="1">
      <alignment horizontal="center" vertical="center"/>
      <protection locked="0"/>
    </xf>
    <xf numFmtId="0" fontId="0" fillId="4" borderId="17" xfId="0" applyFill="1" applyBorder="1" applyAlignment="1" applyProtection="1">
      <alignment horizontal="center" vertical="center"/>
      <protection locked="0"/>
    </xf>
    <xf numFmtId="0" fontId="0" fillId="4" borderId="18" xfId="0" applyFill="1" applyBorder="1" applyAlignment="1" applyProtection="1">
      <alignment horizontal="center" vertical="center"/>
      <protection locked="0"/>
    </xf>
    <xf numFmtId="2" fontId="0" fillId="13" borderId="2" xfId="0" applyNumberFormat="1" applyFill="1" applyBorder="1" applyAlignment="1">
      <alignment horizontal="lef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2" xfId="0" applyBorder="1" applyAlignment="1">
      <alignment horizontal="center" vertical="center"/>
    </xf>
    <xf numFmtId="0" fontId="2" fillId="0" borderId="0" xfId="0" applyFont="1" applyAlignment="1">
      <alignment horizontal="right" wrapText="1" shrinkToFit="1"/>
    </xf>
    <xf numFmtId="0" fontId="0" fillId="0" borderId="0" xfId="0" applyAlignment="1">
      <alignment horizontal="right" wrapText="1" shrinkToFit="1"/>
    </xf>
    <xf numFmtId="14" fontId="0" fillId="0" borderId="4" xfId="0" applyNumberFormat="1" applyBorder="1" applyAlignment="1">
      <alignment horizontal="center"/>
    </xf>
    <xf numFmtId="0" fontId="4" fillId="0" borderId="29" xfId="0" applyFont="1" applyBorder="1" applyAlignment="1">
      <alignment horizontal="center" vertical="center"/>
    </xf>
    <xf numFmtId="0" fontId="4" fillId="0" borderId="21" xfId="0" applyFont="1" applyBorder="1" applyAlignment="1">
      <alignment horizontal="center" vertical="center"/>
    </xf>
    <xf numFmtId="0" fontId="4" fillId="0" borderId="30" xfId="0" applyFont="1" applyBorder="1" applyAlignment="1">
      <alignment horizontal="center" vertical="center"/>
    </xf>
    <xf numFmtId="0" fontId="2" fillId="4" borderId="36" xfId="0" applyFont="1" applyFill="1" applyBorder="1" applyAlignment="1" applyProtection="1">
      <alignment horizontal="left" wrapText="1" shrinkToFit="1"/>
      <protection locked="0"/>
    </xf>
    <xf numFmtId="0" fontId="0" fillId="0" borderId="36" xfId="0" applyBorder="1" applyAlignment="1" applyProtection="1">
      <alignment horizontal="left"/>
      <protection locked="0"/>
    </xf>
    <xf numFmtId="0" fontId="0" fillId="4" borderId="49" xfId="0" applyFill="1" applyBorder="1" applyAlignment="1" applyProtection="1">
      <alignment horizontal="left" wrapText="1" shrinkToFit="1"/>
      <protection locked="0"/>
    </xf>
    <xf numFmtId="0" fontId="0" fillId="0" borderId="49" xfId="0" applyBorder="1" applyAlignment="1" applyProtection="1">
      <alignment horizontal="left"/>
      <protection locked="0"/>
    </xf>
    <xf numFmtId="0" fontId="36" fillId="0" borderId="0" xfId="0" applyFont="1" applyAlignment="1">
      <alignment horizontal="center" wrapText="1" shrinkToFit="1"/>
    </xf>
    <xf numFmtId="0" fontId="37" fillId="0" borderId="0" xfId="0" applyFont="1" applyAlignment="1">
      <alignment horizontal="center" wrapText="1" shrinkToFit="1"/>
    </xf>
    <xf numFmtId="0" fontId="0" fillId="0" borderId="36" xfId="0" applyBorder="1" applyAlignment="1" applyProtection="1">
      <alignment wrapText="1" shrinkToFit="1"/>
      <protection locked="0"/>
    </xf>
    <xf numFmtId="0" fontId="2" fillId="4" borderId="11" xfId="0" applyFont="1" applyFill="1" applyBorder="1" applyAlignment="1" applyProtection="1">
      <alignment horizontal="center" wrapText="1" shrinkToFit="1"/>
      <protection locked="0"/>
    </xf>
    <xf numFmtId="0" fontId="0" fillId="4" borderId="11" xfId="0" applyFill="1" applyBorder="1" applyAlignment="1" applyProtection="1">
      <alignment horizontal="center" wrapText="1" shrinkToFit="1"/>
      <protection locked="0"/>
    </xf>
    <xf numFmtId="0" fontId="2" fillId="0" borderId="0" xfId="0" applyFont="1" applyAlignment="1">
      <alignment wrapText="1" shrinkToFit="1"/>
    </xf>
    <xf numFmtId="0" fontId="0" fillId="0" borderId="0" xfId="0" applyAlignment="1">
      <alignment wrapText="1" shrinkToFit="1"/>
    </xf>
    <xf numFmtId="2" fontId="0" fillId="4" borderId="23" xfId="0" applyNumberFormat="1" applyFill="1" applyBorder="1" applyAlignment="1" applyProtection="1">
      <alignment horizontal="center" vertical="center"/>
      <protection locked="0"/>
    </xf>
    <xf numFmtId="164" fontId="0" fillId="4" borderId="31" xfId="0" applyNumberFormat="1" applyFill="1" applyBorder="1" applyAlignment="1" applyProtection="1">
      <alignment horizontal="center" vertical="center"/>
      <protection locked="0"/>
    </xf>
    <xf numFmtId="164" fontId="0" fillId="4" borderId="17" xfId="0" applyNumberFormat="1" applyFill="1" applyBorder="1" applyAlignment="1" applyProtection="1">
      <alignment horizontal="center" vertical="center"/>
      <protection locked="0"/>
    </xf>
    <xf numFmtId="164" fontId="0" fillId="4" borderId="18" xfId="0" applyNumberFormat="1" applyFill="1" applyBorder="1" applyAlignment="1" applyProtection="1">
      <alignment horizontal="center" vertical="center"/>
      <protection locked="0"/>
    </xf>
    <xf numFmtId="0" fontId="0" fillId="0" borderId="67" xfId="0" applyBorder="1" applyAlignment="1">
      <alignment horizontal="center" wrapText="1" shrinkToFit="1"/>
    </xf>
    <xf numFmtId="0" fontId="0" fillId="0" borderId="68" xfId="0" applyBorder="1" applyAlignment="1">
      <alignment horizontal="center" wrapText="1" shrinkToFit="1"/>
    </xf>
    <xf numFmtId="0" fontId="0" fillId="0" borderId="69" xfId="0" applyBorder="1" applyAlignment="1">
      <alignment horizontal="center" wrapText="1" shrinkToFit="1"/>
    </xf>
    <xf numFmtId="0" fontId="0" fillId="0" borderId="9" xfId="0" applyBorder="1" applyAlignment="1">
      <alignment wrapText="1" shrinkToFit="1"/>
    </xf>
    <xf numFmtId="0" fontId="0" fillId="0" borderId="7" xfId="0" applyBorder="1" applyAlignment="1">
      <alignment wrapText="1" shrinkToFit="1"/>
    </xf>
    <xf numFmtId="0" fontId="17" fillId="0" borderId="8"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5" xfId="0" applyFont="1" applyBorder="1" applyAlignment="1">
      <alignment horizontal="center" vertical="center" wrapText="1" shrinkToFit="1"/>
    </xf>
    <xf numFmtId="0" fontId="17" fillId="0" borderId="24"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12" xfId="0" applyFont="1" applyBorder="1" applyAlignment="1">
      <alignment horizontal="center" vertical="center" wrapText="1" shrinkToFit="1"/>
    </xf>
    <xf numFmtId="1" fontId="0" fillId="4" borderId="25" xfId="0" applyNumberFormat="1" applyFill="1" applyBorder="1" applyAlignment="1" applyProtection="1">
      <alignment horizontal="center" vertical="center"/>
      <protection locked="0"/>
    </xf>
    <xf numFmtId="0" fontId="0" fillId="0" borderId="80" xfId="0" applyBorder="1" applyAlignment="1">
      <alignment horizontal="center" vertical="center"/>
    </xf>
    <xf numFmtId="164" fontId="0" fillId="0" borderId="23" xfId="0" applyNumberFormat="1" applyBorder="1" applyAlignment="1">
      <alignment horizontal="center" vertical="center"/>
    </xf>
    <xf numFmtId="0" fontId="0" fillId="4" borderId="3"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164" fontId="0" fillId="0" borderId="3" xfId="0" applyNumberFormat="1" applyBorder="1" applyAlignment="1">
      <alignment horizontal="center" vertical="center" wrapText="1" shrinkToFit="1"/>
    </xf>
    <xf numFmtId="0" fontId="0" fillId="0" borderId="5" xfId="0" applyBorder="1" applyAlignment="1">
      <alignment horizontal="center" vertical="center" wrapText="1" shrinkToFit="1"/>
    </xf>
    <xf numFmtId="0" fontId="0" fillId="0" borderId="12" xfId="0" applyBorder="1" applyAlignment="1">
      <alignment horizontal="center" vertical="center" wrapText="1" shrinkToFit="1"/>
    </xf>
    <xf numFmtId="0" fontId="2" fillId="13" borderId="19" xfId="0" applyFont="1" applyFill="1" applyBorder="1" applyAlignment="1">
      <alignment horizontal="left" vertical="center" wrapText="1" shrinkToFit="1"/>
    </xf>
    <xf numFmtId="0" fontId="0" fillId="13" borderId="17" xfId="0" applyFill="1" applyBorder="1" applyAlignment="1">
      <alignment horizontal="left" vertical="center" wrapText="1" shrinkToFit="1"/>
    </xf>
    <xf numFmtId="0" fontId="0" fillId="13" borderId="2" xfId="0" applyFill="1" applyBorder="1" applyAlignment="1">
      <alignment horizontal="left" vertical="center" wrapText="1" shrinkToFit="1"/>
    </xf>
    <xf numFmtId="0" fontId="2" fillId="13" borderId="20" xfId="0" applyFont="1" applyFill="1" applyBorder="1" applyAlignment="1">
      <alignment horizontal="left" vertical="center" wrapText="1" shrinkToFit="1"/>
    </xf>
    <xf numFmtId="0" fontId="0" fillId="13" borderId="21" xfId="0" applyFill="1" applyBorder="1" applyAlignment="1">
      <alignment horizontal="left" vertical="center" wrapText="1" shrinkToFit="1"/>
    </xf>
    <xf numFmtId="0" fontId="0" fillId="13" borderId="30" xfId="0" applyFill="1" applyBorder="1" applyAlignment="1">
      <alignment horizontal="left" vertical="center" wrapText="1" shrinkToFit="1"/>
    </xf>
    <xf numFmtId="0" fontId="2" fillId="0" borderId="42" xfId="0" applyFont="1" applyBorder="1" applyAlignment="1">
      <alignment horizontal="center" vertical="center"/>
    </xf>
    <xf numFmtId="165" fontId="2" fillId="0" borderId="43" xfId="0" applyNumberFormat="1" applyFont="1" applyBorder="1" applyAlignment="1">
      <alignment horizontal="center" vertical="center"/>
    </xf>
    <xf numFmtId="165" fontId="2" fillId="0" borderId="47" xfId="0" applyNumberFormat="1" applyFont="1" applyBorder="1" applyAlignment="1">
      <alignment horizontal="center" vertical="center"/>
    </xf>
    <xf numFmtId="1" fontId="0" fillId="0" borderId="2" xfId="0" applyNumberFormat="1" applyBorder="1" applyAlignment="1">
      <alignment horizontal="center" vertical="center"/>
    </xf>
    <xf numFmtId="0" fontId="0" fillId="0" borderId="24"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165" fontId="2" fillId="0" borderId="31" xfId="0" applyNumberFormat="1" applyFont="1" applyBorder="1" applyAlignment="1">
      <alignment horizontal="center" vertical="center"/>
    </xf>
    <xf numFmtId="165" fontId="2" fillId="0" borderId="17" xfId="0" applyNumberFormat="1" applyFont="1" applyBorder="1" applyAlignment="1">
      <alignment horizontal="center" vertical="center"/>
    </xf>
    <xf numFmtId="165" fontId="2" fillId="0" borderId="2" xfId="0" applyNumberFormat="1" applyFont="1" applyBorder="1" applyAlignment="1">
      <alignment horizontal="center" vertical="center"/>
    </xf>
    <xf numFmtId="1" fontId="0" fillId="0" borderId="25" xfId="0" applyNumberFormat="1" applyBorder="1" applyAlignment="1">
      <alignment horizontal="center" vertical="center"/>
    </xf>
    <xf numFmtId="1" fontId="0" fillId="0" borderId="32" xfId="0" applyNumberFormat="1" applyBorder="1" applyAlignment="1">
      <alignment horizontal="center" vertical="center"/>
    </xf>
    <xf numFmtId="2" fontId="0" fillId="0" borderId="31" xfId="0" applyNumberFormat="1" applyBorder="1" applyAlignment="1">
      <alignment horizontal="center" vertical="center"/>
    </xf>
    <xf numFmtId="2" fontId="0" fillId="0" borderId="17" xfId="0" applyNumberFormat="1" applyBorder="1" applyAlignment="1">
      <alignment horizontal="center" vertical="center"/>
    </xf>
    <xf numFmtId="2" fontId="0" fillId="0" borderId="18" xfId="0" applyNumberFormat="1" applyBorder="1" applyAlignment="1">
      <alignment horizontal="center" vertical="center"/>
    </xf>
    <xf numFmtId="2" fontId="0" fillId="0" borderId="2" xfId="0" applyNumberFormat="1" applyBorder="1" applyAlignment="1">
      <alignment horizontal="center" vertical="center"/>
    </xf>
    <xf numFmtId="0" fontId="0" fillId="0" borderId="13"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2" fontId="0" fillId="4" borderId="31" xfId="0" applyNumberFormat="1" applyFill="1" applyBorder="1" applyAlignment="1" applyProtection="1">
      <alignment horizontal="center" vertical="center"/>
      <protection locked="0"/>
    </xf>
    <xf numFmtId="2" fontId="0" fillId="4" borderId="17" xfId="0" applyNumberFormat="1" applyFill="1" applyBorder="1" applyAlignment="1" applyProtection="1">
      <alignment horizontal="center" vertical="center"/>
      <protection locked="0"/>
    </xf>
    <xf numFmtId="2" fontId="0" fillId="4" borderId="18" xfId="0" applyNumberFormat="1" applyFill="1" applyBorder="1" applyAlignment="1" applyProtection="1">
      <alignment horizontal="center" vertical="center"/>
      <protection locked="0"/>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10" fontId="0" fillId="5" borderId="6" xfId="0" applyNumberFormat="1" applyFill="1" applyBorder="1" applyAlignment="1">
      <alignment horizontal="center" vertical="center"/>
    </xf>
    <xf numFmtId="10" fontId="0" fillId="5" borderId="7" xfId="0" applyNumberFormat="1" applyFill="1" applyBorder="1" applyAlignment="1">
      <alignment horizontal="center" vertical="center"/>
    </xf>
    <xf numFmtId="10" fontId="0" fillId="5" borderId="0" xfId="0" applyNumberFormat="1" applyFill="1" applyAlignment="1">
      <alignment horizontal="center" vertical="center"/>
    </xf>
    <xf numFmtId="0" fontId="27" fillId="0" borderId="74"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75"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76" xfId="0" applyFont="1" applyBorder="1" applyAlignment="1">
      <alignment horizontal="center" vertical="center" wrapText="1"/>
    </xf>
    <xf numFmtId="0" fontId="27" fillId="0" borderId="72"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71" xfId="0" applyFont="1" applyBorder="1" applyAlignment="1">
      <alignment horizontal="center" vertical="center" wrapText="1"/>
    </xf>
    <xf numFmtId="0" fontId="27" fillId="0" borderId="73" xfId="0" applyFont="1" applyBorder="1" applyAlignment="1">
      <alignment horizontal="center" vertical="center" wrapText="1"/>
    </xf>
    <xf numFmtId="2" fontId="0" fillId="0" borderId="0" xfId="0" applyNumberFormat="1" applyAlignment="1">
      <alignment horizontal="center"/>
    </xf>
    <xf numFmtId="0" fontId="0" fillId="0" borderId="0" xfId="0" applyAlignment="1">
      <alignment horizontal="right"/>
    </xf>
    <xf numFmtId="0" fontId="4" fillId="0" borderId="0" xfId="0" applyFont="1" applyAlignment="1">
      <alignment horizontal="right"/>
    </xf>
    <xf numFmtId="0" fontId="11" fillId="0" borderId="0" xfId="0" applyFont="1" applyAlignment="1">
      <alignment horizontal="right"/>
    </xf>
    <xf numFmtId="164" fontId="0" fillId="0" borderId="23" xfId="0" applyNumberFormat="1" applyBorder="1" applyAlignment="1">
      <alignment horizontal="center"/>
    </xf>
    <xf numFmtId="0" fontId="2" fillId="0" borderId="3" xfId="0" applyFont="1" applyBorder="1" applyAlignment="1">
      <alignment horizontal="center" vertical="center" wrapText="1" shrinkToFit="1"/>
    </xf>
    <xf numFmtId="0" fontId="2" fillId="0" borderId="10" xfId="0" applyFont="1" applyBorder="1" applyAlignment="1">
      <alignment horizontal="center" vertical="center"/>
    </xf>
    <xf numFmtId="0" fontId="0" fillId="0" borderId="31" xfId="0"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168" fontId="0" fillId="0" borderId="31" xfId="0" applyNumberFormat="1" applyBorder="1" applyAlignment="1">
      <alignment horizontal="center"/>
    </xf>
    <xf numFmtId="168" fontId="0" fillId="0" borderId="17" xfId="0" applyNumberFormat="1" applyBorder="1" applyAlignment="1">
      <alignment horizontal="center"/>
    </xf>
    <xf numFmtId="168" fontId="0" fillId="0" borderId="18" xfId="0" applyNumberFormat="1" applyBorder="1" applyAlignment="1">
      <alignment horizontal="center"/>
    </xf>
    <xf numFmtId="0" fontId="2" fillId="0" borderId="31" xfId="0" applyFont="1" applyBorder="1" applyAlignment="1">
      <alignment horizontal="center" wrapText="1"/>
    </xf>
    <xf numFmtId="168" fontId="0" fillId="0" borderId="23" xfId="0" applyNumberFormat="1" applyBorder="1" applyAlignment="1">
      <alignment horizontal="center"/>
    </xf>
    <xf numFmtId="0" fontId="0" fillId="0" borderId="23" xfId="0" applyBorder="1" applyAlignment="1">
      <alignment horizontal="center" wrapText="1"/>
    </xf>
    <xf numFmtId="0" fontId="2" fillId="0" borderId="23" xfId="0" applyFont="1" applyBorder="1" applyAlignment="1">
      <alignment horizontal="center" wrapText="1"/>
    </xf>
    <xf numFmtId="1" fontId="0" fillId="0" borderId="11" xfId="0" applyNumberFormat="1" applyBorder="1" applyAlignment="1">
      <alignment horizontal="center"/>
    </xf>
    <xf numFmtId="0" fontId="2" fillId="0" borderId="10" xfId="0" applyFont="1" applyBorder="1" applyAlignment="1">
      <alignment horizontal="center"/>
    </xf>
    <xf numFmtId="168" fontId="2" fillId="0" borderId="31" xfId="0" applyNumberFormat="1" applyFont="1" applyBorder="1" applyAlignment="1">
      <alignment horizontal="center" wrapText="1"/>
    </xf>
    <xf numFmtId="168" fontId="2" fillId="0" borderId="17" xfId="0" applyNumberFormat="1" applyFont="1" applyBorder="1" applyAlignment="1">
      <alignment horizontal="center" wrapText="1"/>
    </xf>
    <xf numFmtId="168" fontId="2" fillId="0" borderId="18" xfId="0" applyNumberFormat="1" applyFont="1" applyBorder="1" applyAlignment="1">
      <alignment horizontal="center" wrapText="1"/>
    </xf>
    <xf numFmtId="165" fontId="0" fillId="0" borderId="23" xfId="0" applyNumberFormat="1" applyBorder="1" applyAlignment="1">
      <alignment horizontal="center"/>
    </xf>
    <xf numFmtId="0" fontId="1" fillId="0" borderId="11" xfId="7" applyBorder="1" applyAlignment="1"/>
    <xf numFmtId="0" fontId="1" fillId="0" borderId="4" xfId="7" applyBorder="1" applyAlignment="1"/>
    <xf numFmtId="0" fontId="1" fillId="0" borderId="0" xfId="7" applyAlignment="1"/>
    <xf numFmtId="0" fontId="1" fillId="14" borderId="11" xfId="7" applyFill="1" applyBorder="1" applyAlignment="1" applyProtection="1">
      <protection locked="0"/>
    </xf>
    <xf numFmtId="0" fontId="0" fillId="0" borderId="11" xfId="0" applyBorder="1" applyAlignment="1"/>
    <xf numFmtId="0" fontId="0" fillId="0" borderId="26" xfId="0" applyBorder="1" applyAlignment="1"/>
    <xf numFmtId="0" fontId="2" fillId="0" borderId="58" xfId="0" applyFont="1" applyBorder="1" applyAlignment="1"/>
    <xf numFmtId="0" fontId="0" fillId="0" borderId="41" xfId="0" applyBorder="1" applyAlignment="1"/>
    <xf numFmtId="0" fontId="0" fillId="4" borderId="36" xfId="0" applyFill="1" applyBorder="1" applyAlignment="1" applyProtection="1">
      <protection locked="0"/>
    </xf>
    <xf numFmtId="0" fontId="8" fillId="4" borderId="49" xfId="0" applyFont="1" applyFill="1" applyBorder="1" applyAlignment="1" applyProtection="1">
      <protection locked="0"/>
    </xf>
    <xf numFmtId="0" fontId="0" fillId="4" borderId="49" xfId="0" applyFill="1" applyBorder="1" applyAlignment="1" applyProtection="1">
      <protection locked="0"/>
    </xf>
    <xf numFmtId="0" fontId="0" fillId="0" borderId="49" xfId="0" applyBorder="1" applyAlignment="1"/>
    <xf numFmtId="0" fontId="0" fillId="0" borderId="50" xfId="0" applyBorder="1" applyAlignment="1"/>
    <xf numFmtId="0" fontId="3" fillId="0" borderId="26" xfId="0" applyFont="1" applyBorder="1" applyAlignment="1"/>
    <xf numFmtId="0" fontId="0" fillId="0" borderId="36" xfId="0" applyBorder="1" applyAlignment="1" applyProtection="1">
      <protection locked="0"/>
    </xf>
    <xf numFmtId="0" fontId="0" fillId="0" borderId="0" xfId="0" applyAlignment="1" applyProtection="1">
      <protection locked="0"/>
    </xf>
  </cellXfs>
  <cellStyles count="8">
    <cellStyle name="Comma" xfId="1" builtinId="3"/>
    <cellStyle name="Comma 2" xfId="6" xr:uid="{00000000-0005-0000-0000-000001000000}"/>
    <cellStyle name="Normal" xfId="0" builtinId="0"/>
    <cellStyle name="Normal 2" xfId="4" xr:uid="{00000000-0005-0000-0000-000003000000}"/>
    <cellStyle name="Normal 2 2" xfId="2" xr:uid="{00000000-0005-0000-0000-000004000000}"/>
    <cellStyle name="Normal 3" xfId="5" xr:uid="{00000000-0005-0000-0000-000005000000}"/>
    <cellStyle name="Normal 3 2" xfId="3" xr:uid="{00000000-0005-0000-0000-000006000000}"/>
    <cellStyle name="Normal 4" xfId="7" xr:uid="{00000000-0005-0000-0000-000007000000}"/>
  </cellStyles>
  <dxfs count="27">
    <dxf>
      <fill>
        <patternFill>
          <bgColor rgb="FFFF0000"/>
        </patternFill>
      </fill>
    </dxf>
    <dxf>
      <fill>
        <patternFill>
          <bgColor rgb="FFFF0000"/>
        </patternFill>
      </fill>
    </dxf>
    <dxf>
      <numFmt numFmtId="172" formatCode=";;;"/>
    </dxf>
    <dxf>
      <font>
        <b/>
        <i val="0"/>
        <color auto="1"/>
      </font>
      <numFmt numFmtId="164" formatCode="0.000"/>
      <fill>
        <patternFill>
          <bgColor rgb="FFFF3300"/>
        </patternFill>
      </fill>
    </dxf>
    <dxf>
      <fill>
        <patternFill>
          <bgColor rgb="FFFFFF00"/>
        </patternFill>
      </fill>
    </dxf>
    <dxf>
      <fill>
        <patternFill>
          <bgColor theme="4" tint="0.79998168889431442"/>
        </patternFill>
      </fill>
    </dxf>
    <dxf>
      <font>
        <b/>
        <i val="0"/>
      </font>
      <fill>
        <patternFill>
          <bgColor rgb="FF92D050"/>
        </patternFill>
      </fill>
    </dxf>
    <dxf>
      <font>
        <b/>
        <i val="0"/>
      </font>
      <fill>
        <patternFill>
          <bgColor rgb="FFFF3300"/>
        </patternFill>
      </fill>
    </dxf>
    <dxf>
      <fill>
        <patternFill>
          <bgColor rgb="FFFF3300"/>
        </patternFill>
      </fill>
    </dxf>
    <dxf>
      <fill>
        <patternFill>
          <bgColor rgb="FFFF0000"/>
        </patternFill>
      </fill>
    </dxf>
    <dxf>
      <numFmt numFmtId="172" formatCode=";;;"/>
    </dxf>
    <dxf>
      <fill>
        <patternFill>
          <bgColor theme="4" tint="0.79998168889431442"/>
        </patternFill>
      </fill>
    </dxf>
    <dxf>
      <font>
        <color rgb="FFFF0000"/>
      </font>
    </dxf>
    <dxf>
      <font>
        <b val="0"/>
        <i val="0"/>
        <color theme="9" tint="-0.24994659260841701"/>
      </font>
    </dxf>
    <dxf>
      <font>
        <color theme="0"/>
      </font>
    </dxf>
    <dxf>
      <font>
        <color theme="0"/>
      </font>
      <numFmt numFmtId="172" formatCode=";;;"/>
    </dxf>
    <dxf>
      <font>
        <color theme="0"/>
      </font>
    </dxf>
    <dxf>
      <numFmt numFmtId="172" formatCode=";;;"/>
    </dxf>
    <dxf>
      <numFmt numFmtId="172" formatCode=";;;"/>
    </dxf>
    <dxf>
      <numFmt numFmtId="172" formatCode=";;;"/>
    </dxf>
    <dxf>
      <numFmt numFmtId="172" formatCode=";;;"/>
    </dxf>
    <dxf>
      <font>
        <color theme="0"/>
      </font>
    </dxf>
    <dxf>
      <font>
        <color theme="0"/>
      </font>
    </dxf>
    <dxf>
      <numFmt numFmtId="172" formatCode=";;;"/>
    </dxf>
    <dxf>
      <font>
        <color theme="0"/>
      </font>
    </dxf>
    <dxf>
      <numFmt numFmtId="172" formatCode=";;;"/>
    </dxf>
    <dxf>
      <numFmt numFmtId="172" formatCode=";;;"/>
    </dxf>
  </dxfs>
  <tableStyles count="0" defaultTableStyle="TableStyleMedium9" defaultPivotStyle="PivotStyleLight16"/>
  <colors>
    <mruColors>
      <color rgb="FFC6C3B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Tarantula</a:t>
            </a:r>
          </a:p>
        </c:rich>
      </c:tx>
      <c:overlay val="0"/>
      <c:spPr>
        <a:noFill/>
        <a:ln>
          <a:noFill/>
        </a:ln>
        <a:effectLst/>
      </c:spPr>
    </c:title>
    <c:autoTitleDeleted val="0"/>
    <c:plotArea>
      <c:layout>
        <c:manualLayout>
          <c:layoutTarget val="inner"/>
          <c:xMode val="edge"/>
          <c:yMode val="edge"/>
          <c:x val="0.10290789392888988"/>
          <c:y val="0.15142926833001738"/>
          <c:w val="0.87439258641502182"/>
          <c:h val="0.70950559079942954"/>
        </c:manualLayout>
      </c:layout>
      <c:lineChart>
        <c:grouping val="standard"/>
        <c:varyColors val="0"/>
        <c:ser>
          <c:idx val="0"/>
          <c:order val="0"/>
          <c:spPr>
            <a:ln w="28575" cap="rnd">
              <a:solidFill>
                <a:srgbClr val="FF6600"/>
              </a:solidFill>
              <a:round/>
            </a:ln>
            <a:effectLst/>
          </c:spPr>
          <c:marker>
            <c:symbol val="none"/>
          </c:marker>
          <c:cat>
            <c:strRef>
              <c:f>Gradation!$B$7:$B$18</c:f>
              <c:strCache>
                <c:ptCount val="12"/>
                <c:pt idx="0">
                  <c:v>1.5"</c:v>
                </c:pt>
                <c:pt idx="1">
                  <c:v>1"</c:v>
                </c:pt>
                <c:pt idx="2">
                  <c:v>3/4"</c:v>
                </c:pt>
                <c:pt idx="3">
                  <c:v>1/2"</c:v>
                </c:pt>
                <c:pt idx="4">
                  <c:v>3/8"</c:v>
                </c:pt>
                <c:pt idx="5">
                  <c:v>#4</c:v>
                </c:pt>
                <c:pt idx="6">
                  <c:v>#8</c:v>
                </c:pt>
                <c:pt idx="7">
                  <c:v>#16</c:v>
                </c:pt>
                <c:pt idx="8">
                  <c:v>#30</c:v>
                </c:pt>
                <c:pt idx="9">
                  <c:v>#50</c:v>
                </c:pt>
                <c:pt idx="10">
                  <c:v>#100</c:v>
                </c:pt>
                <c:pt idx="11">
                  <c:v>#200</c:v>
                </c:pt>
              </c:strCache>
            </c:strRef>
          </c:cat>
          <c:val>
            <c:numRef>
              <c:f>Gradation!$M$7:$M$18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AEF-4FF7-8E20-A09128E20B8F}"/>
            </c:ext>
          </c:extLst>
        </c:ser>
        <c:ser>
          <c:idx val="1"/>
          <c:order val="1"/>
          <c:tx>
            <c:v>Min</c:v>
          </c:tx>
          <c:spPr>
            <a:ln w="28575" cap="rnd">
              <a:solidFill>
                <a:schemeClr val="bg1">
                  <a:lumMod val="85000"/>
                </a:schemeClr>
              </a:solidFill>
              <a:prstDash val="solid"/>
              <a:round/>
            </a:ln>
            <a:effectLst/>
          </c:spPr>
          <c:marker>
            <c:symbol val="none"/>
          </c:marker>
          <c:dPt>
            <c:idx val="1"/>
            <c:bubble3D val="0"/>
            <c:spPr>
              <a:ln w="28575" cap="rnd">
                <a:solidFill>
                  <a:schemeClr val="bg2"/>
                </a:solidFill>
                <a:prstDash val="solid"/>
                <a:round/>
              </a:ln>
              <a:effectLst/>
            </c:spPr>
            <c:extLst>
              <c:ext xmlns:c16="http://schemas.microsoft.com/office/drawing/2014/chart" uri="{C3380CC4-5D6E-409C-BE32-E72D297353CC}">
                <c16:uniqueId val="{00000002-AAEF-4FF7-8E20-A09128E20B8F}"/>
              </c:ext>
            </c:extLst>
          </c:dPt>
          <c:dPt>
            <c:idx val="2"/>
            <c:bubble3D val="0"/>
            <c:spPr>
              <a:ln w="28575" cap="rnd">
                <a:solidFill>
                  <a:schemeClr val="bg2"/>
                </a:solidFill>
                <a:prstDash val="solid"/>
                <a:round/>
              </a:ln>
              <a:effectLst/>
            </c:spPr>
            <c:extLst>
              <c:ext xmlns:c16="http://schemas.microsoft.com/office/drawing/2014/chart" uri="{C3380CC4-5D6E-409C-BE32-E72D297353CC}">
                <c16:uniqueId val="{00000004-AAEF-4FF7-8E20-A09128E20B8F}"/>
              </c:ext>
            </c:extLst>
          </c:dPt>
          <c:dPt>
            <c:idx val="3"/>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6-AAEF-4FF7-8E20-A09128E20B8F}"/>
              </c:ext>
            </c:extLst>
          </c:dPt>
          <c:dPt>
            <c:idx val="4"/>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8-AAEF-4FF7-8E20-A09128E20B8F}"/>
              </c:ext>
            </c:extLst>
          </c:dPt>
          <c:dPt>
            <c:idx val="5"/>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A-AAEF-4FF7-8E20-A09128E20B8F}"/>
              </c:ext>
            </c:extLst>
          </c:dPt>
          <c:dPt>
            <c:idx val="6"/>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C-AAEF-4FF7-8E20-A09128E20B8F}"/>
              </c:ext>
            </c:extLst>
          </c:dPt>
          <c:dPt>
            <c:idx val="7"/>
            <c:bubble3D val="0"/>
            <c:spPr>
              <a:ln w="28575" cap="rnd">
                <a:solidFill>
                  <a:schemeClr val="bg2"/>
                </a:solidFill>
                <a:prstDash val="solid"/>
                <a:round/>
              </a:ln>
              <a:effectLst/>
            </c:spPr>
            <c:extLst>
              <c:ext xmlns:c16="http://schemas.microsoft.com/office/drawing/2014/chart" uri="{C3380CC4-5D6E-409C-BE32-E72D297353CC}">
                <c16:uniqueId val="{0000000E-AAEF-4FF7-8E20-A09128E20B8F}"/>
              </c:ext>
            </c:extLst>
          </c:dPt>
          <c:dPt>
            <c:idx val="8"/>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0-AAEF-4FF7-8E20-A09128E20B8F}"/>
              </c:ext>
            </c:extLst>
          </c:dPt>
          <c:dPt>
            <c:idx val="9"/>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2-AAEF-4FF7-8E20-A09128E20B8F}"/>
              </c:ext>
            </c:extLst>
          </c:dPt>
          <c:dPt>
            <c:idx val="10"/>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4-AAEF-4FF7-8E20-A09128E20B8F}"/>
              </c:ext>
            </c:extLst>
          </c:dPt>
          <c:dPt>
            <c:idx val="11"/>
            <c:bubble3D val="0"/>
            <c:spPr>
              <a:ln w="28575" cap="rnd">
                <a:solidFill>
                  <a:schemeClr val="bg1">
                    <a:lumMod val="95000"/>
                  </a:schemeClr>
                </a:solidFill>
                <a:prstDash val="solid"/>
                <a:round/>
              </a:ln>
              <a:effectLst/>
            </c:spPr>
            <c:extLst>
              <c:ext xmlns:c16="http://schemas.microsoft.com/office/drawing/2014/chart" uri="{C3380CC4-5D6E-409C-BE32-E72D297353CC}">
                <c16:uniqueId val="{00000016-AAEF-4FF7-8E20-A09128E20B8F}"/>
              </c:ext>
            </c:extLst>
          </c:dPt>
          <c:val>
            <c:numRef>
              <c:f>Gradation!$N$7:$N$18</c:f>
              <c:numCache>
                <c:formatCode>General</c:formatCode>
                <c:ptCount val="12"/>
                <c:pt idx="0">
                  <c:v>0</c:v>
                </c:pt>
                <c:pt idx="1">
                  <c:v>0</c:v>
                </c:pt>
                <c:pt idx="2">
                  <c:v>0</c:v>
                </c:pt>
                <c:pt idx="3">
                  <c:v>4</c:v>
                </c:pt>
                <c:pt idx="4">
                  <c:v>4</c:v>
                </c:pt>
                <c:pt idx="5">
                  <c:v>4</c:v>
                </c:pt>
                <c:pt idx="6">
                  <c:v>0</c:v>
                </c:pt>
                <c:pt idx="7">
                  <c:v>0</c:v>
                </c:pt>
                <c:pt idx="8">
                  <c:v>4</c:v>
                </c:pt>
                <c:pt idx="9">
                  <c:v>4</c:v>
                </c:pt>
                <c:pt idx="10">
                  <c:v>0</c:v>
                </c:pt>
                <c:pt idx="11">
                  <c:v>0</c:v>
                </c:pt>
              </c:numCache>
            </c:numRef>
          </c:val>
          <c:smooth val="0"/>
          <c:extLst>
            <c:ext xmlns:c16="http://schemas.microsoft.com/office/drawing/2014/chart" uri="{C3380CC4-5D6E-409C-BE32-E72D297353CC}">
              <c16:uniqueId val="{00000017-AAEF-4FF7-8E20-A09128E20B8F}"/>
            </c:ext>
          </c:extLst>
        </c:ser>
        <c:ser>
          <c:idx val="2"/>
          <c:order val="2"/>
          <c:tx>
            <c:v>Max</c:v>
          </c:tx>
          <c:spPr>
            <a:ln w="28575" cap="rnd">
              <a:solidFill>
                <a:schemeClr val="bg2">
                  <a:lumMod val="75000"/>
                </a:schemeClr>
              </a:solidFill>
              <a:prstDash val="solid"/>
              <a:round/>
            </a:ln>
            <a:effectLst/>
          </c:spPr>
          <c:marker>
            <c:symbol val="none"/>
          </c:marker>
          <c:val>
            <c:numRef>
              <c:f>Gradation!$O$7:$O$18</c:f>
              <c:numCache>
                <c:formatCode>General</c:formatCode>
                <c:ptCount val="12"/>
                <c:pt idx="0">
                  <c:v>0</c:v>
                </c:pt>
                <c:pt idx="1">
                  <c:v>16</c:v>
                </c:pt>
                <c:pt idx="2">
                  <c:v>20</c:v>
                </c:pt>
                <c:pt idx="3">
                  <c:v>20</c:v>
                </c:pt>
                <c:pt idx="4">
                  <c:v>20</c:v>
                </c:pt>
                <c:pt idx="5">
                  <c:v>20</c:v>
                </c:pt>
                <c:pt idx="6">
                  <c:v>12</c:v>
                </c:pt>
                <c:pt idx="7">
                  <c:v>12</c:v>
                </c:pt>
                <c:pt idx="8">
                  <c:v>20</c:v>
                </c:pt>
                <c:pt idx="9">
                  <c:v>20</c:v>
                </c:pt>
                <c:pt idx="10">
                  <c:v>10</c:v>
                </c:pt>
                <c:pt idx="11">
                  <c:v>2</c:v>
                </c:pt>
              </c:numCache>
            </c:numRef>
          </c:val>
          <c:smooth val="0"/>
          <c:extLst>
            <c:ext xmlns:c16="http://schemas.microsoft.com/office/drawing/2014/chart" uri="{C3380CC4-5D6E-409C-BE32-E72D297353CC}">
              <c16:uniqueId val="{00000018-AAEF-4FF7-8E20-A09128E20B8F}"/>
            </c:ext>
          </c:extLst>
        </c:ser>
        <c:dLbls>
          <c:showLegendKey val="0"/>
          <c:showVal val="0"/>
          <c:showCatName val="0"/>
          <c:showSerName val="0"/>
          <c:showPercent val="0"/>
          <c:showBubbleSize val="0"/>
        </c:dLbls>
        <c:smooth val="0"/>
        <c:axId val="246332312"/>
        <c:axId val="246348552"/>
      </c:lineChart>
      <c:catAx>
        <c:axId val="246332312"/>
        <c:scaling>
          <c:orientation val="maxMin"/>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Sieve</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chemeClr val="tx1">
                    <a:lumMod val="65000"/>
                    <a:lumOff val="35000"/>
                  </a:schemeClr>
                </a:solidFill>
                <a:latin typeface="+mn-lt"/>
                <a:ea typeface="+mn-ea"/>
                <a:cs typeface="+mn-cs"/>
              </a:defRPr>
            </a:pPr>
            <a:endParaRPr lang="en-US"/>
          </a:p>
        </c:txPr>
        <c:crossAx val="246348552"/>
        <c:crossesAt val="0"/>
        <c:auto val="1"/>
        <c:lblAlgn val="ctr"/>
        <c:lblOffset val="100"/>
        <c:noMultiLvlLbl val="0"/>
      </c:catAx>
      <c:valAx>
        <c:axId val="246348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t" anchorCtr="1"/>
              <a:lstStyle/>
              <a:p>
                <a:pPr>
                  <a:defRPr sz="1000" b="0" i="0" u="none" strike="noStrike" kern="1200" baseline="0">
                    <a:solidFill>
                      <a:schemeClr val="tx1">
                        <a:lumMod val="65000"/>
                        <a:lumOff val="35000"/>
                      </a:schemeClr>
                    </a:solidFill>
                    <a:latin typeface="+mn-lt"/>
                    <a:ea typeface="+mn-ea"/>
                    <a:cs typeface="+mn-cs"/>
                  </a:defRPr>
                </a:pPr>
                <a:r>
                  <a:rPr lang="en-US"/>
                  <a:t>%</a:t>
                </a:r>
                <a:r>
                  <a:rPr lang="en-US" baseline="0"/>
                  <a:t> Retained (by Volume)</a:t>
                </a:r>
              </a:p>
            </c:rich>
          </c:tx>
          <c:layout>
            <c:manualLayout>
              <c:xMode val="edge"/>
              <c:yMode val="edge"/>
              <c:x val="6.6215780788553714E-3"/>
              <c:y val="0.42475580893714382"/>
            </c:manualLayout>
          </c:layout>
          <c:overlay val="0"/>
          <c:spPr>
            <a:noFill/>
            <a:ln>
              <a:noFill/>
            </a:ln>
            <a:effectLst/>
          </c:sp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6332312"/>
        <c:crosses val="max"/>
        <c:crossBetween val="between"/>
      </c:valAx>
      <c:spPr>
        <a:noFill/>
        <a:ln>
          <a:solidFill>
            <a:schemeClr val="bg2">
              <a:lumMod val="75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9526</xdr:colOff>
      <xdr:row>20</xdr:row>
      <xdr:rowOff>152400</xdr:rowOff>
    </xdr:from>
    <xdr:to>
      <xdr:col>8</xdr:col>
      <xdr:colOff>0</xdr:colOff>
      <xdr:row>39</xdr:row>
      <xdr:rowOff>95250</xdr:rowOff>
    </xdr:to>
    <xdr:graphicFrame macro="">
      <xdr:nvGraphicFramePr>
        <xdr:cNvPr id="4" name="Chart 3">
          <a:extLst>
            <a:ext uri="{FF2B5EF4-FFF2-40B4-BE49-F238E27FC236}">
              <a16:creationId xmlns:a16="http://schemas.microsoft.com/office/drawing/2014/main" id="{00000000-0008-0000-0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ient\Users\MRHARRIS\Desktop\IT-6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gregate Moistures"/>
      <sheetName val="SM652 English"/>
      <sheetName val="IT628 English"/>
      <sheetName val="Chart1"/>
      <sheetName val="SM652 (ICC)"/>
      <sheetName val="IT628  (ICC)"/>
    </sheetNames>
    <sheetDataSet>
      <sheetData sheetId="0" refreshError="1"/>
      <sheetData sheetId="1"/>
      <sheetData sheetId="2" refreshError="1"/>
      <sheetData sheetId="3" refreshError="1"/>
      <sheetData sheetId="4"/>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57"/>
  <sheetViews>
    <sheetView topLeftCell="A16" zoomScaleNormal="100" zoomScaleSheetLayoutView="90" workbookViewId="0">
      <selection activeCell="O42" sqref="O42"/>
    </sheetView>
  </sheetViews>
  <sheetFormatPr defaultColWidth="9.140625" defaultRowHeight="14.45"/>
  <cols>
    <col min="1" max="1" width="1.42578125" style="173" customWidth="1"/>
    <col min="2" max="2" width="3" style="173" customWidth="1"/>
    <col min="3" max="3" width="29.28515625" style="173" customWidth="1"/>
    <col min="4" max="4" width="21.5703125" style="173" customWidth="1"/>
    <col min="5" max="5" width="14.42578125" style="173" customWidth="1"/>
    <col min="6" max="6" width="14.85546875" style="173" customWidth="1"/>
    <col min="7" max="7" width="14.5703125" style="173" customWidth="1"/>
    <col min="8" max="8" width="14.28515625" style="173" customWidth="1"/>
    <col min="9" max="9" width="7.140625" style="172" customWidth="1"/>
    <col min="10" max="36" width="9.140625" style="172"/>
    <col min="37" max="16384" width="9.140625" style="173"/>
  </cols>
  <sheetData>
    <row r="1" spans="1:8" ht="18">
      <c r="A1" s="341" t="s">
        <v>0</v>
      </c>
      <c r="B1" s="341"/>
      <c r="C1" s="341"/>
      <c r="D1" s="341"/>
      <c r="E1" s="341"/>
      <c r="F1" s="341"/>
      <c r="G1" s="341"/>
      <c r="H1" s="341"/>
    </row>
    <row r="2" spans="1:8" ht="11.25" customHeight="1">
      <c r="A2" s="310"/>
      <c r="B2" s="310"/>
      <c r="C2" s="310"/>
      <c r="D2" s="310"/>
      <c r="E2" s="310"/>
      <c r="F2" s="310"/>
      <c r="G2" s="310"/>
      <c r="H2" s="310"/>
    </row>
    <row r="3" spans="1:8" ht="18">
      <c r="A3" s="342" t="s">
        <v>1</v>
      </c>
      <c r="B3" s="342"/>
      <c r="C3" s="342"/>
      <c r="D3" s="342"/>
      <c r="E3" s="342"/>
      <c r="F3" s="342"/>
      <c r="G3" s="342"/>
      <c r="H3" s="342"/>
    </row>
    <row r="4" spans="1:8" ht="16.5" customHeight="1">
      <c r="A4" s="308"/>
      <c r="B4" s="308"/>
      <c r="C4" s="308"/>
      <c r="D4" s="308"/>
      <c r="E4" s="308"/>
      <c r="F4" s="308"/>
      <c r="G4" s="308"/>
      <c r="H4" s="308"/>
    </row>
    <row r="5" spans="1:8" ht="15.95" customHeight="1">
      <c r="A5" s="343" t="s">
        <v>2</v>
      </c>
      <c r="B5" s="343"/>
      <c r="C5" s="343"/>
      <c r="D5" s="174"/>
      <c r="E5" s="308"/>
      <c r="F5" s="308"/>
      <c r="G5" s="308"/>
      <c r="H5" s="308"/>
    </row>
    <row r="6" spans="1:8" ht="15.95" customHeight="1">
      <c r="A6" s="343" t="s">
        <v>3</v>
      </c>
      <c r="B6" s="343"/>
      <c r="C6" s="343"/>
      <c r="D6" s="175"/>
      <c r="E6" s="308"/>
      <c r="F6" s="308"/>
      <c r="G6" s="308"/>
      <c r="H6" s="308"/>
    </row>
    <row r="7" spans="1:8" ht="15.95" customHeight="1">
      <c r="A7" s="343" t="s">
        <v>4</v>
      </c>
      <c r="B7" s="343"/>
      <c r="C7" s="343"/>
      <c r="D7" s="176"/>
      <c r="E7" s="308"/>
      <c r="F7" s="308"/>
      <c r="G7" s="308"/>
      <c r="H7" s="308"/>
    </row>
    <row r="8" spans="1:8" ht="15.95" customHeight="1">
      <c r="A8" s="343" t="s">
        <v>5</v>
      </c>
      <c r="B8" s="343"/>
      <c r="C8" s="343"/>
      <c r="D8" s="176"/>
      <c r="E8" s="308"/>
      <c r="F8" s="308"/>
      <c r="G8" s="308"/>
      <c r="H8" s="308"/>
    </row>
    <row r="9" spans="1:8" ht="15.95" customHeight="1">
      <c r="A9" s="343" t="s">
        <v>6</v>
      </c>
      <c r="B9" s="343"/>
      <c r="C9" s="343"/>
      <c r="D9" s="175"/>
      <c r="E9" s="310"/>
      <c r="F9" s="310"/>
      <c r="G9" s="177"/>
      <c r="H9" s="310"/>
    </row>
    <row r="10" spans="1:8" ht="15.95" customHeight="1">
      <c r="A10" s="343" t="s">
        <v>7</v>
      </c>
      <c r="B10" s="343"/>
      <c r="C10" s="343"/>
      <c r="D10" s="175"/>
      <c r="E10" s="310"/>
      <c r="F10" s="310"/>
      <c r="G10" s="177"/>
      <c r="H10" s="310"/>
    </row>
    <row r="11" spans="1:8" ht="15.95" customHeight="1">
      <c r="A11" s="343" t="s">
        <v>8</v>
      </c>
      <c r="B11" s="343"/>
      <c r="C11" s="343"/>
      <c r="D11" s="175"/>
      <c r="E11" s="310"/>
      <c r="F11" s="310"/>
      <c r="G11" s="177"/>
      <c r="H11" s="310"/>
    </row>
    <row r="12" spans="1:8" ht="15.95" customHeight="1">
      <c r="A12" s="343" t="s">
        <v>9</v>
      </c>
      <c r="B12" s="343"/>
      <c r="C12" s="343"/>
      <c r="D12" s="174"/>
      <c r="E12" s="178"/>
      <c r="F12" s="310"/>
      <c r="G12" s="177"/>
      <c r="H12" s="310"/>
    </row>
    <row r="13" spans="1:8" ht="20.25" customHeight="1">
      <c r="A13" s="178" t="s">
        <v>10</v>
      </c>
      <c r="B13" s="310"/>
      <c r="C13" s="310"/>
      <c r="D13" s="310"/>
      <c r="E13" s="310"/>
      <c r="F13" s="310"/>
      <c r="G13" s="179"/>
      <c r="H13" s="310"/>
    </row>
    <row r="14" spans="1:8">
      <c r="A14" s="310"/>
      <c r="B14" s="310"/>
      <c r="C14" s="310"/>
      <c r="D14" s="310"/>
      <c r="E14" s="310"/>
      <c r="F14" s="310"/>
      <c r="G14" s="179"/>
      <c r="H14" s="310"/>
    </row>
    <row r="15" spans="1:8" ht="15.6">
      <c r="A15" s="310"/>
      <c r="B15" s="180" t="s">
        <v>11</v>
      </c>
      <c r="C15" s="180"/>
      <c r="D15" s="181"/>
      <c r="E15" s="182"/>
      <c r="F15" s="183"/>
      <c r="G15" s="328"/>
      <c r="H15" s="183"/>
    </row>
    <row r="16" spans="1:8" ht="17.45">
      <c r="A16" s="310"/>
      <c r="B16" s="309"/>
      <c r="C16" s="309"/>
      <c r="D16" s="184" t="s">
        <v>12</v>
      </c>
      <c r="E16" s="185"/>
      <c r="F16" s="183"/>
      <c r="G16" s="184" t="s">
        <v>13</v>
      </c>
      <c r="H16" s="186">
        <f>E16/94</f>
        <v>0</v>
      </c>
    </row>
    <row r="17" spans="2:36" ht="18" customHeight="1">
      <c r="B17" s="309"/>
      <c r="C17" s="309"/>
      <c r="D17" s="184" t="s">
        <v>14</v>
      </c>
      <c r="E17" s="185"/>
      <c r="F17" s="183"/>
      <c r="G17" s="328"/>
      <c r="H17" s="183"/>
    </row>
    <row r="18" spans="2:36" ht="18" customHeight="1">
      <c r="B18" s="309"/>
      <c r="C18" s="309"/>
      <c r="D18" s="184" t="s">
        <v>15</v>
      </c>
      <c r="E18" s="185"/>
      <c r="F18" s="183"/>
      <c r="G18" s="328"/>
      <c r="H18" s="183"/>
    </row>
    <row r="19" spans="2:36" ht="16.149999999999999" thickBot="1">
      <c r="B19" s="310"/>
      <c r="C19" s="310"/>
      <c r="D19" s="183"/>
      <c r="E19" s="183"/>
      <c r="F19" s="183"/>
      <c r="G19" s="183"/>
      <c r="H19" s="183"/>
    </row>
    <row r="20" spans="2:36" s="187" customFormat="1" ht="27" customHeight="1" thickBot="1">
      <c r="B20" s="344"/>
      <c r="C20" s="345"/>
      <c r="D20" s="346"/>
      <c r="E20" s="316" t="s">
        <v>16</v>
      </c>
      <c r="F20" s="188" t="s">
        <v>17</v>
      </c>
      <c r="G20" s="317" t="s">
        <v>18</v>
      </c>
      <c r="H20" s="188" t="s">
        <v>19</v>
      </c>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row>
    <row r="21" spans="2:36" s="190" customFormat="1" ht="27" customHeight="1">
      <c r="B21" s="191" t="s">
        <v>20</v>
      </c>
      <c r="C21" s="339" t="s">
        <v>21</v>
      </c>
      <c r="D21" s="340"/>
      <c r="E21" s="192"/>
      <c r="F21" s="193"/>
      <c r="G21" s="194"/>
      <c r="H21" s="193"/>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row>
    <row r="22" spans="2:36" s="190" customFormat="1" ht="27" customHeight="1">
      <c r="B22" s="196" t="s">
        <v>22</v>
      </c>
      <c r="C22" s="348" t="s">
        <v>23</v>
      </c>
      <c r="D22" s="349"/>
      <c r="E22" s="197"/>
      <c r="F22" s="198"/>
      <c r="G22" s="199"/>
      <c r="H22" s="198"/>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row>
    <row r="23" spans="2:36" s="190" customFormat="1" ht="27" customHeight="1">
      <c r="B23" s="196" t="s">
        <v>24</v>
      </c>
      <c r="C23" s="350" t="s">
        <v>25</v>
      </c>
      <c r="D23" s="351"/>
      <c r="E23" s="200">
        <f>E21-E22</f>
        <v>0</v>
      </c>
      <c r="F23" s="201">
        <f>F21-F22</f>
        <v>0</v>
      </c>
      <c r="G23" s="202">
        <f>G21-G22</f>
        <v>0</v>
      </c>
      <c r="H23" s="201">
        <f>H21-H22</f>
        <v>0</v>
      </c>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row>
    <row r="24" spans="2:36" s="190" customFormat="1" ht="27" customHeight="1">
      <c r="B24" s="196" t="s">
        <v>26</v>
      </c>
      <c r="C24" s="348" t="s">
        <v>27</v>
      </c>
      <c r="D24" s="349"/>
      <c r="E24" s="197"/>
      <c r="F24" s="198"/>
      <c r="G24" s="199"/>
      <c r="H24" s="198"/>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row>
    <row r="25" spans="2:36" s="190" customFormat="1" ht="27" customHeight="1" thickBot="1">
      <c r="B25" s="203" t="s">
        <v>28</v>
      </c>
      <c r="C25" s="352" t="s">
        <v>29</v>
      </c>
      <c r="D25" s="353"/>
      <c r="E25" s="204">
        <f>E22-E24</f>
        <v>0</v>
      </c>
      <c r="F25" s="205">
        <f>F22-F24</f>
        <v>0</v>
      </c>
      <c r="G25" s="206">
        <f>G22-G24</f>
        <v>0</v>
      </c>
      <c r="H25" s="205">
        <f>H22-H24</f>
        <v>0</v>
      </c>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row>
    <row r="26" spans="2:36" s="190" customFormat="1" ht="27" customHeight="1" thickBot="1">
      <c r="B26" s="207" t="s">
        <v>30</v>
      </c>
      <c r="C26" s="345" t="s">
        <v>31</v>
      </c>
      <c r="D26" s="354"/>
      <c r="E26" s="208">
        <f>IFERROR((E23/E25)*100,0)</f>
        <v>0</v>
      </c>
      <c r="F26" s="209">
        <f>IFERROR((F23/F25)*100,0)</f>
        <v>0</v>
      </c>
      <c r="G26" s="210">
        <f>IFERROR((G23/G25)*100,0)</f>
        <v>0</v>
      </c>
      <c r="H26" s="209">
        <f>IFERROR((H23/H25)*100,0)</f>
        <v>0</v>
      </c>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row>
    <row r="27" spans="2:36" s="190" customFormat="1" ht="27" customHeight="1" thickBot="1">
      <c r="B27" s="211" t="s">
        <v>32</v>
      </c>
      <c r="C27" s="345" t="s">
        <v>33</v>
      </c>
      <c r="D27" s="354"/>
      <c r="E27" s="212"/>
      <c r="F27" s="213"/>
      <c r="G27" s="214"/>
      <c r="H27" s="213"/>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row>
    <row r="28" spans="2:36" s="190" customFormat="1" ht="27" customHeight="1" thickBot="1">
      <c r="B28" s="211" t="s">
        <v>34</v>
      </c>
      <c r="C28" s="345" t="s">
        <v>35</v>
      </c>
      <c r="D28" s="354"/>
      <c r="E28" s="215">
        <f>ROUND(E26-E27,1)</f>
        <v>0</v>
      </c>
      <c r="F28" s="216" t="str">
        <f>IFERROR(ROUND(IF(F21="","",F26-F27),1),"")</f>
        <v/>
      </c>
      <c r="G28" s="217">
        <f>ROUND(G26-G27,1)</f>
        <v>0</v>
      </c>
      <c r="H28" s="216" t="str">
        <f>IFERROR(ROUND(IF(H21="","",H26-H27),1),"")</f>
        <v/>
      </c>
      <c r="I28" s="195"/>
      <c r="J28" s="195"/>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row>
    <row r="29" spans="2:36" s="190" customFormat="1" ht="36.75" customHeight="1">
      <c r="B29" s="315"/>
      <c r="C29" s="315"/>
      <c r="D29" s="315"/>
      <c r="E29" s="218" t="s">
        <v>36</v>
      </c>
      <c r="F29" s="218"/>
      <c r="G29" s="218" t="s">
        <v>37</v>
      </c>
      <c r="H29" s="315"/>
      <c r="I29" s="195"/>
      <c r="J29" s="195"/>
      <c r="K29" s="195"/>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5"/>
      <c r="AJ29" s="195"/>
    </row>
    <row r="30" spans="2:36" s="190" customFormat="1" ht="20.100000000000001" customHeight="1">
      <c r="B30" s="315"/>
      <c r="C30" s="355" t="s">
        <v>38</v>
      </c>
      <c r="D30" s="355"/>
      <c r="E30" s="355"/>
      <c r="F30" s="355"/>
      <c r="G30" s="355"/>
      <c r="H30" s="31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row>
    <row r="31" spans="2:36" s="190" customFormat="1" ht="20.25" customHeight="1">
      <c r="B31" s="315"/>
      <c r="C31" s="355" t="s">
        <v>39</v>
      </c>
      <c r="D31" s="355"/>
      <c r="E31" s="355"/>
      <c r="F31" s="355"/>
      <c r="G31" s="355"/>
      <c r="H31" s="31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row>
    <row r="32" spans="2:36" s="190" customFormat="1" ht="33" customHeight="1">
      <c r="B32" s="315"/>
      <c r="C32" s="356" t="s">
        <v>40</v>
      </c>
      <c r="D32" s="356"/>
      <c r="E32" s="356"/>
      <c r="F32" s="356"/>
      <c r="G32" s="356"/>
      <c r="H32" s="356"/>
      <c r="I32" s="219"/>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row>
    <row r="33" spans="2:37" s="183" customFormat="1" ht="35.25" customHeight="1">
      <c r="C33" s="357" t="s">
        <v>41</v>
      </c>
      <c r="D33" s="357"/>
      <c r="E33" s="357"/>
      <c r="F33" s="357"/>
      <c r="G33" s="357"/>
      <c r="H33" s="357"/>
      <c r="I33" s="195"/>
      <c r="J33" s="195"/>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row>
    <row r="34" spans="2:37" s="183" customFormat="1" ht="17.45">
      <c r="C34" s="315" t="s">
        <v>42</v>
      </c>
      <c r="D34" s="315"/>
      <c r="E34" s="315"/>
      <c r="F34" s="315"/>
      <c r="G34" s="315"/>
      <c r="H34" s="315"/>
      <c r="I34" s="195"/>
      <c r="J34" s="195"/>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row>
    <row r="35" spans="2:37" s="183" customFormat="1" ht="35.25" customHeight="1">
      <c r="C35" s="347" t="s">
        <v>43</v>
      </c>
      <c r="D35" s="347"/>
      <c r="E35" s="347"/>
      <c r="F35" s="347"/>
      <c r="G35" s="347"/>
      <c r="H35" s="347"/>
      <c r="I35" s="195"/>
      <c r="J35" s="195"/>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row>
    <row r="36" spans="2:37" s="183" customFormat="1" ht="15.6">
      <c r="D36" s="315"/>
      <c r="E36" s="315"/>
      <c r="F36" s="315"/>
      <c r="G36" s="315"/>
      <c r="H36" s="315"/>
      <c r="I36" s="195"/>
      <c r="J36" s="195"/>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row>
    <row r="37" spans="2:37" s="183" customFormat="1" ht="15.6">
      <c r="D37" s="315"/>
      <c r="E37" s="315"/>
      <c r="F37" s="315"/>
      <c r="G37" s="315"/>
      <c r="H37" s="315"/>
      <c r="I37" s="195"/>
      <c r="J37" s="195"/>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row>
    <row r="38" spans="2:37" s="183" customFormat="1" ht="15.6">
      <c r="D38" s="315"/>
      <c r="E38" s="315"/>
      <c r="F38" s="315"/>
      <c r="G38" s="315"/>
      <c r="H38" s="315"/>
      <c r="I38" s="195"/>
      <c r="J38" s="195"/>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row>
    <row r="39" spans="2:37" s="183" customFormat="1" ht="15.6">
      <c r="D39" s="315"/>
      <c r="E39" s="315"/>
      <c r="F39" s="315"/>
      <c r="G39" s="315"/>
      <c r="H39" s="315"/>
      <c r="I39" s="195"/>
      <c r="J39" s="195"/>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row>
    <row r="40" spans="2:37" s="183" customFormat="1" ht="15.6">
      <c r="B40" s="310"/>
      <c r="C40" s="310"/>
      <c r="D40" s="310"/>
      <c r="E40" s="310"/>
      <c r="F40" s="310"/>
      <c r="G40" s="310"/>
      <c r="H40" s="310"/>
      <c r="I40" s="221"/>
      <c r="J40" s="221"/>
      <c r="K40" s="221"/>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row>
    <row r="41" spans="2:37">
      <c r="B41" s="310"/>
      <c r="C41" s="310"/>
      <c r="D41" s="310"/>
      <c r="E41" s="310"/>
      <c r="F41" s="310"/>
      <c r="G41" s="310"/>
      <c r="H41" s="310"/>
      <c r="I41" s="221"/>
      <c r="J41" s="221"/>
      <c r="K41" s="221"/>
      <c r="AK41" s="172"/>
    </row>
    <row r="42" spans="2:37">
      <c r="B42" s="310"/>
      <c r="C42" s="310"/>
      <c r="D42" s="310"/>
      <c r="E42" s="310"/>
      <c r="F42" s="310"/>
      <c r="G42" s="310"/>
      <c r="H42" s="310"/>
      <c r="I42" s="221"/>
      <c r="J42" s="221"/>
      <c r="K42" s="221"/>
      <c r="AK42" s="172"/>
    </row>
    <row r="43" spans="2:37">
      <c r="B43" s="310" t="s">
        <v>44</v>
      </c>
      <c r="C43" s="310"/>
      <c r="D43" s="310"/>
      <c r="E43" s="310"/>
      <c r="F43" s="310"/>
      <c r="G43" s="310"/>
      <c r="H43" s="310"/>
      <c r="I43" s="221"/>
      <c r="J43" s="221"/>
      <c r="K43" s="221"/>
      <c r="AK43" s="172"/>
    </row>
    <row r="44" spans="2:37">
      <c r="B44" s="310"/>
      <c r="C44" s="310"/>
      <c r="D44" s="187"/>
      <c r="E44" s="187"/>
      <c r="F44" s="187"/>
      <c r="G44" s="187"/>
      <c r="H44" s="187"/>
      <c r="I44" s="189"/>
      <c r="J44" s="189"/>
      <c r="AK44" s="310"/>
    </row>
    <row r="45" spans="2:37" s="172" customFormat="1">
      <c r="D45" s="189"/>
      <c r="E45" s="189"/>
      <c r="F45" s="189"/>
      <c r="G45" s="189"/>
      <c r="H45" s="189"/>
      <c r="I45" s="189"/>
      <c r="J45" s="189"/>
    </row>
    <row r="46" spans="2:37" s="172" customFormat="1"/>
    <row r="47" spans="2:37" s="172" customFormat="1"/>
    <row r="48" spans="2:37" s="172" customFormat="1"/>
    <row r="49" s="172" customFormat="1"/>
    <row r="50" s="172" customFormat="1"/>
    <row r="51" s="172" customFormat="1"/>
    <row r="52" s="172" customFormat="1"/>
    <row r="53" s="172" customFormat="1"/>
    <row r="54" s="172" customFormat="1"/>
    <row r="55" s="172" customFormat="1"/>
    <row r="56" s="172" customFormat="1"/>
    <row r="57" s="172" customFormat="1"/>
    <row r="58" s="172" customFormat="1"/>
    <row r="59" s="172" customFormat="1"/>
    <row r="60" s="172" customFormat="1"/>
    <row r="61" s="172" customFormat="1"/>
    <row r="62" s="172" customFormat="1"/>
    <row r="63" s="172" customFormat="1"/>
    <row r="64" s="172" customFormat="1"/>
    <row r="65" s="172" customFormat="1"/>
    <row r="66" s="172" customFormat="1"/>
    <row r="67" s="172" customFormat="1"/>
    <row r="68" s="172" customFormat="1"/>
    <row r="69" s="172" customFormat="1"/>
    <row r="70" s="172" customFormat="1"/>
    <row r="71" s="172" customFormat="1"/>
    <row r="72" s="172" customFormat="1"/>
    <row r="73" s="172" customFormat="1"/>
    <row r="74" s="172" customFormat="1"/>
    <row r="75" s="172" customFormat="1"/>
    <row r="76" s="172" customFormat="1"/>
    <row r="77" s="172" customFormat="1"/>
    <row r="78" s="172" customFormat="1"/>
    <row r="79" s="172" customFormat="1"/>
    <row r="80" s="172" customFormat="1"/>
    <row r="81" spans="9:36" s="222" customFormat="1">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row>
    <row r="82" spans="9:36" s="222" customFormat="1">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row>
    <row r="83" spans="9:36" s="222" customFormat="1">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row>
    <row r="84" spans="9:36" s="222" customFormat="1">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row>
    <row r="85" spans="9:36" s="222" customFormat="1">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row>
    <row r="86" spans="9:36" s="222" customFormat="1">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row>
    <row r="87" spans="9:36" s="222" customFormat="1">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row>
    <row r="88" spans="9:36" s="222" customFormat="1">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row>
    <row r="89" spans="9:36" s="222" customFormat="1">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row>
    <row r="90" spans="9:36" s="222" customFormat="1">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row>
    <row r="91" spans="9:36" s="222" customFormat="1">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172"/>
    </row>
    <row r="92" spans="9:36" s="222" customFormat="1">
      <c r="I92" s="172"/>
      <c r="J92" s="172"/>
      <c r="K92" s="172"/>
      <c r="L92" s="172"/>
      <c r="M92" s="172"/>
      <c r="N92" s="172"/>
      <c r="O92" s="172"/>
      <c r="P92" s="172"/>
      <c r="Q92" s="172"/>
      <c r="R92" s="172"/>
      <c r="S92" s="172"/>
      <c r="T92" s="172"/>
      <c r="U92" s="172"/>
      <c r="V92" s="172"/>
      <c r="W92" s="172"/>
      <c r="X92" s="172"/>
      <c r="Y92" s="172"/>
      <c r="Z92" s="172"/>
      <c r="AA92" s="172"/>
      <c r="AB92" s="172"/>
      <c r="AC92" s="172"/>
      <c r="AD92" s="172"/>
      <c r="AE92" s="172"/>
      <c r="AF92" s="172"/>
      <c r="AG92" s="172"/>
      <c r="AH92" s="172"/>
      <c r="AI92" s="172"/>
      <c r="AJ92" s="172"/>
    </row>
    <row r="93" spans="9:36" s="222" customFormat="1">
      <c r="I93" s="172"/>
      <c r="J93" s="172"/>
      <c r="K93" s="172"/>
      <c r="L93" s="172"/>
      <c r="M93" s="172"/>
      <c r="N93" s="172"/>
      <c r="O93" s="172"/>
      <c r="P93" s="172"/>
      <c r="Q93" s="172"/>
      <c r="R93" s="172"/>
      <c r="S93" s="172"/>
      <c r="T93" s="172"/>
      <c r="U93" s="172"/>
      <c r="V93" s="172"/>
      <c r="W93" s="172"/>
      <c r="X93" s="172"/>
      <c r="Y93" s="172"/>
      <c r="Z93" s="172"/>
      <c r="AA93" s="172"/>
      <c r="AB93" s="172"/>
      <c r="AC93" s="172"/>
      <c r="AD93" s="172"/>
      <c r="AE93" s="172"/>
      <c r="AF93" s="172"/>
      <c r="AG93" s="172"/>
      <c r="AH93" s="172"/>
      <c r="AI93" s="172"/>
      <c r="AJ93" s="172"/>
    </row>
    <row r="94" spans="9:36" s="222" customFormat="1">
      <c r="I94" s="172"/>
      <c r="J94" s="172"/>
      <c r="K94" s="172"/>
      <c r="L94" s="172"/>
      <c r="M94" s="172"/>
      <c r="N94" s="172"/>
      <c r="O94" s="172"/>
      <c r="P94" s="172"/>
      <c r="Q94" s="172"/>
      <c r="R94" s="172"/>
      <c r="S94" s="172"/>
      <c r="T94" s="172"/>
      <c r="U94" s="172"/>
      <c r="V94" s="172"/>
      <c r="W94" s="172"/>
      <c r="X94" s="172"/>
      <c r="Y94" s="172"/>
      <c r="Z94" s="172"/>
      <c r="AA94" s="172"/>
      <c r="AB94" s="172"/>
      <c r="AC94" s="172"/>
      <c r="AD94" s="172"/>
      <c r="AE94" s="172"/>
      <c r="AF94" s="172"/>
      <c r="AG94" s="172"/>
      <c r="AH94" s="172"/>
      <c r="AI94" s="172"/>
      <c r="AJ94" s="172"/>
    </row>
    <row r="95" spans="9:36" s="222" customFormat="1">
      <c r="I95" s="172"/>
      <c r="J95" s="172"/>
      <c r="K95" s="172"/>
      <c r="L95" s="172"/>
      <c r="M95" s="172"/>
      <c r="N95" s="172"/>
      <c r="O95" s="172"/>
      <c r="P95" s="172"/>
      <c r="Q95" s="172"/>
      <c r="R95" s="172"/>
      <c r="S95" s="172"/>
      <c r="T95" s="172"/>
      <c r="U95" s="172"/>
      <c r="V95" s="172"/>
      <c r="W95" s="172"/>
      <c r="X95" s="172"/>
      <c r="Y95" s="172"/>
      <c r="Z95" s="172"/>
      <c r="AA95" s="172"/>
      <c r="AB95" s="172"/>
      <c r="AC95" s="172"/>
      <c r="AD95" s="172"/>
      <c r="AE95" s="172"/>
      <c r="AF95" s="172"/>
      <c r="AG95" s="172"/>
      <c r="AH95" s="172"/>
      <c r="AI95" s="172"/>
      <c r="AJ95" s="172"/>
    </row>
    <row r="96" spans="9:36" s="222" customFormat="1">
      <c r="I96" s="172"/>
      <c r="J96" s="172"/>
      <c r="K96" s="172"/>
      <c r="L96" s="172"/>
      <c r="M96" s="172"/>
      <c r="N96" s="172"/>
      <c r="O96" s="172"/>
      <c r="P96" s="172"/>
      <c r="Q96" s="172"/>
      <c r="R96" s="172"/>
      <c r="S96" s="172"/>
      <c r="T96" s="172"/>
      <c r="U96" s="172"/>
      <c r="V96" s="172"/>
      <c r="W96" s="172"/>
      <c r="X96" s="172"/>
      <c r="Y96" s="172"/>
      <c r="Z96" s="172"/>
      <c r="AA96" s="172"/>
      <c r="AB96" s="172"/>
      <c r="AC96" s="172"/>
      <c r="AD96" s="172"/>
      <c r="AE96" s="172"/>
      <c r="AF96" s="172"/>
      <c r="AG96" s="172"/>
      <c r="AH96" s="172"/>
      <c r="AI96" s="172"/>
      <c r="AJ96" s="172"/>
    </row>
    <row r="97" spans="9:36" s="222" customFormat="1">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row>
    <row r="98" spans="9:36" s="222" customFormat="1">
      <c r="I98" s="172"/>
      <c r="J98" s="172"/>
      <c r="K98" s="172"/>
      <c r="L98" s="172"/>
      <c r="M98" s="172"/>
      <c r="N98" s="172"/>
      <c r="O98" s="172"/>
      <c r="P98" s="172"/>
      <c r="Q98" s="172"/>
      <c r="R98" s="172"/>
      <c r="S98" s="172"/>
      <c r="T98" s="172"/>
      <c r="U98" s="172"/>
      <c r="V98" s="172"/>
      <c r="W98" s="172"/>
      <c r="X98" s="172"/>
      <c r="Y98" s="172"/>
      <c r="Z98" s="172"/>
      <c r="AA98" s="172"/>
      <c r="AB98" s="172"/>
      <c r="AC98" s="172"/>
      <c r="AD98" s="172"/>
      <c r="AE98" s="172"/>
      <c r="AF98" s="172"/>
      <c r="AG98" s="172"/>
      <c r="AH98" s="172"/>
      <c r="AI98" s="172"/>
      <c r="AJ98" s="172"/>
    </row>
    <row r="99" spans="9:36" s="222" customFormat="1">
      <c r="I99" s="172"/>
      <c r="J99" s="172"/>
      <c r="K99" s="172"/>
      <c r="L99" s="172"/>
      <c r="M99" s="172"/>
      <c r="N99" s="172"/>
      <c r="O99" s="172"/>
      <c r="P99" s="172"/>
      <c r="Q99" s="172"/>
      <c r="R99" s="172"/>
      <c r="S99" s="172"/>
      <c r="T99" s="172"/>
      <c r="U99" s="172"/>
      <c r="V99" s="172"/>
      <c r="W99" s="172"/>
      <c r="X99" s="172"/>
      <c r="Y99" s="172"/>
      <c r="Z99" s="172"/>
      <c r="AA99" s="172"/>
      <c r="AB99" s="172"/>
      <c r="AC99" s="172"/>
      <c r="AD99" s="172"/>
      <c r="AE99" s="172"/>
      <c r="AF99" s="172"/>
      <c r="AG99" s="172"/>
      <c r="AH99" s="172"/>
      <c r="AI99" s="172"/>
      <c r="AJ99" s="172"/>
    </row>
    <row r="100" spans="9:36" s="222" customFormat="1">
      <c r="I100" s="172"/>
      <c r="J100" s="172"/>
      <c r="K100" s="172"/>
      <c r="L100" s="172"/>
      <c r="M100" s="172"/>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2"/>
      <c r="AI100" s="172"/>
      <c r="AJ100" s="172"/>
    </row>
    <row r="101" spans="9:36" s="222" customFormat="1">
      <c r="I101" s="172"/>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row>
    <row r="102" spans="9:36" s="222" customFormat="1">
      <c r="I102" s="172"/>
      <c r="J102" s="172"/>
      <c r="K102" s="172"/>
      <c r="L102" s="172"/>
      <c r="M102" s="172"/>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c r="AI102" s="172"/>
      <c r="AJ102" s="172"/>
    </row>
    <row r="103" spans="9:36" s="222" customFormat="1">
      <c r="I103" s="172"/>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row>
    <row r="104" spans="9:36" s="222" customFormat="1">
      <c r="I104" s="172"/>
      <c r="J104" s="172"/>
      <c r="K104" s="172"/>
      <c r="L104" s="172"/>
      <c r="M104" s="172"/>
      <c r="N104" s="172"/>
      <c r="O104" s="172"/>
      <c r="P104" s="172"/>
      <c r="Q104" s="172"/>
      <c r="R104" s="172"/>
      <c r="S104" s="172"/>
      <c r="T104" s="172"/>
      <c r="U104" s="172"/>
      <c r="V104" s="172"/>
      <c r="W104" s="172"/>
      <c r="X104" s="172"/>
      <c r="Y104" s="172"/>
      <c r="Z104" s="172"/>
      <c r="AA104" s="172"/>
      <c r="AB104" s="172"/>
      <c r="AC104" s="172"/>
      <c r="AD104" s="172"/>
      <c r="AE104" s="172"/>
      <c r="AF104" s="172"/>
      <c r="AG104" s="172"/>
      <c r="AH104" s="172"/>
      <c r="AI104" s="172"/>
      <c r="AJ104" s="172"/>
    </row>
    <row r="105" spans="9:36" s="222" customFormat="1">
      <c r="I105" s="172"/>
      <c r="J105" s="172"/>
      <c r="K105" s="172"/>
      <c r="L105" s="172"/>
      <c r="M105" s="172"/>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c r="AI105" s="172"/>
      <c r="AJ105" s="172"/>
    </row>
    <row r="106" spans="9:36" s="222" customFormat="1">
      <c r="I106" s="172"/>
      <c r="J106" s="172"/>
      <c r="K106" s="172"/>
      <c r="L106" s="172"/>
      <c r="M106" s="172"/>
      <c r="N106" s="172"/>
      <c r="O106" s="172"/>
      <c r="P106" s="172"/>
      <c r="Q106" s="172"/>
      <c r="R106" s="172"/>
      <c r="S106" s="172"/>
      <c r="T106" s="172"/>
      <c r="U106" s="172"/>
      <c r="V106" s="172"/>
      <c r="W106" s="172"/>
      <c r="X106" s="172"/>
      <c r="Y106" s="172"/>
      <c r="Z106" s="172"/>
      <c r="AA106" s="172"/>
      <c r="AB106" s="172"/>
      <c r="AC106" s="172"/>
      <c r="AD106" s="172"/>
      <c r="AE106" s="172"/>
      <c r="AF106" s="172"/>
      <c r="AG106" s="172"/>
      <c r="AH106" s="172"/>
      <c r="AI106" s="172"/>
      <c r="AJ106" s="172"/>
    </row>
    <row r="107" spans="9:36" s="222" customFormat="1">
      <c r="I107" s="172"/>
      <c r="J107" s="172"/>
      <c r="K107" s="172"/>
      <c r="L107" s="172"/>
      <c r="M107" s="172"/>
      <c r="N107" s="172"/>
      <c r="O107" s="172"/>
      <c r="P107" s="172"/>
      <c r="Q107" s="172"/>
      <c r="R107" s="172"/>
      <c r="S107" s="172"/>
      <c r="T107" s="172"/>
      <c r="U107" s="172"/>
      <c r="V107" s="172"/>
      <c r="W107" s="172"/>
      <c r="X107" s="172"/>
      <c r="Y107" s="172"/>
      <c r="Z107" s="172"/>
      <c r="AA107" s="172"/>
      <c r="AB107" s="172"/>
      <c r="AC107" s="172"/>
      <c r="AD107" s="172"/>
      <c r="AE107" s="172"/>
      <c r="AF107" s="172"/>
      <c r="AG107" s="172"/>
      <c r="AH107" s="172"/>
      <c r="AI107" s="172"/>
      <c r="AJ107" s="172"/>
    </row>
    <row r="108" spans="9:36" s="222" customFormat="1">
      <c r="I108" s="172"/>
      <c r="J108" s="172"/>
      <c r="K108" s="172"/>
      <c r="L108" s="172"/>
      <c r="M108" s="172"/>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c r="AI108" s="172"/>
      <c r="AJ108" s="172"/>
    </row>
    <row r="109" spans="9:36" s="222" customFormat="1">
      <c r="I109" s="172"/>
      <c r="J109" s="172"/>
      <c r="K109" s="172"/>
      <c r="L109" s="172"/>
      <c r="M109" s="172"/>
      <c r="N109" s="172"/>
      <c r="O109" s="172"/>
      <c r="P109" s="172"/>
      <c r="Q109" s="172"/>
      <c r="R109" s="172"/>
      <c r="S109" s="172"/>
      <c r="T109" s="172"/>
      <c r="U109" s="172"/>
      <c r="V109" s="172"/>
      <c r="W109" s="172"/>
      <c r="X109" s="172"/>
      <c r="Y109" s="172"/>
      <c r="Z109" s="172"/>
      <c r="AA109" s="172"/>
      <c r="AB109" s="172"/>
      <c r="AC109" s="172"/>
      <c r="AD109" s="172"/>
      <c r="AE109" s="172"/>
      <c r="AF109" s="172"/>
      <c r="AG109" s="172"/>
      <c r="AH109" s="172"/>
      <c r="AI109" s="172"/>
      <c r="AJ109" s="172"/>
    </row>
    <row r="110" spans="9:36" s="222" customFormat="1">
      <c r="I110" s="172"/>
      <c r="J110" s="172"/>
      <c r="K110" s="172"/>
      <c r="L110" s="172"/>
      <c r="M110" s="172"/>
      <c r="N110" s="172"/>
      <c r="O110" s="172"/>
      <c r="P110" s="172"/>
      <c r="Q110" s="172"/>
      <c r="R110" s="172"/>
      <c r="S110" s="172"/>
      <c r="T110" s="172"/>
      <c r="U110" s="172"/>
      <c r="V110" s="172"/>
      <c r="W110" s="172"/>
      <c r="X110" s="172"/>
      <c r="Y110" s="172"/>
      <c r="Z110" s="172"/>
      <c r="AA110" s="172"/>
      <c r="AB110" s="172"/>
      <c r="AC110" s="172"/>
      <c r="AD110" s="172"/>
      <c r="AE110" s="172"/>
      <c r="AF110" s="172"/>
      <c r="AG110" s="172"/>
      <c r="AH110" s="172"/>
      <c r="AI110" s="172"/>
      <c r="AJ110" s="172"/>
    </row>
    <row r="111" spans="9:36" s="222" customFormat="1">
      <c r="I111" s="172"/>
      <c r="J111" s="172"/>
      <c r="K111" s="172"/>
      <c r="L111" s="172"/>
      <c r="M111" s="172"/>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c r="AI111" s="172"/>
      <c r="AJ111" s="172"/>
    </row>
    <row r="112" spans="9:36" s="222" customFormat="1">
      <c r="I112" s="172"/>
      <c r="J112" s="172"/>
      <c r="K112" s="172"/>
      <c r="L112" s="172"/>
      <c r="M112" s="172"/>
      <c r="N112" s="172"/>
      <c r="O112" s="172"/>
      <c r="P112" s="172"/>
      <c r="Q112" s="172"/>
      <c r="R112" s="172"/>
      <c r="S112" s="172"/>
      <c r="T112" s="172"/>
      <c r="U112" s="172"/>
      <c r="V112" s="172"/>
      <c r="W112" s="172"/>
      <c r="X112" s="172"/>
      <c r="Y112" s="172"/>
      <c r="Z112" s="172"/>
      <c r="AA112" s="172"/>
      <c r="AB112" s="172"/>
      <c r="AC112" s="172"/>
      <c r="AD112" s="172"/>
      <c r="AE112" s="172"/>
      <c r="AF112" s="172"/>
      <c r="AG112" s="172"/>
      <c r="AH112" s="172"/>
      <c r="AI112" s="172"/>
      <c r="AJ112" s="172"/>
    </row>
    <row r="113" spans="9:36" s="222" customFormat="1">
      <c r="I113" s="172"/>
      <c r="J113" s="172"/>
      <c r="K113" s="1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row>
    <row r="114" spans="9:36" s="222" customFormat="1">
      <c r="I114" s="172"/>
      <c r="J114" s="172"/>
      <c r="K114" s="172"/>
      <c r="L114" s="172"/>
      <c r="M114" s="172"/>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row>
    <row r="115" spans="9:36" s="222" customFormat="1">
      <c r="I115" s="172"/>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row>
    <row r="116" spans="9:36" s="222" customFormat="1">
      <c r="I116" s="172"/>
      <c r="J116" s="172"/>
      <c r="K116" s="172"/>
      <c r="L116" s="172"/>
      <c r="M116" s="172"/>
      <c r="N116" s="172"/>
      <c r="O116" s="172"/>
      <c r="P116" s="172"/>
      <c r="Q116" s="172"/>
      <c r="R116" s="172"/>
      <c r="S116" s="172"/>
      <c r="T116" s="172"/>
      <c r="U116" s="172"/>
      <c r="V116" s="172"/>
      <c r="W116" s="172"/>
      <c r="X116" s="172"/>
      <c r="Y116" s="172"/>
      <c r="Z116" s="172"/>
      <c r="AA116" s="172"/>
      <c r="AB116" s="172"/>
      <c r="AC116" s="172"/>
      <c r="AD116" s="172"/>
      <c r="AE116" s="172"/>
      <c r="AF116" s="172"/>
      <c r="AG116" s="172"/>
      <c r="AH116" s="172"/>
      <c r="AI116" s="172"/>
      <c r="AJ116" s="172"/>
    </row>
    <row r="117" spans="9:36" s="222" customFormat="1">
      <c r="I117" s="172"/>
      <c r="J117" s="172"/>
      <c r="K117" s="172"/>
      <c r="L117" s="172"/>
      <c r="M117" s="172"/>
      <c r="N117" s="172"/>
      <c r="O117" s="172"/>
      <c r="P117" s="172"/>
      <c r="Q117" s="172"/>
      <c r="R117" s="172"/>
      <c r="S117" s="172"/>
      <c r="T117" s="172"/>
      <c r="U117" s="172"/>
      <c r="V117" s="172"/>
      <c r="W117" s="172"/>
      <c r="X117" s="172"/>
      <c r="Y117" s="172"/>
      <c r="Z117" s="172"/>
      <c r="AA117" s="172"/>
      <c r="AB117" s="172"/>
      <c r="AC117" s="172"/>
      <c r="AD117" s="172"/>
      <c r="AE117" s="172"/>
      <c r="AF117" s="172"/>
      <c r="AG117" s="172"/>
      <c r="AH117" s="172"/>
      <c r="AI117" s="172"/>
      <c r="AJ117" s="172"/>
    </row>
    <row r="118" spans="9:36" s="222" customFormat="1">
      <c r="I118" s="172"/>
      <c r="J118" s="172"/>
      <c r="K118" s="172"/>
      <c r="L118" s="172"/>
      <c r="M118" s="172"/>
      <c r="N118" s="172"/>
      <c r="O118" s="172"/>
      <c r="P118" s="172"/>
      <c r="Q118" s="172"/>
      <c r="R118" s="172"/>
      <c r="S118" s="172"/>
      <c r="T118" s="172"/>
      <c r="U118" s="172"/>
      <c r="V118" s="172"/>
      <c r="W118" s="172"/>
      <c r="X118" s="172"/>
      <c r="Y118" s="172"/>
      <c r="Z118" s="172"/>
      <c r="AA118" s="172"/>
      <c r="AB118" s="172"/>
      <c r="AC118" s="172"/>
      <c r="AD118" s="172"/>
      <c r="AE118" s="172"/>
      <c r="AF118" s="172"/>
      <c r="AG118" s="172"/>
      <c r="AH118" s="172"/>
      <c r="AI118" s="172"/>
      <c r="AJ118" s="172"/>
    </row>
    <row r="119" spans="9:36" s="222" customFormat="1">
      <c r="I119" s="172"/>
      <c r="J119" s="172"/>
      <c r="K119" s="172"/>
      <c r="L119" s="172"/>
      <c r="M119" s="172"/>
      <c r="N119" s="172"/>
      <c r="O119" s="172"/>
      <c r="P119" s="172"/>
      <c r="Q119" s="172"/>
      <c r="R119" s="172"/>
      <c r="S119" s="172"/>
      <c r="T119" s="172"/>
      <c r="U119" s="172"/>
      <c r="V119" s="172"/>
      <c r="W119" s="172"/>
      <c r="X119" s="172"/>
      <c r="Y119" s="172"/>
      <c r="Z119" s="172"/>
      <c r="AA119" s="172"/>
      <c r="AB119" s="172"/>
      <c r="AC119" s="172"/>
      <c r="AD119" s="172"/>
      <c r="AE119" s="172"/>
      <c r="AF119" s="172"/>
      <c r="AG119" s="172"/>
      <c r="AH119" s="172"/>
      <c r="AI119" s="172"/>
      <c r="AJ119" s="172"/>
    </row>
    <row r="120" spans="9:36" s="222" customFormat="1">
      <c r="I120" s="172"/>
      <c r="J120" s="172"/>
      <c r="K120" s="172"/>
      <c r="L120" s="172"/>
      <c r="M120" s="172"/>
      <c r="N120" s="172"/>
      <c r="O120" s="172"/>
      <c r="P120" s="172"/>
      <c r="Q120" s="172"/>
      <c r="R120" s="172"/>
      <c r="S120" s="172"/>
      <c r="T120" s="172"/>
      <c r="U120" s="172"/>
      <c r="V120" s="172"/>
      <c r="W120" s="172"/>
      <c r="X120" s="172"/>
      <c r="Y120" s="172"/>
      <c r="Z120" s="172"/>
      <c r="AA120" s="172"/>
      <c r="AB120" s="172"/>
      <c r="AC120" s="172"/>
      <c r="AD120" s="172"/>
      <c r="AE120" s="172"/>
      <c r="AF120" s="172"/>
      <c r="AG120" s="172"/>
      <c r="AH120" s="172"/>
      <c r="AI120" s="172"/>
      <c r="AJ120" s="172"/>
    </row>
    <row r="121" spans="9:36" s="222" customFormat="1">
      <c r="I121" s="172"/>
      <c r="J121" s="172"/>
      <c r="K121" s="172"/>
      <c r="L121" s="172"/>
      <c r="M121" s="172"/>
      <c r="N121" s="172"/>
      <c r="O121" s="172"/>
      <c r="P121" s="172"/>
      <c r="Q121" s="172"/>
      <c r="R121" s="172"/>
      <c r="S121" s="172"/>
      <c r="T121" s="172"/>
      <c r="U121" s="172"/>
      <c r="V121" s="172"/>
      <c r="W121" s="172"/>
      <c r="X121" s="172"/>
      <c r="Y121" s="172"/>
      <c r="Z121" s="172"/>
      <c r="AA121" s="172"/>
      <c r="AB121" s="172"/>
      <c r="AC121" s="172"/>
      <c r="AD121" s="172"/>
      <c r="AE121" s="172"/>
      <c r="AF121" s="172"/>
      <c r="AG121" s="172"/>
      <c r="AH121" s="172"/>
      <c r="AI121" s="172"/>
      <c r="AJ121" s="172"/>
    </row>
    <row r="122" spans="9:36" s="222" customFormat="1">
      <c r="I122" s="172"/>
      <c r="J122" s="172"/>
      <c r="K122" s="172"/>
      <c r="L122" s="172"/>
      <c r="M122" s="172"/>
      <c r="N122" s="172"/>
      <c r="O122" s="172"/>
      <c r="P122" s="172"/>
      <c r="Q122" s="172"/>
      <c r="R122" s="172"/>
      <c r="S122" s="172"/>
      <c r="T122" s="172"/>
      <c r="U122" s="172"/>
      <c r="V122" s="172"/>
      <c r="W122" s="172"/>
      <c r="X122" s="172"/>
      <c r="Y122" s="172"/>
      <c r="Z122" s="172"/>
      <c r="AA122" s="172"/>
      <c r="AB122" s="172"/>
      <c r="AC122" s="172"/>
      <c r="AD122" s="172"/>
      <c r="AE122" s="172"/>
      <c r="AF122" s="172"/>
      <c r="AG122" s="172"/>
      <c r="AH122" s="172"/>
      <c r="AI122" s="172"/>
      <c r="AJ122" s="172"/>
    </row>
    <row r="123" spans="9:36" s="222" customFormat="1">
      <c r="I123" s="172"/>
      <c r="J123" s="172"/>
      <c r="K123" s="172"/>
      <c r="L123" s="172"/>
      <c r="M123" s="172"/>
      <c r="N123" s="172"/>
      <c r="O123" s="172"/>
      <c r="P123" s="172"/>
      <c r="Q123" s="172"/>
      <c r="R123" s="172"/>
      <c r="S123" s="172"/>
      <c r="T123" s="172"/>
      <c r="U123" s="172"/>
      <c r="V123" s="172"/>
      <c r="W123" s="172"/>
      <c r="X123" s="172"/>
      <c r="Y123" s="172"/>
      <c r="Z123" s="172"/>
      <c r="AA123" s="172"/>
      <c r="AB123" s="172"/>
      <c r="AC123" s="172"/>
      <c r="AD123" s="172"/>
      <c r="AE123" s="172"/>
      <c r="AF123" s="172"/>
      <c r="AG123" s="172"/>
      <c r="AH123" s="172"/>
      <c r="AI123" s="172"/>
      <c r="AJ123" s="172"/>
    </row>
    <row r="124" spans="9:36" s="222" customFormat="1">
      <c r="I124" s="172"/>
      <c r="J124" s="172"/>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2"/>
      <c r="AG124" s="172"/>
      <c r="AH124" s="172"/>
      <c r="AI124" s="172"/>
      <c r="AJ124" s="172"/>
    </row>
    <row r="125" spans="9:36" s="222" customFormat="1">
      <c r="I125" s="172"/>
      <c r="J125" s="172"/>
      <c r="K125" s="172"/>
      <c r="L125" s="172"/>
      <c r="M125" s="172"/>
      <c r="N125" s="172"/>
      <c r="O125" s="172"/>
      <c r="P125" s="172"/>
      <c r="Q125" s="172"/>
      <c r="R125" s="172"/>
      <c r="S125" s="172"/>
      <c r="T125" s="172"/>
      <c r="U125" s="172"/>
      <c r="V125" s="172"/>
      <c r="W125" s="172"/>
      <c r="X125" s="172"/>
      <c r="Y125" s="172"/>
      <c r="Z125" s="172"/>
      <c r="AA125" s="172"/>
      <c r="AB125" s="172"/>
      <c r="AC125" s="172"/>
      <c r="AD125" s="172"/>
      <c r="AE125" s="172"/>
      <c r="AF125" s="172"/>
      <c r="AG125" s="172"/>
      <c r="AH125" s="172"/>
      <c r="AI125" s="172"/>
      <c r="AJ125" s="172"/>
    </row>
    <row r="126" spans="9:36" s="222" customFormat="1">
      <c r="I126" s="172"/>
      <c r="J126" s="172"/>
      <c r="K126" s="172"/>
      <c r="L126" s="172"/>
      <c r="M126" s="172"/>
      <c r="N126" s="172"/>
      <c r="O126" s="172"/>
      <c r="P126" s="172"/>
      <c r="Q126" s="172"/>
      <c r="R126" s="172"/>
      <c r="S126" s="172"/>
      <c r="T126" s="172"/>
      <c r="U126" s="172"/>
      <c r="V126" s="172"/>
      <c r="W126" s="172"/>
      <c r="X126" s="172"/>
      <c r="Y126" s="172"/>
      <c r="Z126" s="172"/>
      <c r="AA126" s="172"/>
      <c r="AB126" s="172"/>
      <c r="AC126" s="172"/>
      <c r="AD126" s="172"/>
      <c r="AE126" s="172"/>
      <c r="AF126" s="172"/>
      <c r="AG126" s="172"/>
      <c r="AH126" s="172"/>
      <c r="AI126" s="172"/>
      <c r="AJ126" s="172"/>
    </row>
    <row r="127" spans="9:36" s="222" customFormat="1">
      <c r="I127" s="172"/>
      <c r="J127" s="172"/>
      <c r="K127" s="172"/>
      <c r="L127" s="172"/>
      <c r="M127" s="172"/>
      <c r="N127" s="172"/>
      <c r="O127" s="172"/>
      <c r="P127" s="172"/>
      <c r="Q127" s="172"/>
      <c r="R127" s="172"/>
      <c r="S127" s="172"/>
      <c r="T127" s="172"/>
      <c r="U127" s="172"/>
      <c r="V127" s="172"/>
      <c r="W127" s="172"/>
      <c r="X127" s="172"/>
      <c r="Y127" s="172"/>
      <c r="Z127" s="172"/>
      <c r="AA127" s="172"/>
      <c r="AB127" s="172"/>
      <c r="AC127" s="172"/>
      <c r="AD127" s="172"/>
      <c r="AE127" s="172"/>
      <c r="AF127" s="172"/>
      <c r="AG127" s="172"/>
      <c r="AH127" s="172"/>
      <c r="AI127" s="172"/>
      <c r="AJ127" s="172"/>
    </row>
    <row r="128" spans="9:36" s="222" customFormat="1">
      <c r="I128" s="172"/>
      <c r="J128" s="172"/>
      <c r="K128" s="172"/>
      <c r="L128" s="172"/>
      <c r="M128" s="172"/>
      <c r="N128" s="172"/>
      <c r="O128" s="172"/>
      <c r="P128" s="172"/>
      <c r="Q128" s="172"/>
      <c r="R128" s="172"/>
      <c r="S128" s="172"/>
      <c r="T128" s="172"/>
      <c r="U128" s="172"/>
      <c r="V128" s="172"/>
      <c r="W128" s="172"/>
      <c r="X128" s="172"/>
      <c r="Y128" s="172"/>
      <c r="Z128" s="172"/>
      <c r="AA128" s="172"/>
      <c r="AB128" s="172"/>
      <c r="AC128" s="172"/>
      <c r="AD128" s="172"/>
      <c r="AE128" s="172"/>
      <c r="AF128" s="172"/>
      <c r="AG128" s="172"/>
      <c r="AH128" s="172"/>
      <c r="AI128" s="172"/>
      <c r="AJ128" s="172"/>
    </row>
    <row r="129" spans="9:36" s="222" customFormat="1">
      <c r="I129" s="172"/>
      <c r="J129" s="172"/>
      <c r="K129" s="172"/>
      <c r="L129" s="172"/>
      <c r="M129" s="172"/>
      <c r="N129" s="172"/>
      <c r="O129" s="172"/>
      <c r="P129" s="172"/>
      <c r="Q129" s="172"/>
      <c r="R129" s="172"/>
      <c r="S129" s="172"/>
      <c r="T129" s="172"/>
      <c r="U129" s="172"/>
      <c r="V129" s="172"/>
      <c r="W129" s="172"/>
      <c r="X129" s="172"/>
      <c r="Y129" s="172"/>
      <c r="Z129" s="172"/>
      <c r="AA129" s="172"/>
      <c r="AB129" s="172"/>
      <c r="AC129" s="172"/>
      <c r="AD129" s="172"/>
      <c r="AE129" s="172"/>
      <c r="AF129" s="172"/>
      <c r="AG129" s="172"/>
      <c r="AH129" s="172"/>
      <c r="AI129" s="172"/>
      <c r="AJ129" s="172"/>
    </row>
    <row r="130" spans="9:36" s="222" customFormat="1">
      <c r="I130" s="172"/>
      <c r="J130" s="172"/>
      <c r="K130" s="172"/>
      <c r="L130" s="172"/>
      <c r="M130" s="172"/>
      <c r="N130" s="172"/>
      <c r="O130" s="172"/>
      <c r="P130" s="172"/>
      <c r="Q130" s="172"/>
      <c r="R130" s="172"/>
      <c r="S130" s="172"/>
      <c r="T130" s="172"/>
      <c r="U130" s="172"/>
      <c r="V130" s="172"/>
      <c r="W130" s="172"/>
      <c r="X130" s="172"/>
      <c r="Y130" s="172"/>
      <c r="Z130" s="172"/>
      <c r="AA130" s="172"/>
      <c r="AB130" s="172"/>
      <c r="AC130" s="172"/>
      <c r="AD130" s="172"/>
      <c r="AE130" s="172"/>
      <c r="AF130" s="172"/>
      <c r="AG130" s="172"/>
      <c r="AH130" s="172"/>
      <c r="AI130" s="172"/>
      <c r="AJ130" s="172"/>
    </row>
    <row r="131" spans="9:36" s="222" customFormat="1">
      <c r="I131" s="172"/>
      <c r="J131" s="172"/>
      <c r="K131" s="172"/>
      <c r="L131" s="172"/>
      <c r="M131" s="172"/>
      <c r="N131" s="172"/>
      <c r="O131" s="172"/>
      <c r="P131" s="172"/>
      <c r="Q131" s="172"/>
      <c r="R131" s="172"/>
      <c r="S131" s="172"/>
      <c r="T131" s="172"/>
      <c r="U131" s="172"/>
      <c r="V131" s="172"/>
      <c r="W131" s="172"/>
      <c r="X131" s="172"/>
      <c r="Y131" s="172"/>
      <c r="Z131" s="172"/>
      <c r="AA131" s="172"/>
      <c r="AB131" s="172"/>
      <c r="AC131" s="172"/>
      <c r="AD131" s="172"/>
      <c r="AE131" s="172"/>
      <c r="AF131" s="172"/>
      <c r="AG131" s="172"/>
      <c r="AH131" s="172"/>
      <c r="AI131" s="172"/>
      <c r="AJ131" s="172"/>
    </row>
    <row r="132" spans="9:36" s="222" customFormat="1">
      <c r="I132" s="172"/>
      <c r="J132" s="172"/>
      <c r="K132" s="172"/>
      <c r="L132" s="172"/>
      <c r="M132" s="172"/>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172"/>
      <c r="AJ132" s="172"/>
    </row>
    <row r="133" spans="9:36" s="222" customFormat="1">
      <c r="I133" s="172"/>
      <c r="J133" s="172"/>
      <c r="K133" s="172"/>
      <c r="L133" s="172"/>
      <c r="M133" s="172"/>
      <c r="N133" s="172"/>
      <c r="O133" s="172"/>
      <c r="P133" s="172"/>
      <c r="Q133" s="172"/>
      <c r="R133" s="172"/>
      <c r="S133" s="172"/>
      <c r="T133" s="172"/>
      <c r="U133" s="172"/>
      <c r="V133" s="172"/>
      <c r="W133" s="172"/>
      <c r="X133" s="172"/>
      <c r="Y133" s="172"/>
      <c r="Z133" s="172"/>
      <c r="AA133" s="172"/>
      <c r="AB133" s="172"/>
      <c r="AC133" s="172"/>
      <c r="AD133" s="172"/>
      <c r="AE133" s="172"/>
      <c r="AF133" s="172"/>
      <c r="AG133" s="172"/>
      <c r="AH133" s="172"/>
      <c r="AI133" s="172"/>
      <c r="AJ133" s="172"/>
    </row>
    <row r="134" spans="9:36" s="222" customFormat="1">
      <c r="I134" s="172"/>
      <c r="J134" s="172"/>
      <c r="K134" s="172"/>
      <c r="L134" s="172"/>
      <c r="M134" s="172"/>
      <c r="N134" s="172"/>
      <c r="O134" s="172"/>
      <c r="P134" s="172"/>
      <c r="Q134" s="172"/>
      <c r="R134" s="172"/>
      <c r="S134" s="172"/>
      <c r="T134" s="172"/>
      <c r="U134" s="172"/>
      <c r="V134" s="172"/>
      <c r="W134" s="172"/>
      <c r="X134" s="172"/>
      <c r="Y134" s="172"/>
      <c r="Z134" s="172"/>
      <c r="AA134" s="172"/>
      <c r="AB134" s="172"/>
      <c r="AC134" s="172"/>
      <c r="AD134" s="172"/>
      <c r="AE134" s="172"/>
      <c r="AF134" s="172"/>
      <c r="AG134" s="172"/>
      <c r="AH134" s="172"/>
      <c r="AI134" s="172"/>
      <c r="AJ134" s="172"/>
    </row>
    <row r="135" spans="9:36" s="222" customFormat="1">
      <c r="I135" s="172"/>
      <c r="J135" s="172"/>
      <c r="K135" s="172"/>
      <c r="L135" s="172"/>
      <c r="M135" s="172"/>
      <c r="N135" s="172"/>
      <c r="O135" s="172"/>
      <c r="P135" s="172"/>
      <c r="Q135" s="172"/>
      <c r="R135" s="172"/>
      <c r="S135" s="172"/>
      <c r="T135" s="172"/>
      <c r="U135" s="172"/>
      <c r="V135" s="172"/>
      <c r="W135" s="172"/>
      <c r="X135" s="172"/>
      <c r="Y135" s="172"/>
      <c r="Z135" s="172"/>
      <c r="AA135" s="172"/>
      <c r="AB135" s="172"/>
      <c r="AC135" s="172"/>
      <c r="AD135" s="172"/>
      <c r="AE135" s="172"/>
      <c r="AF135" s="172"/>
      <c r="AG135" s="172"/>
      <c r="AH135" s="172"/>
      <c r="AI135" s="172"/>
      <c r="AJ135" s="172"/>
    </row>
    <row r="136" spans="9:36" s="222" customFormat="1">
      <c r="I136" s="172"/>
      <c r="J136" s="172"/>
      <c r="K136" s="172"/>
      <c r="L136" s="172"/>
      <c r="M136" s="172"/>
      <c r="N136" s="172"/>
      <c r="O136" s="172"/>
      <c r="P136" s="172"/>
      <c r="Q136" s="172"/>
      <c r="R136" s="172"/>
      <c r="S136" s="172"/>
      <c r="T136" s="172"/>
      <c r="U136" s="172"/>
      <c r="V136" s="172"/>
      <c r="W136" s="172"/>
      <c r="X136" s="172"/>
      <c r="Y136" s="172"/>
      <c r="Z136" s="172"/>
      <c r="AA136" s="172"/>
      <c r="AB136" s="172"/>
      <c r="AC136" s="172"/>
      <c r="AD136" s="172"/>
      <c r="AE136" s="172"/>
      <c r="AF136" s="172"/>
      <c r="AG136" s="172"/>
      <c r="AH136" s="172"/>
      <c r="AI136" s="172"/>
      <c r="AJ136" s="172"/>
    </row>
    <row r="137" spans="9:36" s="222" customFormat="1">
      <c r="I137" s="172"/>
      <c r="J137" s="172"/>
      <c r="K137" s="172"/>
      <c r="L137" s="172"/>
      <c r="M137" s="172"/>
      <c r="N137" s="172"/>
      <c r="O137" s="172"/>
      <c r="P137" s="172"/>
      <c r="Q137" s="172"/>
      <c r="R137" s="172"/>
      <c r="S137" s="172"/>
      <c r="T137" s="172"/>
      <c r="U137" s="172"/>
      <c r="V137" s="172"/>
      <c r="W137" s="172"/>
      <c r="X137" s="172"/>
      <c r="Y137" s="172"/>
      <c r="Z137" s="172"/>
      <c r="AA137" s="172"/>
      <c r="AB137" s="172"/>
      <c r="AC137" s="172"/>
      <c r="AD137" s="172"/>
      <c r="AE137" s="172"/>
      <c r="AF137" s="172"/>
      <c r="AG137" s="172"/>
      <c r="AH137" s="172"/>
      <c r="AI137" s="172"/>
      <c r="AJ137" s="172"/>
    </row>
    <row r="138" spans="9:36" s="222" customFormat="1">
      <c r="I138" s="172"/>
      <c r="J138" s="172"/>
      <c r="K138" s="172"/>
      <c r="L138" s="172"/>
      <c r="M138" s="172"/>
      <c r="N138" s="172"/>
      <c r="O138" s="172"/>
      <c r="P138" s="172"/>
      <c r="Q138" s="172"/>
      <c r="R138" s="172"/>
      <c r="S138" s="172"/>
      <c r="T138" s="172"/>
      <c r="U138" s="172"/>
      <c r="V138" s="172"/>
      <c r="W138" s="172"/>
      <c r="X138" s="172"/>
      <c r="Y138" s="172"/>
      <c r="Z138" s="172"/>
      <c r="AA138" s="172"/>
      <c r="AB138" s="172"/>
      <c r="AC138" s="172"/>
      <c r="AD138" s="172"/>
      <c r="AE138" s="172"/>
      <c r="AF138" s="172"/>
      <c r="AG138" s="172"/>
      <c r="AH138" s="172"/>
      <c r="AI138" s="172"/>
      <c r="AJ138" s="172"/>
    </row>
    <row r="139" spans="9:36" s="222" customFormat="1">
      <c r="I139" s="172"/>
      <c r="J139" s="172"/>
      <c r="K139" s="172"/>
      <c r="L139" s="172"/>
      <c r="M139" s="172"/>
      <c r="N139" s="172"/>
      <c r="O139" s="172"/>
      <c r="P139" s="172"/>
      <c r="Q139" s="172"/>
      <c r="R139" s="172"/>
      <c r="S139" s="172"/>
      <c r="T139" s="172"/>
      <c r="U139" s="172"/>
      <c r="V139" s="172"/>
      <c r="W139" s="172"/>
      <c r="X139" s="172"/>
      <c r="Y139" s="172"/>
      <c r="Z139" s="172"/>
      <c r="AA139" s="172"/>
      <c r="AB139" s="172"/>
      <c r="AC139" s="172"/>
      <c r="AD139" s="172"/>
      <c r="AE139" s="172"/>
      <c r="AF139" s="172"/>
      <c r="AG139" s="172"/>
      <c r="AH139" s="172"/>
      <c r="AI139" s="172"/>
      <c r="AJ139" s="172"/>
    </row>
    <row r="140" spans="9:36" s="222" customFormat="1">
      <c r="I140" s="172"/>
      <c r="J140" s="172"/>
      <c r="K140" s="172"/>
      <c r="L140" s="172"/>
      <c r="M140" s="172"/>
      <c r="N140" s="172"/>
      <c r="O140" s="172"/>
      <c r="P140" s="172"/>
      <c r="Q140" s="172"/>
      <c r="R140" s="172"/>
      <c r="S140" s="172"/>
      <c r="T140" s="172"/>
      <c r="U140" s="172"/>
      <c r="V140" s="172"/>
      <c r="W140" s="172"/>
      <c r="X140" s="172"/>
      <c r="Y140" s="172"/>
      <c r="Z140" s="172"/>
      <c r="AA140" s="172"/>
      <c r="AB140" s="172"/>
      <c r="AC140" s="172"/>
      <c r="AD140" s="172"/>
      <c r="AE140" s="172"/>
      <c r="AF140" s="172"/>
      <c r="AG140" s="172"/>
      <c r="AH140" s="172"/>
      <c r="AI140" s="172"/>
      <c r="AJ140" s="172"/>
    </row>
    <row r="141" spans="9:36" s="222" customFormat="1">
      <c r="I141" s="172"/>
      <c r="J141" s="172"/>
      <c r="K141" s="172"/>
      <c r="L141" s="172"/>
      <c r="M141" s="172"/>
      <c r="N141" s="172"/>
      <c r="O141" s="172"/>
      <c r="P141" s="172"/>
      <c r="Q141" s="172"/>
      <c r="R141" s="172"/>
      <c r="S141" s="172"/>
      <c r="T141" s="172"/>
      <c r="U141" s="172"/>
      <c r="V141" s="172"/>
      <c r="W141" s="172"/>
      <c r="X141" s="172"/>
      <c r="Y141" s="172"/>
      <c r="Z141" s="172"/>
      <c r="AA141" s="172"/>
      <c r="AB141" s="172"/>
      <c r="AC141" s="172"/>
      <c r="AD141" s="172"/>
      <c r="AE141" s="172"/>
      <c r="AF141" s="172"/>
      <c r="AG141" s="172"/>
      <c r="AH141" s="172"/>
      <c r="AI141" s="172"/>
      <c r="AJ141" s="172"/>
    </row>
    <row r="142" spans="9:36" s="222" customFormat="1">
      <c r="I142" s="172"/>
      <c r="J142" s="172"/>
      <c r="K142" s="172"/>
      <c r="L142" s="172"/>
      <c r="M142" s="172"/>
      <c r="N142" s="172"/>
      <c r="O142" s="172"/>
      <c r="P142" s="172"/>
      <c r="Q142" s="172"/>
      <c r="R142" s="172"/>
      <c r="S142" s="172"/>
      <c r="T142" s="172"/>
      <c r="U142" s="172"/>
      <c r="V142" s="172"/>
      <c r="W142" s="172"/>
      <c r="X142" s="172"/>
      <c r="Y142" s="172"/>
      <c r="Z142" s="172"/>
      <c r="AA142" s="172"/>
      <c r="AB142" s="172"/>
      <c r="AC142" s="172"/>
      <c r="AD142" s="172"/>
      <c r="AE142" s="172"/>
      <c r="AF142" s="172"/>
      <c r="AG142" s="172"/>
      <c r="AH142" s="172"/>
      <c r="AI142" s="172"/>
      <c r="AJ142" s="172"/>
    </row>
    <row r="143" spans="9:36" s="222" customFormat="1">
      <c r="I143" s="172"/>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c r="AI143" s="172"/>
      <c r="AJ143" s="172"/>
    </row>
    <row r="144" spans="9:36" s="222" customFormat="1">
      <c r="I144" s="172"/>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c r="AF144" s="172"/>
      <c r="AG144" s="172"/>
      <c r="AH144" s="172"/>
      <c r="AI144" s="172"/>
      <c r="AJ144" s="172"/>
    </row>
    <row r="145" spans="9:36" s="222" customFormat="1">
      <c r="I145" s="172"/>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c r="AJ145" s="172"/>
    </row>
    <row r="146" spans="9:36" s="222" customFormat="1">
      <c r="I146" s="172"/>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c r="AI146" s="172"/>
      <c r="AJ146" s="172"/>
    </row>
    <row r="147" spans="9:36" s="222" customFormat="1">
      <c r="I147" s="172"/>
      <c r="J147" s="172"/>
      <c r="K147" s="172"/>
      <c r="L147" s="172"/>
      <c r="M147" s="172"/>
      <c r="N147" s="172"/>
      <c r="O147" s="172"/>
      <c r="P147" s="172"/>
      <c r="Q147" s="172"/>
      <c r="R147" s="172"/>
      <c r="S147" s="172"/>
      <c r="T147" s="172"/>
      <c r="U147" s="172"/>
      <c r="V147" s="172"/>
      <c r="W147" s="172"/>
      <c r="X147" s="172"/>
      <c r="Y147" s="172"/>
      <c r="Z147" s="172"/>
      <c r="AA147" s="172"/>
      <c r="AB147" s="172"/>
      <c r="AC147" s="172"/>
      <c r="AD147" s="172"/>
      <c r="AE147" s="172"/>
      <c r="AF147" s="172"/>
      <c r="AG147" s="172"/>
      <c r="AH147" s="172"/>
      <c r="AI147" s="172"/>
      <c r="AJ147" s="172"/>
    </row>
    <row r="148" spans="9:36" s="222" customFormat="1">
      <c r="I148" s="172"/>
      <c r="J148" s="172"/>
      <c r="K148" s="172"/>
      <c r="L148" s="172"/>
      <c r="M148" s="172"/>
      <c r="N148" s="172"/>
      <c r="O148" s="172"/>
      <c r="P148" s="172"/>
      <c r="Q148" s="172"/>
      <c r="R148" s="172"/>
      <c r="S148" s="172"/>
      <c r="T148" s="172"/>
      <c r="U148" s="172"/>
      <c r="V148" s="172"/>
      <c r="W148" s="172"/>
      <c r="X148" s="172"/>
      <c r="Y148" s="172"/>
      <c r="Z148" s="172"/>
      <c r="AA148" s="172"/>
      <c r="AB148" s="172"/>
      <c r="AC148" s="172"/>
      <c r="AD148" s="172"/>
      <c r="AE148" s="172"/>
      <c r="AF148" s="172"/>
      <c r="AG148" s="172"/>
      <c r="AH148" s="172"/>
      <c r="AI148" s="172"/>
      <c r="AJ148" s="172"/>
    </row>
    <row r="149" spans="9:36" s="222" customFormat="1">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J149" s="172"/>
    </row>
    <row r="150" spans="9:36" s="222" customFormat="1">
      <c r="I150" s="172"/>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c r="AJ150" s="172"/>
    </row>
    <row r="151" spans="9:36" s="222" customFormat="1">
      <c r="I151" s="172"/>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c r="AJ151" s="172"/>
    </row>
    <row r="152" spans="9:36" s="222" customFormat="1">
      <c r="I152" s="172"/>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c r="AJ152" s="172"/>
    </row>
    <row r="153" spans="9:36" s="222" customFormat="1">
      <c r="I153" s="172"/>
      <c r="J153" s="172"/>
      <c r="K153" s="172"/>
      <c r="L153" s="172"/>
      <c r="M153" s="172"/>
      <c r="N153" s="172"/>
      <c r="O153" s="172"/>
      <c r="P153" s="172"/>
      <c r="Q153" s="172"/>
      <c r="R153" s="172"/>
      <c r="S153" s="172"/>
      <c r="T153" s="172"/>
      <c r="U153" s="172"/>
      <c r="V153" s="172"/>
      <c r="W153" s="172"/>
      <c r="X153" s="172"/>
      <c r="Y153" s="172"/>
      <c r="Z153" s="172"/>
      <c r="AA153" s="172"/>
      <c r="AB153" s="172"/>
      <c r="AC153" s="172"/>
      <c r="AD153" s="172"/>
      <c r="AE153" s="172"/>
      <c r="AF153" s="172"/>
      <c r="AG153" s="172"/>
      <c r="AH153" s="172"/>
      <c r="AI153" s="172"/>
      <c r="AJ153" s="172"/>
    </row>
    <row r="154" spans="9:36" s="222" customFormat="1">
      <c r="I154" s="172"/>
      <c r="J154" s="172"/>
      <c r="K154" s="172"/>
      <c r="L154" s="172"/>
      <c r="M154" s="172"/>
      <c r="N154" s="172"/>
      <c r="O154" s="172"/>
      <c r="P154" s="172"/>
      <c r="Q154" s="172"/>
      <c r="R154" s="172"/>
      <c r="S154" s="172"/>
      <c r="T154" s="172"/>
      <c r="U154" s="172"/>
      <c r="V154" s="172"/>
      <c r="W154" s="172"/>
      <c r="X154" s="172"/>
      <c r="Y154" s="172"/>
      <c r="Z154" s="172"/>
      <c r="AA154" s="172"/>
      <c r="AB154" s="172"/>
      <c r="AC154" s="172"/>
      <c r="AD154" s="172"/>
      <c r="AE154" s="172"/>
      <c r="AF154" s="172"/>
      <c r="AG154" s="172"/>
      <c r="AH154" s="172"/>
      <c r="AI154" s="172"/>
      <c r="AJ154" s="172"/>
    </row>
    <row r="155" spans="9:36" s="222" customFormat="1">
      <c r="I155" s="172"/>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c r="AI155" s="172"/>
      <c r="AJ155" s="172"/>
    </row>
    <row r="156" spans="9:36" s="222" customFormat="1">
      <c r="I156" s="172"/>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c r="AF156" s="172"/>
      <c r="AG156" s="172"/>
      <c r="AH156" s="172"/>
      <c r="AI156" s="172"/>
      <c r="AJ156" s="172"/>
    </row>
    <row r="157" spans="9:36" s="222" customFormat="1">
      <c r="I157" s="172"/>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c r="AJ157" s="172"/>
    </row>
  </sheetData>
  <sheetProtection password="BC24" sheet="1" objects="1" scenarios="1"/>
  <mergeCells count="24">
    <mergeCell ref="C35:H35"/>
    <mergeCell ref="C22:D22"/>
    <mergeCell ref="C23:D23"/>
    <mergeCell ref="C24:D24"/>
    <mergeCell ref="C25:D25"/>
    <mergeCell ref="C26:D26"/>
    <mergeCell ref="C27:D27"/>
    <mergeCell ref="C28:D28"/>
    <mergeCell ref="C30:G30"/>
    <mergeCell ref="C31:G31"/>
    <mergeCell ref="C32:H32"/>
    <mergeCell ref="C33:H33"/>
    <mergeCell ref="C21:D21"/>
    <mergeCell ref="A1:H1"/>
    <mergeCell ref="A3:H3"/>
    <mergeCell ref="A5:C5"/>
    <mergeCell ref="A6:C6"/>
    <mergeCell ref="A7:C7"/>
    <mergeCell ref="A8:C8"/>
    <mergeCell ref="A9:C9"/>
    <mergeCell ref="A10:C10"/>
    <mergeCell ref="A11:C11"/>
    <mergeCell ref="A12:C12"/>
    <mergeCell ref="B20:D20"/>
  </mergeCells>
  <pageMargins left="0" right="0" top="0" bottom="0" header="0" footer="0"/>
  <pageSetup scale="88" orientation="portrait" horizontalDpi="1200" verticalDpi="1200" r:id="rId1"/>
  <headerFooter>
    <oddHeader>&amp;RPage 1 of 6</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dimension ref="A1:AC57"/>
  <sheetViews>
    <sheetView workbookViewId="0">
      <selection activeCell="F14" sqref="F14"/>
    </sheetView>
  </sheetViews>
  <sheetFormatPr defaultRowHeight="13.15"/>
  <cols>
    <col min="1" max="5" width="3.28515625" customWidth="1"/>
    <col min="6" max="6" width="8.140625" customWidth="1"/>
    <col min="7" max="7" width="3.28515625" customWidth="1"/>
    <col min="8" max="8" width="3.5703125" bestFit="1" customWidth="1"/>
    <col min="9" max="30" width="3.28515625" customWidth="1"/>
  </cols>
  <sheetData>
    <row r="1" spans="1:29">
      <c r="A1" s="528" t="s">
        <v>491</v>
      </c>
      <c r="B1" s="528"/>
      <c r="C1" s="528"/>
      <c r="D1" s="528"/>
      <c r="E1" s="528"/>
      <c r="F1" s="528"/>
      <c r="G1" s="528"/>
      <c r="H1" s="528"/>
      <c r="I1" s="528"/>
      <c r="J1" s="528"/>
      <c r="K1" s="528"/>
      <c r="L1" s="528"/>
      <c r="M1" s="528"/>
      <c r="N1" s="528"/>
      <c r="O1" s="528"/>
      <c r="P1" s="528"/>
      <c r="Q1" s="528"/>
      <c r="R1" s="528"/>
      <c r="S1" s="528"/>
      <c r="T1" s="528"/>
      <c r="U1" s="528"/>
      <c r="V1" s="528"/>
      <c r="W1" s="528"/>
      <c r="X1" s="528"/>
      <c r="Y1" s="528"/>
      <c r="Z1" s="528"/>
      <c r="AA1" s="528"/>
      <c r="AB1" s="528"/>
      <c r="AC1" s="528"/>
    </row>
    <row r="3" spans="1:29">
      <c r="A3" s="643">
        <f>'MIX DESIGN'!E26</f>
        <v>0</v>
      </c>
      <c r="B3" s="643"/>
      <c r="C3" t="s">
        <v>492</v>
      </c>
      <c r="J3">
        <f>IF(A3=0,0,1)</f>
        <v>0</v>
      </c>
    </row>
    <row r="4" spans="1:29">
      <c r="A4" s="643">
        <f>'MIX DESIGN'!E27</f>
        <v>0</v>
      </c>
      <c r="B4" s="643"/>
      <c r="C4" t="s">
        <v>493</v>
      </c>
      <c r="J4">
        <f>IF(A4=0,0,1)</f>
        <v>0</v>
      </c>
    </row>
    <row r="5" spans="1:29">
      <c r="A5" s="643">
        <f>'MIX DESIGN'!E28</f>
        <v>0</v>
      </c>
      <c r="B5" s="643"/>
      <c r="C5" t="s">
        <v>494</v>
      </c>
      <c r="J5">
        <f>IF(A5=0,0,1)</f>
        <v>0</v>
      </c>
    </row>
    <row r="6" spans="1:29">
      <c r="A6" s="643">
        <f>'MIX DESIGN'!E29</f>
        <v>0</v>
      </c>
      <c r="B6" s="643"/>
      <c r="C6" t="s">
        <v>495</v>
      </c>
      <c r="J6">
        <f>IF(A6=0,0,1)</f>
        <v>0</v>
      </c>
    </row>
    <row r="7" spans="1:29">
      <c r="J7">
        <f>SUM(J3:J6)</f>
        <v>0</v>
      </c>
    </row>
    <row r="8" spans="1:29">
      <c r="A8" s="4" t="s">
        <v>496</v>
      </c>
      <c r="G8" s="735" t="b">
        <f>OR('MIX DESIGN'!V7="501 QC/QA PCCP",'MIX DESIGN'!V7=730)</f>
        <v>0</v>
      </c>
      <c r="H8" s="735"/>
      <c r="I8" s="735"/>
    </row>
    <row r="9" spans="1:29">
      <c r="A9" s="991" t="s">
        <v>497</v>
      </c>
      <c r="B9" s="991"/>
      <c r="C9" s="991"/>
      <c r="D9" s="991"/>
      <c r="E9" s="991"/>
      <c r="F9" s="991"/>
      <c r="G9" s="528" t="b">
        <f>IF(AND(G8=TRUE,'MIX DESIGN'!E27&gt;0),TRUE,FALSE)</f>
        <v>0</v>
      </c>
      <c r="H9" s="528"/>
      <c r="I9" s="528"/>
    </row>
    <row r="10" spans="1:29">
      <c r="A10" s="991" t="s">
        <v>498</v>
      </c>
      <c r="B10" s="991"/>
      <c r="C10" s="991"/>
      <c r="D10" s="991"/>
      <c r="E10" s="991"/>
      <c r="F10" s="991"/>
      <c r="G10" s="528" t="b">
        <f>IF(AND(G8=TRUE,'MIX DESIGN'!E28&gt;0),TRUE,FALSE)</f>
        <v>0</v>
      </c>
      <c r="H10" s="528"/>
      <c r="I10" s="528"/>
    </row>
    <row r="11" spans="1:29">
      <c r="A11" s="991" t="s">
        <v>499</v>
      </c>
      <c r="B11" s="991"/>
      <c r="C11" s="991"/>
      <c r="D11" s="991"/>
      <c r="E11" s="991"/>
      <c r="F11" s="991"/>
      <c r="G11" s="528" t="str">
        <f>IF(G9=TRUE,'MIX DESIGN'!E26/'MIX DESIGN'!E27,"NA")</f>
        <v>NA</v>
      </c>
      <c r="H11" s="528"/>
      <c r="I11" s="528"/>
    </row>
    <row r="12" spans="1:29">
      <c r="A12" s="991" t="s">
        <v>500</v>
      </c>
      <c r="B12" s="991"/>
      <c r="C12" s="991"/>
      <c r="D12" s="991"/>
      <c r="E12" s="991"/>
      <c r="F12" s="991"/>
      <c r="G12" s="528" t="str">
        <f>IF(G10=TRUE,'MIX DESIGN'!E26/'MIX DESIGN'!E28,"NA")</f>
        <v>NA</v>
      </c>
      <c r="H12" s="528"/>
      <c r="I12" s="528"/>
    </row>
    <row r="13" spans="1:29">
      <c r="A13" s="991" t="s">
        <v>501</v>
      </c>
      <c r="B13" s="991"/>
      <c r="C13" s="991"/>
      <c r="D13" s="991"/>
      <c r="E13" s="991"/>
      <c r="F13" s="991"/>
      <c r="G13" s="528" t="b">
        <f>IF(AND('MIX DESIGN'!V7="SP 730",'MIX DESIGN'!E29&gt;0),TRUE,FALSE)</f>
        <v>0</v>
      </c>
      <c r="H13" s="528"/>
      <c r="I13" s="528"/>
    </row>
    <row r="14" spans="1:29">
      <c r="A14" s="991" t="s">
        <v>502</v>
      </c>
      <c r="B14" s="991"/>
      <c r="C14" s="991"/>
      <c r="D14" s="991"/>
      <c r="E14" s="991"/>
      <c r="F14" s="991"/>
      <c r="G14" s="528">
        <f>IF(G13=TRUE,'MIX DESIGN'!E29*100/('MIX DESIGN'!E26+'MIX DESIGN'!E27+'MIX DESIGN'!E28+'MIX DESIGN'!E29),0)</f>
        <v>0</v>
      </c>
      <c r="H14" s="528"/>
      <c r="I14" s="528"/>
    </row>
    <row r="16" spans="1:29">
      <c r="A16" s="993" t="s">
        <v>503</v>
      </c>
      <c r="B16" s="992"/>
      <c r="C16" s="992"/>
      <c r="D16" s="992"/>
      <c r="E16" s="992"/>
      <c r="F16" s="992"/>
      <c r="O16" s="4"/>
      <c r="P16" s="4"/>
      <c r="Q16" s="4"/>
    </row>
    <row r="17" spans="1:9">
      <c r="A17" s="993" t="s">
        <v>504</v>
      </c>
      <c r="B17" s="992"/>
      <c r="C17" s="992"/>
      <c r="D17" s="992"/>
      <c r="E17" s="992"/>
      <c r="F17" s="992"/>
      <c r="G17" s="735" t="b">
        <f>OR('MIX DESIGN'!V7="502 Standard Strength",'MIX DESIGN'!V7="706 Moment Slab")</f>
        <v>0</v>
      </c>
      <c r="H17" s="735"/>
      <c r="I17" s="735"/>
    </row>
    <row r="18" spans="1:9">
      <c r="A18" s="991" t="s">
        <v>505</v>
      </c>
      <c r="B18" s="991"/>
      <c r="C18" s="991"/>
      <c r="D18" s="991"/>
      <c r="E18" s="991"/>
      <c r="F18" s="991"/>
      <c r="G18" s="528">
        <f>IF(AND(G17=TRUE,OR(G19=TRUE,G21=TRUE)),(564-'MIX DESIGN'!E26)*100/564,0)</f>
        <v>0</v>
      </c>
      <c r="H18" s="528"/>
      <c r="I18" s="528"/>
    </row>
    <row r="19" spans="1:9">
      <c r="A19" s="991" t="s">
        <v>497</v>
      </c>
      <c r="B19" s="991"/>
      <c r="C19" s="991"/>
      <c r="D19" s="991"/>
      <c r="E19" s="991"/>
      <c r="F19" s="991"/>
      <c r="G19" s="528" t="b">
        <f>AND(G17=TRUE,'MIX DESIGN'!E27&gt;0)</f>
        <v>0</v>
      </c>
      <c r="H19" s="528"/>
      <c r="I19" s="528"/>
    </row>
    <row r="20" spans="1:9">
      <c r="A20" s="991" t="s">
        <v>506</v>
      </c>
      <c r="B20" s="991"/>
      <c r="C20" s="991"/>
      <c r="D20" s="991"/>
      <c r="E20" s="991"/>
      <c r="F20" s="991"/>
      <c r="G20" s="528">
        <f>IF(G19=TRUE,'MIX DESIGN'!E27/(564-'MIX DESIGN'!E26),0)</f>
        <v>0</v>
      </c>
      <c r="H20" s="528"/>
      <c r="I20" s="528"/>
    </row>
    <row r="21" spans="1:9">
      <c r="A21" s="991" t="s">
        <v>498</v>
      </c>
      <c r="B21" s="991"/>
      <c r="C21" s="991"/>
      <c r="D21" s="991"/>
      <c r="E21" s="991"/>
      <c r="F21" s="991"/>
      <c r="G21" s="528" t="b">
        <f>AND(G17=TRUE,'MIX DESIGN'!E28&gt;0)</f>
        <v>0</v>
      </c>
      <c r="H21" s="528"/>
      <c r="I21" s="528"/>
    </row>
    <row r="22" spans="1:9">
      <c r="A22" s="991" t="s">
        <v>507</v>
      </c>
      <c r="B22" s="991"/>
      <c r="C22" s="991"/>
      <c r="D22" s="991"/>
      <c r="E22" s="991"/>
      <c r="F22" s="991"/>
      <c r="G22" s="528">
        <f>IF(G21=TRUE,'MIX DESIGN'!E28/(564-'MIX DESIGN'!E26),0)</f>
        <v>0</v>
      </c>
      <c r="H22" s="528"/>
      <c r="I22" s="528"/>
    </row>
    <row r="24" spans="1:9">
      <c r="A24" s="735" t="s">
        <v>508</v>
      </c>
      <c r="B24" s="735"/>
      <c r="C24" s="735"/>
      <c r="D24" s="735"/>
      <c r="E24" s="735"/>
      <c r="F24" s="735"/>
      <c r="G24" s="735" t="b">
        <f>IF('MIX DESIGN'!V7="502 High-Early Strength",TRUE,FALSE)</f>
        <v>0</v>
      </c>
      <c r="H24" s="735"/>
      <c r="I24" s="735"/>
    </row>
    <row r="25" spans="1:9">
      <c r="A25" s="991" t="s">
        <v>509</v>
      </c>
      <c r="B25" s="991"/>
      <c r="C25" s="991"/>
      <c r="D25" s="991"/>
      <c r="E25" s="991"/>
      <c r="F25" s="991"/>
      <c r="G25" s="528">
        <f>IF(G24=TRUE,'MIX DESIGN'!E27*100/'MIX DESIGN'!E26,0)</f>
        <v>0</v>
      </c>
      <c r="H25" s="528"/>
      <c r="I25" s="528"/>
    </row>
    <row r="26" spans="1:9">
      <c r="A26" s="991" t="s">
        <v>510</v>
      </c>
      <c r="B26" s="991"/>
      <c r="C26" s="991"/>
      <c r="D26" s="991"/>
      <c r="E26" s="991"/>
      <c r="F26" s="991"/>
      <c r="G26" s="528">
        <f>IF(G24=TRUE,'MIX DESIGN'!E28*100/'MIX DESIGN'!E26,0)</f>
        <v>0</v>
      </c>
      <c r="H26" s="528"/>
      <c r="I26" s="528"/>
    </row>
    <row r="27" spans="1:9">
      <c r="A27" s="338"/>
      <c r="B27" s="338"/>
      <c r="C27" s="338"/>
      <c r="D27" s="338"/>
      <c r="E27" s="338"/>
      <c r="F27" s="338"/>
      <c r="G27" s="296"/>
      <c r="H27" s="296"/>
      <c r="I27" s="296"/>
    </row>
    <row r="28" spans="1:9">
      <c r="A28" s="992" t="s">
        <v>511</v>
      </c>
      <c r="B28" s="991"/>
      <c r="C28" s="991"/>
      <c r="D28" s="991"/>
      <c r="E28" s="991"/>
      <c r="F28" s="991"/>
    </row>
    <row r="29" spans="1:9">
      <c r="A29" s="992" t="s">
        <v>512</v>
      </c>
      <c r="B29" s="991"/>
      <c r="C29" s="991"/>
      <c r="D29" s="991"/>
      <c r="E29" s="991"/>
      <c r="F29" s="991"/>
      <c r="G29" s="735" t="b">
        <f>IF(OR('MIX DESIGN'!V7="702 Class B non-exp",'MIX DESIGN'!V7="723 Cl B",'MIX DESIGN'!V7="735 Cl B"),TRUE,FALSE)</f>
        <v>0</v>
      </c>
      <c r="H29" s="735"/>
      <c r="I29" s="735"/>
    </row>
    <row r="30" spans="1:9">
      <c r="A30" s="991" t="s">
        <v>505</v>
      </c>
      <c r="B30" s="991"/>
      <c r="C30" s="991"/>
      <c r="D30" s="991"/>
      <c r="E30" s="991"/>
      <c r="F30" s="991"/>
      <c r="G30" s="528">
        <f>IF(AND(G29=TRUE,OR(G31=TRUE,G33=TRUE)),(470-'MIX DESIGN'!E26)*100/470,0)</f>
        <v>0</v>
      </c>
      <c r="H30" s="528"/>
      <c r="I30" s="528"/>
    </row>
    <row r="31" spans="1:9">
      <c r="A31" s="991" t="s">
        <v>497</v>
      </c>
      <c r="B31" s="991"/>
      <c r="C31" s="991"/>
      <c r="D31" s="991"/>
      <c r="E31" s="991"/>
      <c r="F31" s="991"/>
      <c r="G31" s="528" t="b">
        <f>AND(G29=TRUE,'MIX DESIGN'!E27&gt;0)</f>
        <v>0</v>
      </c>
      <c r="H31" s="528"/>
      <c r="I31" s="528"/>
    </row>
    <row r="32" spans="1:9">
      <c r="A32" s="991" t="s">
        <v>513</v>
      </c>
      <c r="B32" s="991"/>
      <c r="C32" s="991"/>
      <c r="D32" s="991"/>
      <c r="E32" s="991"/>
      <c r="F32" s="991"/>
      <c r="G32" s="528">
        <f>IF(G31=TRUE,'MIX DESIGN'!E27/(470-'MIX DESIGN'!E26),0)</f>
        <v>0</v>
      </c>
      <c r="H32" s="528"/>
      <c r="I32" s="528"/>
    </row>
    <row r="33" spans="1:9">
      <c r="A33" s="991" t="s">
        <v>498</v>
      </c>
      <c r="B33" s="991"/>
      <c r="C33" s="991"/>
      <c r="D33" s="991"/>
      <c r="E33" s="991"/>
      <c r="F33" s="991"/>
      <c r="G33" s="528" t="b">
        <f>AND(G29=TRUE,'MIX DESIGN'!E28&gt;0)</f>
        <v>0</v>
      </c>
      <c r="H33" s="528"/>
      <c r="I33" s="528"/>
    </row>
    <row r="34" spans="1:9">
      <c r="A34" s="991" t="s">
        <v>514</v>
      </c>
      <c r="B34" s="991"/>
      <c r="C34" s="991"/>
      <c r="D34" s="991"/>
      <c r="E34" s="991"/>
      <c r="F34" s="991"/>
      <c r="G34" s="990">
        <f>IF(G33=TRUE,'MIX DESIGN'!E28/(470-'MIX DESIGN'!E26),0)</f>
        <v>0</v>
      </c>
      <c r="H34" s="990"/>
      <c r="I34" s="990"/>
    </row>
    <row r="36" spans="1:9">
      <c r="A36" s="735" t="s">
        <v>515</v>
      </c>
      <c r="B36" s="735"/>
      <c r="C36" s="735"/>
      <c r="D36" s="735"/>
      <c r="E36" s="735"/>
      <c r="F36" s="735"/>
      <c r="G36" s="735" t="b">
        <f>IF(OR('MIX DESIGN'!V7="702 Class C exp",'MIX DESIGN'!V7="702 Class C non-exp"),TRUE,FALSE)</f>
        <v>0</v>
      </c>
      <c r="H36" s="735"/>
      <c r="I36" s="735"/>
    </row>
    <row r="37" spans="1:9">
      <c r="A37" s="991" t="s">
        <v>505</v>
      </c>
      <c r="B37" s="991"/>
      <c r="C37" s="991"/>
      <c r="D37" s="991"/>
      <c r="E37" s="991"/>
      <c r="F37" s="991"/>
      <c r="G37" s="528">
        <f>IF(AND(G36=TRUE,OR(G38=TRUE,G40=TRUE)),(658-'MIX DESIGN'!E26)*100/658,0)</f>
        <v>0</v>
      </c>
      <c r="H37" s="528"/>
      <c r="I37" s="528"/>
    </row>
    <row r="38" spans="1:9">
      <c r="A38" s="991" t="s">
        <v>497</v>
      </c>
      <c r="B38" s="991"/>
      <c r="C38" s="991"/>
      <c r="D38" s="991"/>
      <c r="E38" s="991"/>
      <c r="F38" s="991"/>
      <c r="G38" s="528" t="b">
        <f>AND(G36=TRUE,'MIX DESIGN'!E27&gt;0)</f>
        <v>0</v>
      </c>
      <c r="H38" s="528"/>
      <c r="I38" s="528"/>
    </row>
    <row r="39" spans="1:9">
      <c r="A39" s="991" t="s">
        <v>506</v>
      </c>
      <c r="B39" s="991"/>
      <c r="C39" s="991"/>
      <c r="D39" s="991"/>
      <c r="E39" s="991"/>
      <c r="F39" s="991"/>
      <c r="G39" s="528">
        <f>IF(G38=TRUE,'MIX DESIGN'!E27/(658-'MIX DESIGN'!E26),0)</f>
        <v>0</v>
      </c>
      <c r="H39" s="528"/>
      <c r="I39" s="528"/>
    </row>
    <row r="40" spans="1:9">
      <c r="A40" s="991" t="s">
        <v>516</v>
      </c>
      <c r="B40" s="991"/>
      <c r="C40" s="991"/>
      <c r="D40" s="991"/>
      <c r="E40" s="991"/>
      <c r="F40" s="991"/>
      <c r="G40" s="528" t="b">
        <f>AND(G36=TRUE,'MIX DESIGN'!E28&gt;0)</f>
        <v>0</v>
      </c>
      <c r="H40" s="528"/>
      <c r="I40" s="528"/>
    </row>
    <row r="41" spans="1:9">
      <c r="A41" s="991" t="s">
        <v>517</v>
      </c>
      <c r="B41" s="991"/>
      <c r="C41" s="991"/>
      <c r="D41" s="991"/>
      <c r="E41" s="991"/>
      <c r="F41" s="991"/>
      <c r="G41" s="528">
        <f>IF(G40=TRUE,'MIX DESIGN'!E28/(658-'MIX DESIGN'!E26),0)</f>
        <v>0</v>
      </c>
      <c r="H41" s="528"/>
      <c r="I41" s="528"/>
    </row>
    <row r="43" spans="1:9">
      <c r="A43" s="992" t="s">
        <v>518</v>
      </c>
      <c r="B43" s="992"/>
      <c r="C43" s="992"/>
      <c r="D43" s="992"/>
      <c r="E43" s="992"/>
      <c r="F43" s="992"/>
    </row>
    <row r="44" spans="1:9">
      <c r="A44" s="992" t="s">
        <v>519</v>
      </c>
      <c r="B44" s="992"/>
      <c r="C44" s="992"/>
      <c r="D44" s="992"/>
      <c r="E44" s="992"/>
      <c r="F44" s="992"/>
      <c r="G44" s="735" t="b">
        <f>IF(OR('MIX DESIGN'!V7="709 Class A",'MIX DESIGN'!V7="709 Class C"),TRUE,FALSE)</f>
        <v>0</v>
      </c>
      <c r="H44" s="735"/>
      <c r="I44" s="735"/>
    </row>
    <row r="45" spans="1:9">
      <c r="A45" s="991" t="s">
        <v>501</v>
      </c>
      <c r="B45" s="991"/>
      <c r="C45" s="991"/>
      <c r="D45" s="991"/>
      <c r="E45" s="991"/>
      <c r="F45" s="991"/>
      <c r="G45" s="528" t="b">
        <v>1</v>
      </c>
      <c r="H45" s="528"/>
      <c r="I45" s="528"/>
    </row>
    <row r="46" spans="1:9">
      <c r="A46" s="991" t="s">
        <v>502</v>
      </c>
      <c r="B46" s="991"/>
      <c r="C46" s="991"/>
      <c r="D46" s="991"/>
      <c r="E46" s="991"/>
      <c r="F46" s="991"/>
      <c r="G46" s="528" t="e">
        <f>IF(G45=TRUE,'MIX DESIGN'!E29*100/('MIX DESIGN'!E26+'MIX DESIGN'!E27+'MIX DESIGN'!E28+'MIX DESIGN'!E29),0)</f>
        <v>#DIV/0!</v>
      </c>
      <c r="H46" s="528"/>
      <c r="I46" s="528"/>
    </row>
    <row r="47" spans="1:9">
      <c r="A47" s="991" t="s">
        <v>516</v>
      </c>
      <c r="B47" s="991"/>
      <c r="C47" s="991"/>
      <c r="D47" s="991"/>
      <c r="E47" s="991"/>
      <c r="F47" s="991"/>
      <c r="G47" s="528" t="b">
        <f>IF(AND(G44=TRUE,'MIX DESIGN'!E28&gt;0),TRUE,FALSE)</f>
        <v>0</v>
      </c>
      <c r="H47" s="528"/>
      <c r="I47" s="528"/>
    </row>
    <row r="48" spans="1:9">
      <c r="A48" s="991" t="s">
        <v>520</v>
      </c>
      <c r="B48" s="991"/>
      <c r="C48" s="991"/>
      <c r="D48" s="991"/>
      <c r="E48" s="991"/>
      <c r="F48" s="991"/>
      <c r="G48" s="990">
        <f>IF(G47=TRUE,'MIX DESIGN'!E28*100/'MIX DESIGN'!E26+'MIX DESIGN'!E27,0)</f>
        <v>0</v>
      </c>
      <c r="H48" s="990"/>
      <c r="I48" s="990"/>
    </row>
    <row r="50" spans="1:12">
      <c r="A50" s="735" t="s">
        <v>521</v>
      </c>
      <c r="B50" s="735"/>
      <c r="C50" s="735"/>
      <c r="D50" s="735"/>
      <c r="E50" s="735"/>
      <c r="F50" s="735"/>
      <c r="G50" s="735" t="b">
        <f>FALSE</f>
        <v>0</v>
      </c>
      <c r="H50" s="735"/>
      <c r="I50" s="735"/>
    </row>
    <row r="51" spans="1:12">
      <c r="A51" s="528" t="s">
        <v>497</v>
      </c>
      <c r="B51" s="528"/>
      <c r="C51" s="528"/>
      <c r="D51" s="528"/>
      <c r="E51" s="528"/>
      <c r="F51" s="528"/>
      <c r="G51" s="528" t="b">
        <f>AND(G50=TRUE,'MIX DESIGN'!E27&gt;0)</f>
        <v>0</v>
      </c>
      <c r="H51" s="528"/>
      <c r="I51" s="528"/>
    </row>
    <row r="52" spans="1:12">
      <c r="A52" s="528" t="s">
        <v>522</v>
      </c>
      <c r="B52" s="528"/>
      <c r="C52" s="528"/>
      <c r="D52" s="528"/>
      <c r="E52" s="528"/>
      <c r="F52" s="528"/>
      <c r="G52" s="643">
        <f>IF(AND(G50=TRUE,G51=TRUE),(658-'MIX DESIGN'!E26)*100/658,0)</f>
        <v>0</v>
      </c>
      <c r="H52" s="643"/>
      <c r="I52" s="643"/>
    </row>
    <row r="53" spans="1:12">
      <c r="A53" s="528" t="s">
        <v>506</v>
      </c>
      <c r="B53" s="528"/>
      <c r="C53" s="528"/>
      <c r="D53" s="528"/>
      <c r="E53" s="528"/>
      <c r="F53" s="528"/>
      <c r="G53" s="990">
        <f>IF(G51=TRUE,'MIX DESIGN'!E27/(658-'MIX DESIGN'!E26),0)</f>
        <v>0</v>
      </c>
      <c r="H53" s="990"/>
      <c r="I53" s="990"/>
    </row>
    <row r="55" spans="1:12" ht="13.9">
      <c r="A55" t="s">
        <v>523</v>
      </c>
      <c r="H55" s="19">
        <v>5</v>
      </c>
      <c r="L55" s="5" t="s">
        <v>524</v>
      </c>
    </row>
    <row r="56" spans="1:12">
      <c r="H56" s="19">
        <v>6.5</v>
      </c>
      <c r="L56" s="5"/>
    </row>
    <row r="57" spans="1:12">
      <c r="H57" s="19">
        <v>7</v>
      </c>
    </row>
  </sheetData>
  <sheetProtection selectLockedCells="1" selectUnlockedCells="1"/>
  <mergeCells count="81">
    <mergeCell ref="G8:I8"/>
    <mergeCell ref="A9:F9"/>
    <mergeCell ref="A1:AC1"/>
    <mergeCell ref="A3:B3"/>
    <mergeCell ref="A4:B4"/>
    <mergeCell ref="A5:B5"/>
    <mergeCell ref="A6:B6"/>
    <mergeCell ref="G9:I9"/>
    <mergeCell ref="A13:F13"/>
    <mergeCell ref="A14:F14"/>
    <mergeCell ref="G13:I13"/>
    <mergeCell ref="G14:I14"/>
    <mergeCell ref="A16:F16"/>
    <mergeCell ref="A10:F10"/>
    <mergeCell ref="A12:F12"/>
    <mergeCell ref="A11:F11"/>
    <mergeCell ref="G11:I11"/>
    <mergeCell ref="G12:I12"/>
    <mergeCell ref="G10:I10"/>
    <mergeCell ref="A17:F17"/>
    <mergeCell ref="G17:I17"/>
    <mergeCell ref="A18:F18"/>
    <mergeCell ref="G18:I18"/>
    <mergeCell ref="G21:I21"/>
    <mergeCell ref="A21:F21"/>
    <mergeCell ref="G20:I20"/>
    <mergeCell ref="A19:F19"/>
    <mergeCell ref="A20:F20"/>
    <mergeCell ref="G19:I19"/>
    <mergeCell ref="G22:I22"/>
    <mergeCell ref="A29:F29"/>
    <mergeCell ref="A24:F24"/>
    <mergeCell ref="G24:I24"/>
    <mergeCell ref="A25:F25"/>
    <mergeCell ref="A26:F26"/>
    <mergeCell ref="G25:I25"/>
    <mergeCell ref="G26:I26"/>
    <mergeCell ref="A22:F22"/>
    <mergeCell ref="A28:F28"/>
    <mergeCell ref="A34:F34"/>
    <mergeCell ref="A33:F33"/>
    <mergeCell ref="A32:F32"/>
    <mergeCell ref="G29:I29"/>
    <mergeCell ref="A30:F30"/>
    <mergeCell ref="A31:F31"/>
    <mergeCell ref="G30:I30"/>
    <mergeCell ref="G31:I31"/>
    <mergeCell ref="G32:I32"/>
    <mergeCell ref="G33:I33"/>
    <mergeCell ref="G34:I34"/>
    <mergeCell ref="A43:F43"/>
    <mergeCell ref="A44:F44"/>
    <mergeCell ref="G44:I44"/>
    <mergeCell ref="A36:F36"/>
    <mergeCell ref="G36:I36"/>
    <mergeCell ref="A37:F37"/>
    <mergeCell ref="A38:F38"/>
    <mergeCell ref="A39:F39"/>
    <mergeCell ref="A40:F40"/>
    <mergeCell ref="A41:F41"/>
    <mergeCell ref="G37:I37"/>
    <mergeCell ref="G38:I38"/>
    <mergeCell ref="G39:I39"/>
    <mergeCell ref="G40:I40"/>
    <mergeCell ref="G41:I41"/>
    <mergeCell ref="G45:I45"/>
    <mergeCell ref="G46:I46"/>
    <mergeCell ref="A52:F52"/>
    <mergeCell ref="A45:F45"/>
    <mergeCell ref="A46:F46"/>
    <mergeCell ref="G48:I48"/>
    <mergeCell ref="A53:F53"/>
    <mergeCell ref="G52:I52"/>
    <mergeCell ref="G53:I53"/>
    <mergeCell ref="A47:F47"/>
    <mergeCell ref="A48:F48"/>
    <mergeCell ref="A50:F50"/>
    <mergeCell ref="G50:I50"/>
    <mergeCell ref="A51:F51"/>
    <mergeCell ref="G51:I51"/>
    <mergeCell ref="G47:I47"/>
  </mergeCells>
  <phoneticPr fontId="3" type="noConversion"/>
  <pageMargins left="0.5" right="0.5" top="0.5" bottom="0.5"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H289"/>
  <sheetViews>
    <sheetView topLeftCell="A76" workbookViewId="0">
      <selection activeCell="F14" sqref="F14"/>
    </sheetView>
  </sheetViews>
  <sheetFormatPr defaultColWidth="9.140625" defaultRowHeight="13.15"/>
  <cols>
    <col min="1" max="1" width="74.7109375" customWidth="1"/>
    <col min="2" max="2" width="9.140625" style="121"/>
    <col min="3" max="3" width="6.28515625" style="121" hidden="1" customWidth="1"/>
    <col min="4" max="4" width="6.85546875" style="121" hidden="1" customWidth="1"/>
    <col min="5" max="5" width="36.140625" hidden="1" customWidth="1"/>
    <col min="6" max="6" width="30.28515625" hidden="1" customWidth="1"/>
    <col min="7" max="8" width="6.85546875" hidden="1" customWidth="1"/>
    <col min="9" max="16384" width="9.140625" style="97"/>
  </cols>
  <sheetData>
    <row r="1" spans="1:6" ht="12.75" customHeight="1">
      <c r="A1" t="str">
        <f t="shared" ref="A1:A61" si="0">E1&amp;"  "&amp;C1&amp;"  "&amp;F1&amp;"  "&amp;D1</f>
        <v>AGGREGATE INDUSTRIES  2410  EDWARDSBURG, MI  2410</v>
      </c>
      <c r="B1" s="119" t="s">
        <v>525</v>
      </c>
      <c r="C1" s="115">
        <v>2410</v>
      </c>
      <c r="D1" s="119">
        <v>2410</v>
      </c>
      <c r="E1" s="116" t="s">
        <v>526</v>
      </c>
      <c r="F1" s="116" t="s">
        <v>527</v>
      </c>
    </row>
    <row r="2" spans="1:6" ht="12.75" customHeight="1">
      <c r="A2" t="str">
        <f t="shared" si="0"/>
        <v>AMERICAN AGGREGATES, INC.  2408  NILES, MI  2408</v>
      </c>
      <c r="B2" s="119" t="s">
        <v>528</v>
      </c>
      <c r="C2" s="115">
        <v>2408</v>
      </c>
      <c r="D2" s="119">
        <v>2408</v>
      </c>
      <c r="E2" s="116" t="s">
        <v>529</v>
      </c>
      <c r="F2" s="116" t="s">
        <v>530</v>
      </c>
    </row>
    <row r="3" spans="1:6" ht="12.75" customHeight="1">
      <c r="A3" t="str">
        <f t="shared" si="0"/>
        <v>AMERICAN AGGREGATES, INC.  2973  NILES, MI  2408</v>
      </c>
      <c r="B3" s="119" t="s">
        <v>531</v>
      </c>
      <c r="C3" s="115">
        <v>2973</v>
      </c>
      <c r="D3" s="119">
        <v>2408</v>
      </c>
      <c r="E3" s="116" t="s">
        <v>529</v>
      </c>
      <c r="F3" s="116" t="s">
        <v>530</v>
      </c>
    </row>
    <row r="4" spans="1:6" ht="12.75" customHeight="1">
      <c r="A4" t="str">
        <f t="shared" si="0"/>
        <v>BARRETT PAVING MATERIALS, INC.  2334  RICHMOND, IN.  2334</v>
      </c>
      <c r="B4" s="119" t="s">
        <v>532</v>
      </c>
      <c r="C4" s="115">
        <v>2334</v>
      </c>
      <c r="D4" s="119">
        <v>2334</v>
      </c>
      <c r="E4" s="116" t="s">
        <v>533</v>
      </c>
      <c r="F4" s="116" t="s">
        <v>534</v>
      </c>
    </row>
    <row r="5" spans="1:6" ht="12.75" customHeight="1">
      <c r="A5" t="str">
        <f t="shared" si="0"/>
        <v>BEAVER MATERIALS  2381  NOBLESVILLE, IN.  2381</v>
      </c>
      <c r="B5" s="119" t="s">
        <v>535</v>
      </c>
      <c r="C5" s="115">
        <v>2381</v>
      </c>
      <c r="D5" s="119">
        <v>2381</v>
      </c>
      <c r="E5" s="116" t="s">
        <v>536</v>
      </c>
      <c r="F5" s="116" t="s">
        <v>537</v>
      </c>
    </row>
    <row r="6" spans="1:6" ht="12.75" customHeight="1">
      <c r="A6" t="str">
        <f t="shared" si="0"/>
        <v>BEAVER MATERIALS  2578  WAVERLY, IN  2578</v>
      </c>
      <c r="B6" s="119" t="s">
        <v>538</v>
      </c>
      <c r="C6" s="115">
        <v>2578</v>
      </c>
      <c r="D6" s="119">
        <v>2578</v>
      </c>
      <c r="E6" s="116" t="s">
        <v>536</v>
      </c>
      <c r="F6" s="116" t="s">
        <v>539</v>
      </c>
    </row>
    <row r="7" spans="1:6" ht="12.75" customHeight="1">
      <c r="A7" t="str">
        <f t="shared" si="0"/>
        <v>BEEMSTERBOER SLAG CORP.  2781  HAMMOND, IN  2781</v>
      </c>
      <c r="B7" s="119" t="s">
        <v>540</v>
      </c>
      <c r="C7" s="115">
        <v>2781</v>
      </c>
      <c r="D7" s="119">
        <v>2781</v>
      </c>
      <c r="E7" s="116" t="s">
        <v>541</v>
      </c>
      <c r="F7" s="116" t="s">
        <v>542</v>
      </c>
    </row>
    <row r="8" spans="1:6" ht="12.75" customHeight="1">
      <c r="A8" t="str">
        <f t="shared" si="0"/>
        <v>BEEMSTERBOER-SOUTH SHORE SLAG  2473  HAMMOMD, IN  2473</v>
      </c>
      <c r="B8" s="119" t="s">
        <v>543</v>
      </c>
      <c r="C8" s="115">
        <v>2473</v>
      </c>
      <c r="D8" s="119">
        <v>2473</v>
      </c>
      <c r="E8" s="116" t="s">
        <v>544</v>
      </c>
      <c r="F8" s="116" t="s">
        <v>545</v>
      </c>
    </row>
    <row r="9" spans="1:6" ht="12.75" customHeight="1">
      <c r="A9" t="str">
        <f t="shared" si="0"/>
        <v>BROOKFIELD SAND AND GRAVEL  2787  ACTON, IN  2787</v>
      </c>
      <c r="B9" s="119" t="s">
        <v>546</v>
      </c>
      <c r="C9" s="115">
        <v>2787</v>
      </c>
      <c r="D9" s="119">
        <v>2787</v>
      </c>
      <c r="E9" s="116" t="s">
        <v>547</v>
      </c>
      <c r="F9" s="116" t="s">
        <v>548</v>
      </c>
    </row>
    <row r="10" spans="1:6" ht="12.75" customHeight="1">
      <c r="A10" t="str">
        <f t="shared" si="0"/>
        <v>BROOKS CONSTRUCTION CO., INC.  2986  FORT WAYNE, IN  2986</v>
      </c>
      <c r="B10" s="119" t="s">
        <v>549</v>
      </c>
      <c r="C10" s="115">
        <v>2986</v>
      </c>
      <c r="D10" s="119">
        <v>2986</v>
      </c>
      <c r="E10" s="116" t="s">
        <v>550</v>
      </c>
      <c r="F10" s="116" t="s">
        <v>551</v>
      </c>
    </row>
    <row r="11" spans="1:6" ht="12.75" customHeight="1">
      <c r="A11" t="str">
        <f t="shared" si="0"/>
        <v>BUNNELL, JAMES INC.  2512  CLEVES, OHIO  2512</v>
      </c>
      <c r="B11" s="119" t="s">
        <v>552</v>
      </c>
      <c r="C11" s="115">
        <v>2512</v>
      </c>
      <c r="D11" s="119">
        <v>2512</v>
      </c>
      <c r="E11" s="116" t="s">
        <v>553</v>
      </c>
      <c r="F11" s="116" t="s">
        <v>554</v>
      </c>
    </row>
    <row r="12" spans="1:6" ht="12.75" customHeight="1">
      <c r="A12" t="str">
        <f t="shared" si="0"/>
        <v>BUTLER MILL SERVICE  2772  BUTLER, IN  2772</v>
      </c>
      <c r="B12" s="119" t="s">
        <v>555</v>
      </c>
      <c r="C12" s="115">
        <v>2772</v>
      </c>
      <c r="D12" s="119">
        <v>2772</v>
      </c>
      <c r="E12" s="116" t="s">
        <v>556</v>
      </c>
      <c r="F12" s="116" t="s">
        <v>557</v>
      </c>
    </row>
    <row r="13" spans="1:6" ht="12.75" customHeight="1">
      <c r="A13" t="str">
        <f t="shared" si="0"/>
        <v>CALDWELL GRAVEL SALES INC.  2329  MORRISTOWN, IN  2329</v>
      </c>
      <c r="B13" s="119" t="s">
        <v>558</v>
      </c>
      <c r="C13" s="115">
        <v>2329</v>
      </c>
      <c r="D13" s="119">
        <v>2329</v>
      </c>
      <c r="E13" s="116" t="s">
        <v>559</v>
      </c>
      <c r="F13" s="116" t="s">
        <v>560</v>
      </c>
    </row>
    <row r="14" spans="1:6" ht="12.75" customHeight="1">
      <c r="A14" t="str">
        <f t="shared" si="0"/>
        <v>CAVE QUARRIES, INC.  2641  PAOLI, IN.  2641</v>
      </c>
      <c r="B14" s="119" t="s">
        <v>561</v>
      </c>
      <c r="C14" s="115">
        <v>2641</v>
      </c>
      <c r="D14" s="119">
        <v>2641</v>
      </c>
      <c r="E14" s="116" t="s">
        <v>562</v>
      </c>
      <c r="F14" s="116" t="s">
        <v>563</v>
      </c>
    </row>
    <row r="15" spans="1:6" ht="12.75" customHeight="1">
      <c r="A15" t="str">
        <f t="shared" si="0"/>
        <v>CAVE/CALCAR QUARRIES, INC.  2643  PAOLI, IN.  2641</v>
      </c>
      <c r="B15" s="119" t="s">
        <v>564</v>
      </c>
      <c r="C15" s="115">
        <v>2643</v>
      </c>
      <c r="D15" s="119">
        <v>2641</v>
      </c>
      <c r="E15" s="116" t="s">
        <v>565</v>
      </c>
      <c r="F15" s="116" t="s">
        <v>563</v>
      </c>
    </row>
    <row r="16" spans="1:6" ht="12.75" customHeight="1">
      <c r="A16" t="str">
        <f t="shared" si="0"/>
        <v>CAVE/CALCAR QUARRIES, INC.  2643  PAOLI, IN.  2643</v>
      </c>
      <c r="B16" s="119" t="s">
        <v>564</v>
      </c>
      <c r="C16" s="115">
        <v>2643</v>
      </c>
      <c r="D16" s="119">
        <v>2643</v>
      </c>
      <c r="E16" s="116" t="s">
        <v>565</v>
      </c>
      <c r="F16" s="116" t="s">
        <v>563</v>
      </c>
    </row>
    <row r="17" spans="1:6" ht="12.75" customHeight="1">
      <c r="A17" t="str">
        <f t="shared" si="0"/>
        <v>COUNTY LINE SAND AND GRAVEL  2387  KOKOMO, IN.  2387</v>
      </c>
      <c r="B17" s="119" t="s">
        <v>566</v>
      </c>
      <c r="C17" s="115">
        <v>2387</v>
      </c>
      <c r="D17" s="119">
        <v>2387</v>
      </c>
      <c r="E17" s="116" t="s">
        <v>567</v>
      </c>
      <c r="F17" s="116" t="s">
        <v>568</v>
      </c>
    </row>
    <row r="18" spans="1:6" ht="12.75" customHeight="1">
      <c r="A18" t="str">
        <f t="shared" si="0"/>
        <v>E. S. WAGNER CO.  9998  ORGEON, OH  9998</v>
      </c>
      <c r="B18" s="119" t="s">
        <v>569</v>
      </c>
      <c r="C18" s="115">
        <v>9998</v>
      </c>
      <c r="D18" s="119">
        <v>9998</v>
      </c>
      <c r="E18" s="116" t="s">
        <v>570</v>
      </c>
      <c r="F18" s="116" t="s">
        <v>571</v>
      </c>
    </row>
    <row r="19" spans="1:6" ht="12.75" customHeight="1">
      <c r="A19" t="str">
        <f t="shared" si="0"/>
        <v>ELKHART COUNTY GRAVEL, INC.  2206  MILFORD, IN.  2206</v>
      </c>
      <c r="B19" s="119" t="s">
        <v>572</v>
      </c>
      <c r="C19" s="115">
        <v>2206</v>
      </c>
      <c r="D19" s="119">
        <v>2206</v>
      </c>
      <c r="E19" s="116" t="s">
        <v>573</v>
      </c>
      <c r="F19" s="116" t="s">
        <v>574</v>
      </c>
    </row>
    <row r="20" spans="1:6" ht="12.75" customHeight="1">
      <c r="A20" t="str">
        <f t="shared" si="0"/>
        <v>ELKHART COUNTY GRAVEL, INC.  2718  WARSAW, IN.  2718</v>
      </c>
      <c r="B20" s="119" t="s">
        <v>575</v>
      </c>
      <c r="C20" s="115">
        <v>2718</v>
      </c>
      <c r="D20" s="119">
        <v>2718</v>
      </c>
      <c r="E20" s="116" t="s">
        <v>573</v>
      </c>
      <c r="F20" s="116" t="s">
        <v>576</v>
      </c>
    </row>
    <row r="21" spans="1:6" ht="12.75" customHeight="1">
      <c r="A21" t="str">
        <f t="shared" si="0"/>
        <v>ELKHART COUNTY GRAVEL-PLANT 1  2789  MIDDLEBURY, IN  2789</v>
      </c>
      <c r="B21" s="119" t="s">
        <v>577</v>
      </c>
      <c r="C21" s="115">
        <v>2789</v>
      </c>
      <c r="D21" s="119">
        <v>2789</v>
      </c>
      <c r="E21" s="116" t="s">
        <v>578</v>
      </c>
      <c r="F21" s="116" t="s">
        <v>579</v>
      </c>
    </row>
    <row r="22" spans="1:6" ht="12.75" customHeight="1">
      <c r="A22" t="str">
        <f t="shared" si="0"/>
        <v>ELKHART COUNTY GRAVEL-PLANT 2  2700  MIDDLEBURY, IN.  2700</v>
      </c>
      <c r="B22" s="119" t="s">
        <v>580</v>
      </c>
      <c r="C22" s="115">
        <v>2700</v>
      </c>
      <c r="D22" s="119">
        <v>2700</v>
      </c>
      <c r="E22" s="116" t="s">
        <v>581</v>
      </c>
      <c r="F22" s="116" t="s">
        <v>582</v>
      </c>
    </row>
    <row r="23" spans="1:6" ht="12.75" customHeight="1">
      <c r="A23" t="str">
        <f t="shared" si="0"/>
        <v>ELKHART COUNTY GRAVEL-PLANT 2  2973  MIDDLEBURY, IN.  2700</v>
      </c>
      <c r="B23" s="119" t="s">
        <v>531</v>
      </c>
      <c r="C23" s="115">
        <v>2973</v>
      </c>
      <c r="D23" s="119">
        <v>2700</v>
      </c>
      <c r="E23" s="116" t="s">
        <v>581</v>
      </c>
      <c r="F23" s="116" t="s">
        <v>582</v>
      </c>
    </row>
    <row r="24" spans="1:6" ht="12.75" customHeight="1">
      <c r="A24" t="str">
        <f t="shared" si="0"/>
        <v>ENGINEERING AGGREGATES-PLANT1  2423  LOGANSPORT, IN.  2423</v>
      </c>
      <c r="B24" s="119" t="s">
        <v>583</v>
      </c>
      <c r="C24" s="115">
        <v>2423</v>
      </c>
      <c r="D24" s="119">
        <v>2423</v>
      </c>
      <c r="E24" s="116" t="s">
        <v>584</v>
      </c>
      <c r="F24" s="116" t="s">
        <v>585</v>
      </c>
    </row>
    <row r="25" spans="1:6" ht="12.75" customHeight="1">
      <c r="A25" t="str">
        <f t="shared" si="0"/>
        <v>ENGINEERING AGGREGATES-PLANT2  2497  LOGANSPORT, IN  2497</v>
      </c>
      <c r="B25" s="119" t="s">
        <v>586</v>
      </c>
      <c r="C25" s="115">
        <v>2497</v>
      </c>
      <c r="D25" s="119">
        <v>2497</v>
      </c>
      <c r="E25" s="116" t="s">
        <v>587</v>
      </c>
      <c r="F25" s="116" t="s">
        <v>588</v>
      </c>
    </row>
    <row r="26" spans="1:6" ht="12.75" customHeight="1">
      <c r="A26" t="str">
        <f t="shared" si="0"/>
        <v>ESHELMAN EXCAVATING  2758  KENDALLVILLE, IN  2758</v>
      </c>
      <c r="B26" s="119" t="s">
        <v>589</v>
      </c>
      <c r="C26" s="115">
        <v>2758</v>
      </c>
      <c r="D26" s="119">
        <v>2758</v>
      </c>
      <c r="E26" s="116" t="s">
        <v>590</v>
      </c>
      <c r="F26" s="116" t="s">
        <v>591</v>
      </c>
    </row>
    <row r="27" spans="1:6" ht="12.75" customHeight="1">
      <c r="A27" t="str">
        <f t="shared" si="0"/>
        <v>EVANSVILLE MATERIALS, INC.  2632  EVANSVILLE, IN.  2632</v>
      </c>
      <c r="B27" s="119" t="s">
        <v>592</v>
      </c>
      <c r="C27" s="115">
        <v>2632</v>
      </c>
      <c r="D27" s="119">
        <v>2632</v>
      </c>
      <c r="E27" s="116" t="s">
        <v>593</v>
      </c>
      <c r="F27" s="116" t="s">
        <v>594</v>
      </c>
    </row>
    <row r="28" spans="1:6" ht="12.75" customHeight="1">
      <c r="A28" t="str">
        <f t="shared" si="0"/>
        <v>EVANSVILLE MATERIALS, INC.  2969  EVANSVILLE, IN.  2632</v>
      </c>
      <c r="B28" s="119" t="s">
        <v>595</v>
      </c>
      <c r="C28" s="115">
        <v>2969</v>
      </c>
      <c r="D28" s="119">
        <v>2632</v>
      </c>
      <c r="E28" s="116" t="s">
        <v>593</v>
      </c>
      <c r="F28" s="116" t="s">
        <v>594</v>
      </c>
    </row>
    <row r="29" spans="1:6" ht="12.75" customHeight="1">
      <c r="A29" t="str">
        <f t="shared" si="0"/>
        <v>EVANSVILLE MATERIALS, INC.  2970  EVANSVILLE, IN.  2632</v>
      </c>
      <c r="B29" s="119" t="s">
        <v>596</v>
      </c>
      <c r="C29" s="115">
        <v>2970</v>
      </c>
      <c r="D29" s="119">
        <v>2632</v>
      </c>
      <c r="E29" s="116" t="s">
        <v>593</v>
      </c>
      <c r="F29" s="116" t="s">
        <v>594</v>
      </c>
    </row>
    <row r="30" spans="1:6" ht="12.75" customHeight="1">
      <c r="A30" t="str">
        <f t="shared" si="0"/>
        <v>EVANSVILLE MATERIALS, INC.  2971  EVANSVILLE, IN.  2632</v>
      </c>
      <c r="B30" s="119" t="s">
        <v>597</v>
      </c>
      <c r="C30" s="115">
        <v>2971</v>
      </c>
      <c r="D30" s="119">
        <v>2632</v>
      </c>
      <c r="E30" s="116" t="s">
        <v>593</v>
      </c>
      <c r="F30" s="116" t="s">
        <v>594</v>
      </c>
    </row>
    <row r="31" spans="1:6" ht="12.75" customHeight="1">
      <c r="A31" t="str">
        <f t="shared" si="0"/>
        <v>EVANSVILLE MATERIALS, INC.  2972  EVANSVILLE, IN.  2632</v>
      </c>
      <c r="B31" s="119" t="s">
        <v>598</v>
      </c>
      <c r="C31" s="115">
        <v>2972</v>
      </c>
      <c r="D31" s="119">
        <v>2632</v>
      </c>
      <c r="E31" s="116" t="s">
        <v>593</v>
      </c>
      <c r="F31" s="116" t="s">
        <v>594</v>
      </c>
    </row>
    <row r="32" spans="1:6" ht="12.75" customHeight="1">
      <c r="A32" t="str">
        <f t="shared" si="0"/>
        <v>EVANSVILLE MATERIALS, INC.  2974  EVANSVILLE, IN.  2632</v>
      </c>
      <c r="B32" s="119" t="s">
        <v>599</v>
      </c>
      <c r="C32" s="115">
        <v>2974</v>
      </c>
      <c r="D32" s="119">
        <v>2632</v>
      </c>
      <c r="E32" s="116" t="s">
        <v>593</v>
      </c>
      <c r="F32" s="116" t="s">
        <v>594</v>
      </c>
    </row>
    <row r="33" spans="1:6" ht="12.75" customHeight="1">
      <c r="A33" t="str">
        <f t="shared" si="0"/>
        <v>GIBSON COUNTY SAND AND GRAVEL  2688  OWENSVILLE, IN  2688</v>
      </c>
      <c r="B33" s="119" t="s">
        <v>600</v>
      </c>
      <c r="C33" s="115">
        <v>2688</v>
      </c>
      <c r="D33" s="119">
        <v>2688</v>
      </c>
      <c r="E33" s="116" t="s">
        <v>601</v>
      </c>
      <c r="F33" s="116" t="s">
        <v>602</v>
      </c>
    </row>
    <row r="34" spans="1:6" ht="12.75" customHeight="1">
      <c r="A34" t="str">
        <f t="shared" si="0"/>
        <v>HANSON AGG MIDWEST   2562  SALEM, IN.  2562</v>
      </c>
      <c r="B34" s="119" t="s">
        <v>603</v>
      </c>
      <c r="C34" s="115">
        <v>2562</v>
      </c>
      <c r="D34" s="119">
        <v>2562</v>
      </c>
      <c r="E34" s="116" t="s">
        <v>604</v>
      </c>
      <c r="F34" s="116" t="s">
        <v>605</v>
      </c>
    </row>
    <row r="35" spans="1:6" ht="12.75" customHeight="1">
      <c r="A35" t="str">
        <f t="shared" si="0"/>
        <v>HANSON AGG MIDWEST  2135  PUTNAMVILLE, IN  2135</v>
      </c>
      <c r="B35" s="119" t="s">
        <v>606</v>
      </c>
      <c r="C35" s="115">
        <v>2135</v>
      </c>
      <c r="D35" s="119">
        <v>2135</v>
      </c>
      <c r="E35" s="116" t="s">
        <v>607</v>
      </c>
      <c r="F35" s="116" t="s">
        <v>608</v>
      </c>
    </row>
    <row r="36" spans="1:6" ht="12.75" customHeight="1">
      <c r="A36" t="str">
        <f t="shared" si="0"/>
        <v>HANSON AGG MIDWEST  2232  ANGOLA, IN.  2240</v>
      </c>
      <c r="B36" s="119" t="s">
        <v>609</v>
      </c>
      <c r="C36" s="115">
        <v>2232</v>
      </c>
      <c r="D36" s="119">
        <v>2240</v>
      </c>
      <c r="E36" s="116" t="s">
        <v>607</v>
      </c>
      <c r="F36" s="116" t="s">
        <v>610</v>
      </c>
    </row>
    <row r="37" spans="1:6" ht="12.75" customHeight="1">
      <c r="A37" t="str">
        <f t="shared" si="0"/>
        <v>HANSON AGG MIDWEST  2312  PUTNAMVILLE, IN  2135</v>
      </c>
      <c r="B37" s="119" t="s">
        <v>611</v>
      </c>
      <c r="C37" s="115">
        <v>2312</v>
      </c>
      <c r="D37" s="119">
        <v>2135</v>
      </c>
      <c r="E37" s="116" t="s">
        <v>607</v>
      </c>
      <c r="F37" s="116" t="s">
        <v>608</v>
      </c>
    </row>
    <row r="38" spans="1:6" ht="12.75" customHeight="1">
      <c r="A38" t="str">
        <f t="shared" si="0"/>
        <v>HANSON AGG MIDWEST - AGGROCK  2783  SELLERSBURG, IN  2783</v>
      </c>
      <c r="B38" s="119" t="s">
        <v>612</v>
      </c>
      <c r="C38" s="115">
        <v>2783</v>
      </c>
      <c r="D38" s="119">
        <v>2783</v>
      </c>
      <c r="E38" s="116" t="s">
        <v>613</v>
      </c>
      <c r="F38" s="116" t="s">
        <v>614</v>
      </c>
    </row>
    <row r="39" spans="1:6" ht="12.75" customHeight="1">
      <c r="A39" t="str">
        <f t="shared" si="0"/>
        <v>HANSON AGG MIDWEST - ARDMORE  2206  FORT WAYNE, IN.  2232</v>
      </c>
      <c r="B39" s="119" t="s">
        <v>572</v>
      </c>
      <c r="C39" s="115">
        <v>2206</v>
      </c>
      <c r="D39" s="119">
        <v>2232</v>
      </c>
      <c r="E39" s="116" t="s">
        <v>615</v>
      </c>
      <c r="F39" s="116" t="s">
        <v>616</v>
      </c>
    </row>
    <row r="40" spans="1:6" ht="12.75" customHeight="1">
      <c r="A40" t="str">
        <f t="shared" si="0"/>
        <v>HANSON AGG MIDWEST - ARDMORE  2217  FORT WAYNE, IN.  2232</v>
      </c>
      <c r="B40" s="119" t="s">
        <v>617</v>
      </c>
      <c r="C40" s="115">
        <v>2217</v>
      </c>
      <c r="D40" s="119">
        <v>2232</v>
      </c>
      <c r="E40" s="116" t="s">
        <v>615</v>
      </c>
      <c r="F40" s="116" t="s">
        <v>616</v>
      </c>
    </row>
    <row r="41" spans="1:6" ht="12.75" customHeight="1">
      <c r="A41" t="str">
        <f t="shared" si="0"/>
        <v>HANSON AGG MIDWEST - ARDMORE  2232  FORT WAYNE, IN.  2232</v>
      </c>
      <c r="B41" s="119" t="s">
        <v>618</v>
      </c>
      <c r="C41" s="115">
        <v>2232</v>
      </c>
      <c r="D41" s="119">
        <v>2232</v>
      </c>
      <c r="E41" s="116" t="s">
        <v>615</v>
      </c>
      <c r="F41" s="116" t="s">
        <v>616</v>
      </c>
    </row>
    <row r="42" spans="1:6" ht="12.75" customHeight="1">
      <c r="A42" t="str">
        <f t="shared" si="0"/>
        <v>HANSON AGG MIDWEST - ARDMORE  2237  FORT WAYNE, IN.  2232</v>
      </c>
      <c r="B42" s="119" t="s">
        <v>619</v>
      </c>
      <c r="C42" s="115">
        <v>2237</v>
      </c>
      <c r="D42" s="119">
        <v>2232</v>
      </c>
      <c r="E42" s="116" t="s">
        <v>615</v>
      </c>
      <c r="F42" s="116" t="s">
        <v>616</v>
      </c>
    </row>
    <row r="43" spans="1:6" ht="12.75" customHeight="1">
      <c r="A43" t="str">
        <f t="shared" si="0"/>
        <v>HANSON AGG MIDWEST - ARDMORE  2240  FORT WAYNE, IN.  2232</v>
      </c>
      <c r="B43" s="119" t="s">
        <v>609</v>
      </c>
      <c r="C43" s="115">
        <v>2240</v>
      </c>
      <c r="D43" s="119">
        <v>2232</v>
      </c>
      <c r="E43" s="116" t="s">
        <v>615</v>
      </c>
      <c r="F43" s="116" t="s">
        <v>616</v>
      </c>
    </row>
    <row r="44" spans="1:6" ht="12.75" customHeight="1">
      <c r="A44" t="str">
        <f t="shared" si="0"/>
        <v>HANSON AGG MIDWEST - ARDMORE  2283  FORT WAYNE, IN.  2232</v>
      </c>
      <c r="B44" s="119" t="s">
        <v>620</v>
      </c>
      <c r="C44" s="115">
        <v>2283</v>
      </c>
      <c r="D44" s="119">
        <v>2232</v>
      </c>
      <c r="E44" s="116" t="s">
        <v>615</v>
      </c>
      <c r="F44" s="116" t="s">
        <v>616</v>
      </c>
    </row>
    <row r="45" spans="1:6" ht="12.75" customHeight="1">
      <c r="A45" t="str">
        <f t="shared" si="0"/>
        <v>HANSON AGG MIDWEST - ARDMORE  2743  FORT WAYNE, IN.  2232</v>
      </c>
      <c r="B45" s="119" t="s">
        <v>621</v>
      </c>
      <c r="C45" s="115">
        <v>2743</v>
      </c>
      <c r="D45" s="119">
        <v>2232</v>
      </c>
      <c r="E45" s="116" t="s">
        <v>615</v>
      </c>
      <c r="F45" s="116" t="s">
        <v>616</v>
      </c>
    </row>
    <row r="46" spans="1:6" ht="12.75" customHeight="1">
      <c r="A46" t="str">
        <f t="shared" si="0"/>
        <v>HANSON AGG MIDWEST - ATKINS  2573  JEFFERSONVILLE, IN.  2573</v>
      </c>
      <c r="B46" s="119" t="s">
        <v>622</v>
      </c>
      <c r="C46" s="115">
        <v>2573</v>
      </c>
      <c r="D46" s="119">
        <v>2573</v>
      </c>
      <c r="E46" s="116" t="s">
        <v>623</v>
      </c>
      <c r="F46" s="116" t="s">
        <v>624</v>
      </c>
    </row>
    <row r="47" spans="1:6" ht="12.75" customHeight="1">
      <c r="A47" t="str">
        <f t="shared" si="0"/>
        <v>HANSON AGG MIDWEST - MILNER  2764  BUNKER HILL, IN  2764</v>
      </c>
      <c r="B47" s="119" t="s">
        <v>625</v>
      </c>
      <c r="C47" s="115">
        <v>2764</v>
      </c>
      <c r="D47" s="119">
        <v>2764</v>
      </c>
      <c r="E47" s="116" t="s">
        <v>626</v>
      </c>
      <c r="F47" s="116" t="s">
        <v>627</v>
      </c>
    </row>
    <row r="48" spans="1:6" ht="12.75" customHeight="1">
      <c r="A48" t="str">
        <f t="shared" si="0"/>
        <v>HANSON AGG MIDWEST - MILNER  2973  BUNKER HILL, IN  2764</v>
      </c>
      <c r="B48" s="119" t="s">
        <v>531</v>
      </c>
      <c r="C48" s="115">
        <v>2973</v>
      </c>
      <c r="D48" s="119">
        <v>2764</v>
      </c>
      <c r="E48" s="116" t="s">
        <v>626</v>
      </c>
      <c r="F48" s="116" t="s">
        <v>627</v>
      </c>
    </row>
    <row r="49" spans="1:6" ht="12.75" customHeight="1">
      <c r="A49" t="str">
        <f t="shared" si="0"/>
        <v>HANSON AGG MIDWEST - SCOTT CO.  2563  BLOCHER, IN.  2563</v>
      </c>
      <c r="B49" s="119" t="s">
        <v>628</v>
      </c>
      <c r="C49" s="115">
        <v>2563</v>
      </c>
      <c r="D49" s="119">
        <v>2563</v>
      </c>
      <c r="E49" s="116" t="s">
        <v>629</v>
      </c>
      <c r="F49" s="116" t="s">
        <v>630</v>
      </c>
    </row>
    <row r="50" spans="1:6" ht="12.75" customHeight="1">
      <c r="A50" t="str">
        <f t="shared" si="0"/>
        <v>HANSON AGG MIDWEST - WOODBURN 2  2237  EDGERTON, IN.  2237</v>
      </c>
      <c r="B50" s="119" t="s">
        <v>619</v>
      </c>
      <c r="C50" s="115">
        <v>2237</v>
      </c>
      <c r="D50" s="119">
        <v>2237</v>
      </c>
      <c r="E50" s="116" t="s">
        <v>631</v>
      </c>
      <c r="F50" s="116" t="s">
        <v>632</v>
      </c>
    </row>
    <row r="51" spans="1:6" ht="12.75" customHeight="1">
      <c r="A51" t="str">
        <f t="shared" si="0"/>
        <v>HANSON AGG MIDWEST - WOODBURN 2  2749  EDGERTON, IN.  2237</v>
      </c>
      <c r="B51" s="119" t="s">
        <v>633</v>
      </c>
      <c r="C51" s="115">
        <v>2749</v>
      </c>
      <c r="D51" s="119">
        <v>2237</v>
      </c>
      <c r="E51" s="116" t="s">
        <v>631</v>
      </c>
      <c r="F51" s="116" t="s">
        <v>632</v>
      </c>
    </row>
    <row r="52" spans="1:6" ht="12.75" customHeight="1">
      <c r="A52" t="str">
        <f t="shared" si="0"/>
        <v>HANSON AGG MIDWEST-COOPERS  2575  JEFFERSONVILLE, IN.  2575</v>
      </c>
      <c r="B52" s="119" t="s">
        <v>634</v>
      </c>
      <c r="C52" s="115">
        <v>2575</v>
      </c>
      <c r="D52" s="119">
        <v>2575</v>
      </c>
      <c r="E52" s="116" t="s">
        <v>635</v>
      </c>
      <c r="F52" s="116" t="s">
        <v>624</v>
      </c>
    </row>
    <row r="53" spans="1:6" ht="12.75" customHeight="1">
      <c r="A53" t="str">
        <f t="shared" si="0"/>
        <v>HANSON AGG MIDWEST-HARDING ST.  2312  INDIANAPOLIS, IN.  2312</v>
      </c>
      <c r="B53" s="119" t="s">
        <v>611</v>
      </c>
      <c r="C53" s="115">
        <v>2312</v>
      </c>
      <c r="D53" s="119">
        <v>2312</v>
      </c>
      <c r="E53" s="116" t="s">
        <v>636</v>
      </c>
      <c r="F53" s="116" t="s">
        <v>637</v>
      </c>
    </row>
    <row r="54" spans="1:6" ht="12.75" customHeight="1">
      <c r="A54" t="str">
        <f t="shared" si="0"/>
        <v>HANSON AGG MIDWEST-HARDING ST.  2409  INDIANAPOLIS, IN.  2312</v>
      </c>
      <c r="B54" s="119" t="s">
        <v>638</v>
      </c>
      <c r="C54" s="115">
        <v>2409</v>
      </c>
      <c r="D54" s="119">
        <v>2312</v>
      </c>
      <c r="E54" s="116" t="s">
        <v>636</v>
      </c>
      <c r="F54" s="116" t="s">
        <v>637</v>
      </c>
    </row>
    <row r="55" spans="1:6" ht="12.75" customHeight="1">
      <c r="A55" t="str">
        <f t="shared" si="0"/>
        <v>HANSON AGG. MIDWEST  2551  NORTH VERNON, IN.  2551</v>
      </c>
      <c r="B55" s="119" t="s">
        <v>639</v>
      </c>
      <c r="C55" s="115">
        <v>2551</v>
      </c>
      <c r="D55" s="119">
        <v>2551</v>
      </c>
      <c r="E55" s="116" t="s">
        <v>640</v>
      </c>
      <c r="F55" s="116" t="s">
        <v>641</v>
      </c>
    </row>
    <row r="56" spans="1:6" ht="12.75" customHeight="1">
      <c r="A56" t="str">
        <f t="shared" si="0"/>
        <v>HANSON AGG. MIDWEST  2552  VERSAILLES, IN.  2552</v>
      </c>
      <c r="B56" s="119" t="s">
        <v>642</v>
      </c>
      <c r="C56" s="115">
        <v>2552</v>
      </c>
      <c r="D56" s="119">
        <v>2552</v>
      </c>
      <c r="E56" s="116" t="s">
        <v>640</v>
      </c>
      <c r="F56" s="116" t="s">
        <v>643</v>
      </c>
    </row>
    <row r="57" spans="1:6" ht="12.75" customHeight="1">
      <c r="A57" t="str">
        <f t="shared" si="0"/>
        <v>HANSON AGG. MIDWEST  2556  HAYDEN, IN.  2556</v>
      </c>
      <c r="B57" s="119" t="s">
        <v>644</v>
      </c>
      <c r="C57" s="115">
        <v>2556</v>
      </c>
      <c r="D57" s="119">
        <v>2556</v>
      </c>
      <c r="E57" s="116" t="s">
        <v>640</v>
      </c>
      <c r="F57" s="116" t="s">
        <v>645</v>
      </c>
    </row>
    <row r="58" spans="1:6" ht="12.75" customHeight="1">
      <c r="A58" t="str">
        <f t="shared" si="0"/>
        <v>HANSON AGG. MIDWEST  2977  VERSAILLES, IN.  2552</v>
      </c>
      <c r="B58" s="119" t="s">
        <v>646</v>
      </c>
      <c r="C58" s="115">
        <v>2977</v>
      </c>
      <c r="D58" s="119">
        <v>2552</v>
      </c>
      <c r="E58" s="116" t="s">
        <v>640</v>
      </c>
      <c r="F58" s="116" t="s">
        <v>643</v>
      </c>
    </row>
    <row r="59" spans="1:6" ht="12.75" customHeight="1">
      <c r="A59" t="str">
        <f t="shared" si="0"/>
        <v>HANSON-MATERIAL SERVICE  2409  MONON, IN  2409</v>
      </c>
      <c r="B59" s="119" t="s">
        <v>638</v>
      </c>
      <c r="C59" s="115">
        <v>2409</v>
      </c>
      <c r="D59" s="119">
        <v>2409</v>
      </c>
      <c r="E59" s="116" t="s">
        <v>647</v>
      </c>
      <c r="F59" s="116" t="s">
        <v>648</v>
      </c>
    </row>
    <row r="60" spans="1:6" ht="12.75" customHeight="1">
      <c r="A60" t="str">
        <f t="shared" si="0"/>
        <v>HANSON-MATERIAL SERVICE  2440  FRANCESVILLE, IN.  2440</v>
      </c>
      <c r="B60" s="119" t="s">
        <v>649</v>
      </c>
      <c r="C60" s="115">
        <v>2440</v>
      </c>
      <c r="D60" s="119">
        <v>2440</v>
      </c>
      <c r="E60" s="116" t="s">
        <v>647</v>
      </c>
      <c r="F60" s="116" t="s">
        <v>650</v>
      </c>
    </row>
    <row r="61" spans="1:6" ht="12.75" customHeight="1">
      <c r="A61" t="str">
        <f t="shared" si="0"/>
        <v>HANSON-MATERIAL SERVICE  2440  FRANCESVILLE, IN.  2440</v>
      </c>
      <c r="B61" s="119" t="s">
        <v>649</v>
      </c>
      <c r="C61" s="115">
        <v>2440</v>
      </c>
      <c r="D61" s="119">
        <v>2440</v>
      </c>
      <c r="E61" s="116" t="s">
        <v>647</v>
      </c>
      <c r="F61" s="116" t="s">
        <v>650</v>
      </c>
    </row>
    <row r="62" spans="1:6" ht="12.75" customHeight="1">
      <c r="A62" t="str">
        <f t="shared" ref="A62:A125" si="1">E62&amp;"  "&amp;C62&amp;"  "&amp;F62&amp;"  "&amp;D62</f>
        <v>HANSON-MATERIAL SERVICE  2472  THORNTON, IL  2472</v>
      </c>
      <c r="B62" s="119" t="s">
        <v>651</v>
      </c>
      <c r="C62" s="115">
        <v>2472</v>
      </c>
      <c r="D62" s="119">
        <v>2472</v>
      </c>
      <c r="E62" s="116" t="s">
        <v>647</v>
      </c>
      <c r="F62" s="116" t="s">
        <v>652</v>
      </c>
    </row>
    <row r="63" spans="1:6" ht="12.75" customHeight="1">
      <c r="A63" t="str">
        <f t="shared" si="1"/>
        <v>HANSON-MATERIAL SERVICE  2973  THORNTON, IL  2472</v>
      </c>
      <c r="B63" s="119" t="s">
        <v>531</v>
      </c>
      <c r="C63" s="115">
        <v>2973</v>
      </c>
      <c r="D63" s="119">
        <v>2472</v>
      </c>
      <c r="E63" s="116" t="s">
        <v>647</v>
      </c>
      <c r="F63" s="116" t="s">
        <v>652</v>
      </c>
    </row>
    <row r="64" spans="1:6" ht="12.75" customHeight="1">
      <c r="A64" t="str">
        <f t="shared" si="1"/>
        <v>HARRISON SAND AND GRAVEL CO.  2509  METAMORA, IN.  2509</v>
      </c>
      <c r="B64" s="119" t="s">
        <v>653</v>
      </c>
      <c r="C64" s="115">
        <v>2509</v>
      </c>
      <c r="D64" s="119">
        <v>2509</v>
      </c>
      <c r="E64" s="116" t="s">
        <v>654</v>
      </c>
      <c r="F64" s="116" t="s">
        <v>655</v>
      </c>
    </row>
    <row r="65" spans="1:6" ht="12.75" customHeight="1">
      <c r="A65" t="str">
        <f t="shared" si="1"/>
        <v>HARRISON SAND AND GRAVEL CO.  2510  METAMORA, IN.  2509</v>
      </c>
      <c r="B65" s="119" t="s">
        <v>656</v>
      </c>
      <c r="C65" s="115">
        <v>2510</v>
      </c>
      <c r="D65" s="119">
        <v>2509</v>
      </c>
      <c r="E65" s="116" t="s">
        <v>654</v>
      </c>
      <c r="F65" s="116" t="s">
        <v>655</v>
      </c>
    </row>
    <row r="66" spans="1:6" ht="12.75" customHeight="1">
      <c r="A66" t="str">
        <f t="shared" si="1"/>
        <v>HARRISON SAND AND GRAVEL CO.  2514  NEW TRENTON, IN.  2514</v>
      </c>
      <c r="B66" s="119" t="s">
        <v>657</v>
      </c>
      <c r="C66" s="115" t="s">
        <v>658</v>
      </c>
      <c r="D66" s="119" t="s">
        <v>658</v>
      </c>
      <c r="E66" s="116" t="s">
        <v>654</v>
      </c>
      <c r="F66" s="116" t="s">
        <v>659</v>
      </c>
    </row>
    <row r="67" spans="1:6" ht="12.75" customHeight="1">
      <c r="A67" t="str">
        <f t="shared" si="1"/>
        <v>HASTIE MINING AND TRUCKING  2609  CAVE-IN-ROCK, IL.  2609</v>
      </c>
      <c r="B67" s="119" t="s">
        <v>660</v>
      </c>
      <c r="C67" s="115">
        <v>2609</v>
      </c>
      <c r="D67" s="119">
        <v>2609</v>
      </c>
      <c r="E67" s="116" t="s">
        <v>661</v>
      </c>
      <c r="F67" s="116" t="s">
        <v>662</v>
      </c>
    </row>
    <row r="68" spans="1:6" ht="12.75" customHeight="1">
      <c r="A68" t="str">
        <f t="shared" si="1"/>
        <v>HAYNES SAND AND GRAVEL  2238  FT. WAYNE, IN  2797</v>
      </c>
      <c r="B68" s="119" t="s">
        <v>663</v>
      </c>
      <c r="C68" s="115">
        <v>2238</v>
      </c>
      <c r="D68" s="119">
        <v>2797</v>
      </c>
      <c r="E68" s="116" t="s">
        <v>664</v>
      </c>
      <c r="F68" s="116" t="s">
        <v>665</v>
      </c>
    </row>
    <row r="69" spans="1:6" ht="12.75" customHeight="1">
      <c r="A69" t="str">
        <f t="shared" si="1"/>
        <v>HAYNES SAND AND GRAVEL  2797  FT. WAYNE, IN  2797</v>
      </c>
      <c r="B69" s="119" t="s">
        <v>666</v>
      </c>
      <c r="C69" s="115">
        <v>2797</v>
      </c>
      <c r="D69" s="119">
        <v>2797</v>
      </c>
      <c r="E69" s="116" t="s">
        <v>664</v>
      </c>
      <c r="F69" s="116" t="s">
        <v>665</v>
      </c>
    </row>
    <row r="70" spans="1:6" ht="12.75" customHeight="1">
      <c r="A70" t="str">
        <f t="shared" si="1"/>
        <v>HECKETT/MULTISERV  2977  GHENT, KY  2775</v>
      </c>
      <c r="B70" s="119" t="s">
        <v>646</v>
      </c>
      <c r="C70" s="115">
        <v>2977</v>
      </c>
      <c r="D70" s="119">
        <v>2775</v>
      </c>
      <c r="E70" s="116" t="s">
        <v>667</v>
      </c>
      <c r="F70" s="116" t="s">
        <v>668</v>
      </c>
    </row>
    <row r="71" spans="1:6" ht="12.75" customHeight="1">
      <c r="A71" t="str">
        <f t="shared" si="1"/>
        <v>HERITAGE AGGREGATE  2642  SPRINGVILLE, IN.  2642</v>
      </c>
      <c r="B71" s="119" t="s">
        <v>669</v>
      </c>
      <c r="C71" s="115">
        <v>2642</v>
      </c>
      <c r="D71" s="119">
        <v>2642</v>
      </c>
      <c r="E71" s="116" t="s">
        <v>670</v>
      </c>
      <c r="F71" s="116" t="s">
        <v>671</v>
      </c>
    </row>
    <row r="72" spans="1:6" ht="12.75" customHeight="1">
      <c r="A72" t="str">
        <f t="shared" si="1"/>
        <v>IMI - NEW GREENWOOD  2792  GREENWOOD, IN  2792</v>
      </c>
      <c r="B72" s="119" t="s">
        <v>672</v>
      </c>
      <c r="C72" s="115">
        <v>2792</v>
      </c>
      <c r="D72" s="119">
        <v>2792</v>
      </c>
      <c r="E72" s="116" t="s">
        <v>673</v>
      </c>
      <c r="F72" s="116" t="s">
        <v>674</v>
      </c>
    </row>
    <row r="73" spans="1:6" ht="12.75" customHeight="1">
      <c r="A73" t="str">
        <f t="shared" si="1"/>
        <v>IMI - NEW GREENWOOD  2792  GREENWOOD, IN  2792</v>
      </c>
      <c r="B73" s="119" t="s">
        <v>672</v>
      </c>
      <c r="C73" s="115">
        <v>2792</v>
      </c>
      <c r="D73" s="119">
        <v>2792</v>
      </c>
      <c r="E73" s="116" t="s">
        <v>673</v>
      </c>
      <c r="F73" s="116" t="s">
        <v>674</v>
      </c>
    </row>
    <row r="74" spans="1:6" ht="12.75" customHeight="1">
      <c r="A74" t="str">
        <f t="shared" si="1"/>
        <v>INDIAN CREEK QUARRIES, LLC  2689  WILLIAMS, IN  2689</v>
      </c>
      <c r="B74" s="119" t="s">
        <v>675</v>
      </c>
      <c r="C74" s="115">
        <v>2689</v>
      </c>
      <c r="D74" s="119">
        <v>2689</v>
      </c>
      <c r="E74" s="116" t="s">
        <v>676</v>
      </c>
      <c r="F74" s="116" t="s">
        <v>677</v>
      </c>
    </row>
    <row r="75" spans="1:6" ht="12.75" customHeight="1">
      <c r="A75" t="str">
        <f t="shared" si="1"/>
        <v>INTERSTATE SAND AND GRAVEL CO.  2164  WILLAMSPORT, IN  2164</v>
      </c>
      <c r="B75" s="119" t="s">
        <v>678</v>
      </c>
      <c r="C75" s="115">
        <v>2164</v>
      </c>
      <c r="D75" s="119">
        <v>2164</v>
      </c>
      <c r="E75" s="116" t="s">
        <v>679</v>
      </c>
      <c r="F75" s="116" t="s">
        <v>680</v>
      </c>
    </row>
    <row r="76" spans="1:6" ht="12.75" customHeight="1">
      <c r="A76" t="str">
        <f t="shared" si="1"/>
        <v>INTERSTATE SAND AND GRAVEL CO.  2445  WILLAMSPORT, IN  2164</v>
      </c>
      <c r="B76" s="119" t="s">
        <v>681</v>
      </c>
      <c r="C76" s="115">
        <v>2445</v>
      </c>
      <c r="D76" s="119">
        <v>2164</v>
      </c>
      <c r="E76" s="116" t="s">
        <v>679</v>
      </c>
      <c r="F76" s="116" t="s">
        <v>680</v>
      </c>
    </row>
    <row r="77" spans="1:6" ht="12.75" customHeight="1">
      <c r="A77" t="str">
        <f t="shared" si="1"/>
        <v>IRVING BROTHERS GRAVEL CO.  2341  GAS CITY, IN.  2341</v>
      </c>
      <c r="B77" s="119" t="s">
        <v>682</v>
      </c>
      <c r="C77" s="115">
        <v>2341</v>
      </c>
      <c r="D77" s="119">
        <v>2341</v>
      </c>
      <c r="E77" s="116" t="s">
        <v>683</v>
      </c>
      <c r="F77" s="116" t="s">
        <v>684</v>
      </c>
    </row>
    <row r="78" spans="1:6" ht="12.75" customHeight="1">
      <c r="A78" t="str">
        <f t="shared" si="1"/>
        <v>IRVING GRAVEL CO   2743  LIGONIER, IN  2743</v>
      </c>
      <c r="B78" s="119" t="s">
        <v>621</v>
      </c>
      <c r="C78" s="115">
        <v>2743</v>
      </c>
      <c r="D78" s="119">
        <v>2743</v>
      </c>
      <c r="E78" s="116" t="s">
        <v>685</v>
      </c>
      <c r="F78" s="116" t="s">
        <v>686</v>
      </c>
    </row>
    <row r="79" spans="1:6" ht="12.75" customHeight="1">
      <c r="A79" t="str">
        <f t="shared" si="1"/>
        <v>IRVING GRAVEL CO  2248  KENDALLVILLE, IN.  2248</v>
      </c>
      <c r="B79" s="119" t="s">
        <v>687</v>
      </c>
      <c r="C79" s="115">
        <v>2248</v>
      </c>
      <c r="D79" s="119">
        <v>2248</v>
      </c>
      <c r="E79" s="116" t="s">
        <v>688</v>
      </c>
      <c r="F79" s="116" t="s">
        <v>689</v>
      </c>
    </row>
    <row r="80" spans="1:6" ht="12.75" customHeight="1">
      <c r="A80" t="str">
        <f t="shared" si="1"/>
        <v>IRVING GRAVEL CO - HENSHEN PIT  2247  SOUTH MILFORD, IN.  2283</v>
      </c>
      <c r="B80" s="119" t="s">
        <v>690</v>
      </c>
      <c r="C80" s="115">
        <v>2247</v>
      </c>
      <c r="D80" s="119">
        <v>2283</v>
      </c>
      <c r="E80" s="116" t="s">
        <v>691</v>
      </c>
      <c r="F80" s="116" t="s">
        <v>692</v>
      </c>
    </row>
    <row r="81" spans="1:6" ht="12.75" customHeight="1">
      <c r="A81" t="str">
        <f t="shared" si="1"/>
        <v>IRVING GRAVEL CO - HENSHEN PIT  2283  SOUTH MILFORD, IN.  2283</v>
      </c>
      <c r="B81" s="119" t="s">
        <v>620</v>
      </c>
      <c r="C81" s="115">
        <v>2283</v>
      </c>
      <c r="D81" s="119">
        <v>2283</v>
      </c>
      <c r="E81" s="116" t="s">
        <v>691</v>
      </c>
      <c r="F81" s="116" t="s">
        <v>692</v>
      </c>
    </row>
    <row r="82" spans="1:6" ht="12.75" customHeight="1">
      <c r="A82" t="str">
        <f t="shared" si="1"/>
        <v>IRVING GRAVEL CO - HENSHEN PIT  2283  SOUTH MILFORD, IN.  2283</v>
      </c>
      <c r="B82" s="119" t="s">
        <v>620</v>
      </c>
      <c r="C82" s="115">
        <v>2283</v>
      </c>
      <c r="D82" s="119">
        <v>2283</v>
      </c>
      <c r="E82" s="116" t="s">
        <v>691</v>
      </c>
      <c r="F82" s="116" t="s">
        <v>692</v>
      </c>
    </row>
    <row r="83" spans="1:6" ht="12.75" customHeight="1">
      <c r="A83" t="str">
        <f t="shared" si="1"/>
        <v>IRVING GRAVEL CO.   2763  ANGOLA, IN  2763</v>
      </c>
      <c r="B83" s="119" t="s">
        <v>693</v>
      </c>
      <c r="C83" s="115">
        <v>2763</v>
      </c>
      <c r="D83" s="119">
        <v>2763</v>
      </c>
      <c r="E83" s="116" t="s">
        <v>694</v>
      </c>
      <c r="F83" s="116" t="s">
        <v>695</v>
      </c>
    </row>
    <row r="84" spans="1:6" ht="12.75" customHeight="1">
      <c r="A84" t="str">
        <f t="shared" si="1"/>
        <v>IRVING GRAVEL CO. - MARTIN PIT  2247  AUBURN, IN.  2247</v>
      </c>
      <c r="B84" s="119" t="s">
        <v>690</v>
      </c>
      <c r="C84" s="115">
        <v>2247</v>
      </c>
      <c r="D84" s="119">
        <v>2247</v>
      </c>
      <c r="E84" s="116" t="s">
        <v>696</v>
      </c>
      <c r="F84" s="116" t="s">
        <v>697</v>
      </c>
    </row>
    <row r="85" spans="1:6" ht="12.75" customHeight="1">
      <c r="A85" t="str">
        <f t="shared" si="1"/>
        <v>IRVING MATERIALS - FALL CREEK  0063  FORTVILLE, IN  0063</v>
      </c>
      <c r="B85" s="119" t="s">
        <v>698</v>
      </c>
      <c r="C85" s="117" t="s">
        <v>699</v>
      </c>
      <c r="D85" s="120" t="s">
        <v>699</v>
      </c>
      <c r="E85" s="116" t="s">
        <v>700</v>
      </c>
      <c r="F85" s="116" t="s">
        <v>701</v>
      </c>
    </row>
    <row r="86" spans="1:6" ht="12.75" customHeight="1">
      <c r="A86" t="str">
        <f t="shared" si="1"/>
        <v>IRVING MATERIALS INC  2362  MUNCIE, IN.  2362</v>
      </c>
      <c r="B86" s="119" t="s">
        <v>702</v>
      </c>
      <c r="C86" s="115">
        <v>2362</v>
      </c>
      <c r="D86" s="119">
        <v>2362</v>
      </c>
      <c r="E86" s="116" t="s">
        <v>703</v>
      </c>
      <c r="F86" s="116" t="s">
        <v>704</v>
      </c>
    </row>
    <row r="87" spans="1:6" ht="12.75" customHeight="1">
      <c r="A87" t="str">
        <f t="shared" si="1"/>
        <v>IRVING MATERIALS INC  2561  BROWNSTOWN, IN.  2561</v>
      </c>
      <c r="B87" s="119" t="s">
        <v>705</v>
      </c>
      <c r="C87" s="115">
        <v>2561</v>
      </c>
      <c r="D87" s="119">
        <v>2561</v>
      </c>
      <c r="E87" s="116" t="s">
        <v>703</v>
      </c>
      <c r="F87" s="116" t="s">
        <v>706</v>
      </c>
    </row>
    <row r="88" spans="1:6" ht="12.75" customHeight="1">
      <c r="A88" t="str">
        <f t="shared" si="1"/>
        <v>IRVING MATERIALS INC.-STONEY CREEK  2359  NOBLESVILLE, IN.  2359</v>
      </c>
      <c r="B88" s="119" t="s">
        <v>707</v>
      </c>
      <c r="C88" s="115">
        <v>2359</v>
      </c>
      <c r="D88" s="119">
        <v>2359</v>
      </c>
      <c r="E88" s="116" t="s">
        <v>708</v>
      </c>
      <c r="F88" s="116" t="s">
        <v>537</v>
      </c>
    </row>
    <row r="89" spans="1:6" ht="12.75" customHeight="1">
      <c r="A89" t="str">
        <f t="shared" si="1"/>
        <v>IRVING MATERIALS, INC  2211  HUNTINGTON, IN.  2211</v>
      </c>
      <c r="B89" s="119" t="s">
        <v>709</v>
      </c>
      <c r="C89" s="115">
        <v>2211</v>
      </c>
      <c r="D89" s="119">
        <v>2211</v>
      </c>
      <c r="E89" s="116" t="s">
        <v>710</v>
      </c>
      <c r="F89" s="116" t="s">
        <v>711</v>
      </c>
    </row>
    <row r="90" spans="1:6" ht="12.75" customHeight="1">
      <c r="A90" t="str">
        <f t="shared" si="1"/>
        <v>IRVING MATERIALS, INC  2254  HUNTINGTON, IN.  2211</v>
      </c>
      <c r="B90" s="119" t="s">
        <v>712</v>
      </c>
      <c r="C90" s="115">
        <v>2254</v>
      </c>
      <c r="D90" s="119">
        <v>2211</v>
      </c>
      <c r="E90" s="116" t="s">
        <v>710</v>
      </c>
      <c r="F90" s="116" t="s">
        <v>711</v>
      </c>
    </row>
    <row r="91" spans="1:6" ht="12.75" customHeight="1">
      <c r="A91" t="str">
        <f t="shared" si="1"/>
        <v>IRVING MATERIALS, INC.  2254  PERU, IN.  2254</v>
      </c>
      <c r="B91" s="119" t="s">
        <v>712</v>
      </c>
      <c r="C91" s="115">
        <v>2254</v>
      </c>
      <c r="D91" s="119">
        <v>2254</v>
      </c>
      <c r="E91" s="116" t="s">
        <v>713</v>
      </c>
      <c r="F91" s="116" t="s">
        <v>714</v>
      </c>
    </row>
    <row r="92" spans="1:6" ht="12.75" customHeight="1">
      <c r="A92" t="str">
        <f t="shared" si="1"/>
        <v>IRVING MATERIALS, INC.  2254  PERU, IN.  2254</v>
      </c>
      <c r="B92" s="119" t="s">
        <v>712</v>
      </c>
      <c r="C92" s="115">
        <v>2254</v>
      </c>
      <c r="D92" s="119">
        <v>2254</v>
      </c>
      <c r="E92" s="116" t="s">
        <v>713</v>
      </c>
      <c r="F92" s="116" t="s">
        <v>714</v>
      </c>
    </row>
    <row r="93" spans="1:6" ht="12.75" customHeight="1">
      <c r="A93" t="str">
        <f t="shared" si="1"/>
        <v>IRVING MATERIALS, INC.  2254  PLYMOUTH, IN.  2431</v>
      </c>
      <c r="B93" s="119" t="s">
        <v>712</v>
      </c>
      <c r="C93" s="115">
        <v>2254</v>
      </c>
      <c r="D93" s="119">
        <v>2431</v>
      </c>
      <c r="E93" s="116" t="s">
        <v>713</v>
      </c>
      <c r="F93" s="116" t="s">
        <v>715</v>
      </c>
    </row>
    <row r="94" spans="1:6" ht="12.75" customHeight="1">
      <c r="A94" t="str">
        <f t="shared" si="1"/>
        <v>IRVING MATERIALS, INC.  2254  SWAYZEE, IN.  2355</v>
      </c>
      <c r="B94" s="119" t="s">
        <v>712</v>
      </c>
      <c r="C94" s="115">
        <v>2254</v>
      </c>
      <c r="D94" s="119">
        <v>2355</v>
      </c>
      <c r="E94" s="116" t="s">
        <v>713</v>
      </c>
      <c r="F94" s="116" t="s">
        <v>716</v>
      </c>
    </row>
    <row r="95" spans="1:6" ht="12.75" customHeight="1">
      <c r="A95" t="str">
        <f t="shared" si="1"/>
        <v>IRVING MATERIALS, INC.  2262  BLUFFTON, IN.  2262</v>
      </c>
      <c r="B95" s="119" t="s">
        <v>717</v>
      </c>
      <c r="C95" s="115">
        <v>2262</v>
      </c>
      <c r="D95" s="119">
        <v>2262</v>
      </c>
      <c r="E95" s="116" t="s">
        <v>713</v>
      </c>
      <c r="F95" s="116" t="s">
        <v>718</v>
      </c>
    </row>
    <row r="96" spans="1:6" ht="12.75" customHeight="1">
      <c r="A96" t="str">
        <f t="shared" si="1"/>
        <v>IRVING MATERIALS, INC.  2306  ANDERSON, IN  2306</v>
      </c>
      <c r="B96" s="119" t="s">
        <v>719</v>
      </c>
      <c r="C96" s="115">
        <v>2306</v>
      </c>
      <c r="D96" s="119">
        <v>2306</v>
      </c>
      <c r="E96" s="116" t="s">
        <v>713</v>
      </c>
      <c r="F96" s="116" t="s">
        <v>720</v>
      </c>
    </row>
    <row r="97" spans="1:6" ht="12.75" customHeight="1">
      <c r="A97" t="str">
        <f t="shared" si="1"/>
        <v>IRVING MATERIALS, INC.  2324  MC CORDSVILLE, IN.  2324</v>
      </c>
      <c r="B97" s="119" t="s">
        <v>721</v>
      </c>
      <c r="C97" s="115">
        <v>2324</v>
      </c>
      <c r="D97" s="119">
        <v>2324</v>
      </c>
      <c r="E97" s="116" t="s">
        <v>713</v>
      </c>
      <c r="F97" s="116" t="s">
        <v>722</v>
      </c>
    </row>
    <row r="98" spans="1:6" ht="12.75" customHeight="1">
      <c r="A98" t="str">
        <f t="shared" si="1"/>
        <v>IRVING MATERIALS, INC.  2333  CAMBRIDGE CITY, IN.  2333</v>
      </c>
      <c r="B98" s="119" t="s">
        <v>723</v>
      </c>
      <c r="C98" s="115">
        <v>2333</v>
      </c>
      <c r="D98" s="119">
        <v>2333</v>
      </c>
      <c r="E98" s="116" t="s">
        <v>713</v>
      </c>
      <c r="F98" s="116" t="s">
        <v>724</v>
      </c>
    </row>
    <row r="99" spans="1:6" ht="12.75" customHeight="1">
      <c r="A99" t="str">
        <f t="shared" si="1"/>
        <v>IRVING MATERIALS, INC.  2338  CONNERSVILLE, IN.  2338</v>
      </c>
      <c r="B99" s="119" t="s">
        <v>725</v>
      </c>
      <c r="C99" s="115">
        <v>2338</v>
      </c>
      <c r="D99" s="119">
        <v>2338</v>
      </c>
      <c r="E99" s="116" t="s">
        <v>713</v>
      </c>
      <c r="F99" s="116" t="s">
        <v>726</v>
      </c>
    </row>
    <row r="100" spans="1:6" ht="12.75" customHeight="1">
      <c r="A100" t="str">
        <f t="shared" si="1"/>
        <v>IRVING MATERIALS, INC.  2347  NEW CASTLE, IN  2347</v>
      </c>
      <c r="B100" s="119" t="s">
        <v>727</v>
      </c>
      <c r="C100" s="115">
        <v>2347</v>
      </c>
      <c r="D100" s="119">
        <v>2347</v>
      </c>
      <c r="E100" s="116" t="s">
        <v>713</v>
      </c>
      <c r="F100" s="116" t="s">
        <v>728</v>
      </c>
    </row>
    <row r="101" spans="1:6" ht="12.75" customHeight="1">
      <c r="A101" t="str">
        <f t="shared" si="1"/>
        <v>IRVING MATERIALS, INC.  2348  PENDLETON, IN.  2348</v>
      </c>
      <c r="B101" s="119" t="s">
        <v>729</v>
      </c>
      <c r="C101" s="115">
        <v>2348</v>
      </c>
      <c r="D101" s="119">
        <v>2348</v>
      </c>
      <c r="E101" s="116" t="s">
        <v>713</v>
      </c>
      <c r="F101" s="116" t="s">
        <v>730</v>
      </c>
    </row>
    <row r="102" spans="1:6" ht="12.75" customHeight="1">
      <c r="A102" t="str">
        <f t="shared" si="1"/>
        <v>IRVING MATERIALS, INC.  2355  SWAYZEE, IN.  2355</v>
      </c>
      <c r="B102" s="119" t="s">
        <v>731</v>
      </c>
      <c r="C102" s="115">
        <v>2355</v>
      </c>
      <c r="D102" s="119">
        <v>2355</v>
      </c>
      <c r="E102" s="116" t="s">
        <v>713</v>
      </c>
      <c r="F102" s="116" t="s">
        <v>716</v>
      </c>
    </row>
    <row r="103" spans="1:6" ht="12.75" customHeight="1">
      <c r="A103" t="str">
        <f t="shared" si="1"/>
        <v>IRVING MATERIALS, INC.  2362  NEW CASTLE, IN  2347</v>
      </c>
      <c r="B103" s="119" t="s">
        <v>702</v>
      </c>
      <c r="C103" s="115">
        <v>2362</v>
      </c>
      <c r="D103" s="119">
        <v>2347</v>
      </c>
      <c r="E103" s="116" t="s">
        <v>713</v>
      </c>
      <c r="F103" s="116" t="s">
        <v>728</v>
      </c>
    </row>
    <row r="104" spans="1:6" ht="12.75" customHeight="1">
      <c r="A104" t="str">
        <f t="shared" si="1"/>
        <v>IRVING MATERIALS, INC.  2367  MONTPELIER, IN.  2367</v>
      </c>
      <c r="B104" s="119" t="s">
        <v>732</v>
      </c>
      <c r="C104" s="115">
        <v>2367</v>
      </c>
      <c r="D104" s="119">
        <v>2367</v>
      </c>
      <c r="E104" s="116" t="s">
        <v>713</v>
      </c>
      <c r="F104" s="116" t="s">
        <v>733</v>
      </c>
    </row>
    <row r="105" spans="1:6" ht="12.75" customHeight="1">
      <c r="A105" t="str">
        <f t="shared" si="1"/>
        <v>IRVING MATERIALS, INC.  2431  PERU, IN.  2254</v>
      </c>
      <c r="B105" s="119" t="s">
        <v>734</v>
      </c>
      <c r="C105" s="115">
        <v>2431</v>
      </c>
      <c r="D105" s="119">
        <v>2254</v>
      </c>
      <c r="E105" s="116" t="s">
        <v>713</v>
      </c>
      <c r="F105" s="116" t="s">
        <v>714</v>
      </c>
    </row>
    <row r="106" spans="1:6" ht="12.75" customHeight="1">
      <c r="A106" t="str">
        <f t="shared" si="1"/>
        <v>IRVING MATERIALS, INC.  2431  PERU, IN.  2254</v>
      </c>
      <c r="B106" s="119" t="s">
        <v>734</v>
      </c>
      <c r="C106" s="115">
        <v>2431</v>
      </c>
      <c r="D106" s="119">
        <v>2254</v>
      </c>
      <c r="E106" s="116" t="s">
        <v>713</v>
      </c>
      <c r="F106" s="116" t="s">
        <v>714</v>
      </c>
    </row>
    <row r="107" spans="1:6" ht="15" customHeight="1">
      <c r="A107" t="str">
        <f t="shared" si="1"/>
        <v>IRVING MATERIALS, INC.  2431  PLYMOUTH, IN.  2431</v>
      </c>
      <c r="B107" s="119" t="s">
        <v>734</v>
      </c>
      <c r="C107" s="115">
        <v>2431</v>
      </c>
      <c r="D107" s="119">
        <v>2431</v>
      </c>
      <c r="E107" s="116" t="s">
        <v>713</v>
      </c>
      <c r="F107" s="116" t="s">
        <v>715</v>
      </c>
    </row>
    <row r="108" spans="1:6" ht="12.75" customHeight="1">
      <c r="A108" t="str">
        <f t="shared" si="1"/>
        <v>IRVING MATERIALS, INC.  2431  PLYMOUTH, IN.  2431</v>
      </c>
      <c r="B108" s="119" t="s">
        <v>734</v>
      </c>
      <c r="C108" s="115">
        <v>2431</v>
      </c>
      <c r="D108" s="119">
        <v>2431</v>
      </c>
      <c r="E108" s="116" t="s">
        <v>713</v>
      </c>
      <c r="F108" s="116" t="s">
        <v>715</v>
      </c>
    </row>
    <row r="109" spans="1:6" ht="15" customHeight="1">
      <c r="A109" t="str">
        <f t="shared" si="1"/>
        <v>IRVING MATERIALS, INC.  2431  PLYMOUTH, IN.  2431</v>
      </c>
      <c r="B109" s="119" t="s">
        <v>734</v>
      </c>
      <c r="C109" s="115">
        <v>2431</v>
      </c>
      <c r="D109" s="119">
        <v>2431</v>
      </c>
      <c r="E109" s="116" t="s">
        <v>713</v>
      </c>
      <c r="F109" s="116" t="s">
        <v>715</v>
      </c>
    </row>
    <row r="110" spans="1:6" ht="12.75" customHeight="1">
      <c r="A110" t="str">
        <f t="shared" si="1"/>
        <v>IRVING MATERIALS, INC.  2498  BLUFFTON, IN.  2262</v>
      </c>
      <c r="B110" s="119" t="s">
        <v>735</v>
      </c>
      <c r="C110" s="115">
        <v>2498</v>
      </c>
      <c r="D110" s="119">
        <v>2262</v>
      </c>
      <c r="E110" s="116" t="s">
        <v>713</v>
      </c>
      <c r="F110" s="116" t="s">
        <v>718</v>
      </c>
    </row>
    <row r="111" spans="1:6" ht="15" customHeight="1">
      <c r="A111" t="str">
        <f t="shared" si="1"/>
        <v>IRVING MATERIALS, INC.  2542  SELLERSBURG, IN.  2542</v>
      </c>
      <c r="B111" s="119" t="s">
        <v>736</v>
      </c>
      <c r="C111" s="115">
        <v>2542</v>
      </c>
      <c r="D111" s="119">
        <v>2542</v>
      </c>
      <c r="E111" s="116" t="s">
        <v>713</v>
      </c>
      <c r="F111" s="116" t="s">
        <v>737</v>
      </c>
    </row>
    <row r="112" spans="1:6" ht="12.75" customHeight="1">
      <c r="A112" t="str">
        <f t="shared" si="1"/>
        <v>IRVING MATERIALS, INC.  2570  WALESBORO, IN  2570</v>
      </c>
      <c r="B112" s="119" t="s">
        <v>738</v>
      </c>
      <c r="C112" s="115">
        <v>2570</v>
      </c>
      <c r="D112" s="119">
        <v>2570</v>
      </c>
      <c r="E112" s="116" t="s">
        <v>713</v>
      </c>
      <c r="F112" s="116" t="s">
        <v>739</v>
      </c>
    </row>
    <row r="113" spans="1:6" ht="15" customHeight="1">
      <c r="A113" t="str">
        <f t="shared" si="1"/>
        <v>IRVING MATERIALS, INC.  2572  CORYDON, IN.  2572</v>
      </c>
      <c r="B113" s="119" t="s">
        <v>740</v>
      </c>
      <c r="C113" s="115">
        <v>2572</v>
      </c>
      <c r="D113" s="119">
        <v>2572</v>
      </c>
      <c r="E113" s="116" t="s">
        <v>713</v>
      </c>
      <c r="F113" s="116" t="s">
        <v>741</v>
      </c>
    </row>
    <row r="114" spans="1:6" ht="12.75" customHeight="1">
      <c r="A114" t="str">
        <f t="shared" si="1"/>
        <v>IRVING MATERIALS, INC.  2977  SELLERSBURG, IN.  2542</v>
      </c>
      <c r="B114" s="119" t="s">
        <v>646</v>
      </c>
      <c r="C114" s="115">
        <v>2977</v>
      </c>
      <c r="D114" s="119">
        <v>2542</v>
      </c>
      <c r="E114" s="116" t="s">
        <v>713</v>
      </c>
      <c r="F114" s="116" t="s">
        <v>737</v>
      </c>
    </row>
    <row r="115" spans="1:6" ht="15" customHeight="1">
      <c r="A115" t="str">
        <f t="shared" si="1"/>
        <v>JOHNSON CONSTRUCTION MATERIALS  2784  NEW WASHINGTON, IN  2784</v>
      </c>
      <c r="B115" s="119" t="s">
        <v>742</v>
      </c>
      <c r="C115" s="115">
        <v>2784</v>
      </c>
      <c r="D115" s="119">
        <v>2784</v>
      </c>
      <c r="E115" s="116" t="s">
        <v>743</v>
      </c>
      <c r="F115" s="116" t="s">
        <v>744</v>
      </c>
    </row>
    <row r="116" spans="1:6" ht="15" customHeight="1">
      <c r="A116" t="str">
        <f t="shared" si="1"/>
        <v>JONES AND SONS - STAR POINT  2641  VINCENNES, IN  2686</v>
      </c>
      <c r="B116" s="119" t="s">
        <v>561</v>
      </c>
      <c r="C116" s="115">
        <v>2641</v>
      </c>
      <c r="D116" s="119">
        <v>2686</v>
      </c>
      <c r="E116" s="116" t="s">
        <v>745</v>
      </c>
      <c r="F116" s="116" t="s">
        <v>746</v>
      </c>
    </row>
    <row r="117" spans="1:6" ht="12.75" customHeight="1">
      <c r="A117" t="str">
        <f t="shared" si="1"/>
        <v>JONES AND SONS - STAR POINT  2686  VINCENNES, IN  2686</v>
      </c>
      <c r="B117" s="119" t="s">
        <v>747</v>
      </c>
      <c r="C117" s="115">
        <v>2686</v>
      </c>
      <c r="D117" s="119">
        <v>2686</v>
      </c>
      <c r="E117" s="116" t="s">
        <v>745</v>
      </c>
      <c r="F117" s="116" t="s">
        <v>746</v>
      </c>
    </row>
    <row r="118" spans="1:6" ht="15" customHeight="1">
      <c r="A118" t="str">
        <f t="shared" si="1"/>
        <v>KNOX COUNTY SAND AND GRAVEL  2651  VINCENNES, IN.  2651</v>
      </c>
      <c r="B118" s="119" t="s">
        <v>748</v>
      </c>
      <c r="C118" s="115">
        <v>2651</v>
      </c>
      <c r="D118" s="119">
        <v>2651</v>
      </c>
      <c r="E118" s="116" t="s">
        <v>749</v>
      </c>
      <c r="F118" s="116" t="s">
        <v>750</v>
      </c>
    </row>
    <row r="119" spans="1:6" ht="12.75" customHeight="1">
      <c r="A119" t="str">
        <f t="shared" si="1"/>
        <v>KOKOMO GRAVEL, INC.  2794  PERU, IN  2794</v>
      </c>
      <c r="B119" s="119" t="s">
        <v>751</v>
      </c>
      <c r="C119" s="115">
        <v>2794</v>
      </c>
      <c r="D119" s="119">
        <v>2794</v>
      </c>
      <c r="E119" s="116" t="s">
        <v>752</v>
      </c>
      <c r="F119" s="116" t="s">
        <v>753</v>
      </c>
    </row>
    <row r="120" spans="1:6" ht="15" customHeight="1">
      <c r="A120" t="str">
        <f t="shared" si="1"/>
        <v>LANDMARK MATERIALS, LLC  0106  WALKERTON, IN  0106</v>
      </c>
      <c r="B120" s="119" t="s">
        <v>754</v>
      </c>
      <c r="C120" s="117" t="s">
        <v>755</v>
      </c>
      <c r="D120" s="120" t="s">
        <v>755</v>
      </c>
      <c r="E120" s="116" t="s">
        <v>756</v>
      </c>
      <c r="F120" s="116" t="s">
        <v>757</v>
      </c>
    </row>
    <row r="121" spans="1:6" ht="12.75" customHeight="1">
      <c r="A121" t="str">
        <f t="shared" si="1"/>
        <v>LEESBURG SAND AND GRAVEL  2217  LEESBURG, IN.  2217</v>
      </c>
      <c r="B121" s="119" t="s">
        <v>617</v>
      </c>
      <c r="C121" s="115">
        <v>2217</v>
      </c>
      <c r="D121" s="119">
        <v>2217</v>
      </c>
      <c r="E121" s="116" t="s">
        <v>758</v>
      </c>
      <c r="F121" s="116" t="s">
        <v>759</v>
      </c>
    </row>
    <row r="122" spans="1:6" ht="15" customHeight="1">
      <c r="A122" t="str">
        <f t="shared" si="1"/>
        <v>LINCOLN PARK STONE  2113  PUTNAMVILLE, IN  2180</v>
      </c>
      <c r="B122" s="119" t="s">
        <v>760</v>
      </c>
      <c r="C122" s="115">
        <v>2113</v>
      </c>
      <c r="D122" s="119">
        <v>2180</v>
      </c>
      <c r="E122" s="116" t="s">
        <v>761</v>
      </c>
      <c r="F122" s="116" t="s">
        <v>608</v>
      </c>
    </row>
    <row r="123" spans="1:6" ht="12.75" customHeight="1">
      <c r="A123" t="str">
        <f t="shared" si="1"/>
        <v>LINCOLN PARK STONE  2163  PUTNAMVILLE, IN  2180</v>
      </c>
      <c r="B123" s="119" t="s">
        <v>762</v>
      </c>
      <c r="C123" s="115">
        <v>2163</v>
      </c>
      <c r="D123" s="119">
        <v>2180</v>
      </c>
      <c r="E123" s="116" t="s">
        <v>761</v>
      </c>
      <c r="F123" s="116" t="s">
        <v>608</v>
      </c>
    </row>
    <row r="124" spans="1:6" ht="15" customHeight="1">
      <c r="A124" t="str">
        <f t="shared" si="1"/>
        <v>LINCOLN PARK STONE  2180  PUTNAMVILLE, IN  2180</v>
      </c>
      <c r="B124" s="119" t="s">
        <v>763</v>
      </c>
      <c r="C124" s="115">
        <v>2180</v>
      </c>
      <c r="D124" s="119">
        <v>2180</v>
      </c>
      <c r="E124" s="116" t="s">
        <v>761</v>
      </c>
      <c r="F124" s="116" t="s">
        <v>608</v>
      </c>
    </row>
    <row r="125" spans="1:6" ht="12.75" customHeight="1">
      <c r="A125" t="str">
        <f t="shared" si="1"/>
        <v>LINCOLN PARK STONE  2793  GOSPORT, IN  2793</v>
      </c>
      <c r="B125" s="119" t="s">
        <v>764</v>
      </c>
      <c r="C125" s="115">
        <v>2793</v>
      </c>
      <c r="D125" s="119">
        <v>2793</v>
      </c>
      <c r="E125" s="116" t="s">
        <v>761</v>
      </c>
      <c r="F125" s="116" t="s">
        <v>765</v>
      </c>
    </row>
    <row r="126" spans="1:6" ht="15" customHeight="1">
      <c r="A126" t="str">
        <f t="shared" ref="A126:A188" si="2">E126&amp;"  "&amp;C126&amp;"  "&amp;F126&amp;"  "&amp;D126</f>
        <v>LITER'S QUARRY   2569  LOCKPORT, KY  2569</v>
      </c>
      <c r="B126" s="119" t="s">
        <v>766</v>
      </c>
      <c r="C126" s="115">
        <v>2569</v>
      </c>
      <c r="D126" s="119">
        <v>2569</v>
      </c>
      <c r="E126" s="116" t="s">
        <v>767</v>
      </c>
      <c r="F126" s="116" t="s">
        <v>768</v>
      </c>
    </row>
    <row r="127" spans="1:6" ht="12.75" customHeight="1">
      <c r="A127" t="str">
        <f t="shared" si="2"/>
        <v>M &amp; H PRODUCTS  0120  LAFAYETTE, IN  0120</v>
      </c>
      <c r="B127" s="119" t="s">
        <v>769</v>
      </c>
      <c r="C127" s="117" t="s">
        <v>770</v>
      </c>
      <c r="D127" s="120" t="s">
        <v>770</v>
      </c>
      <c r="E127" s="116" t="s">
        <v>771</v>
      </c>
      <c r="F127" s="116" t="s">
        <v>772</v>
      </c>
    </row>
    <row r="128" spans="1:6" ht="15" customHeight="1">
      <c r="A128" t="str">
        <f t="shared" si="2"/>
        <v>M &amp; H PRODUCTS  0128  GHENT, KY  0128</v>
      </c>
      <c r="B128" s="119" t="s">
        <v>773</v>
      </c>
      <c r="C128" s="117" t="s">
        <v>774</v>
      </c>
      <c r="D128" s="120" t="s">
        <v>774</v>
      </c>
      <c r="E128" s="116" t="s">
        <v>771</v>
      </c>
      <c r="F128" s="116" t="s">
        <v>668</v>
      </c>
    </row>
    <row r="129" spans="1:6" ht="15" customHeight="1">
      <c r="A129" t="str">
        <f t="shared" si="2"/>
        <v>MARTIN MARIETTA   2157  CLOVERDALE, IN.  2157</v>
      </c>
      <c r="B129" s="119" t="s">
        <v>775</v>
      </c>
      <c r="C129" s="115">
        <v>2157</v>
      </c>
      <c r="D129" s="119">
        <v>2157</v>
      </c>
      <c r="E129" s="116" t="s">
        <v>776</v>
      </c>
      <c r="F129" s="116" t="s">
        <v>777</v>
      </c>
    </row>
    <row r="130" spans="1:6" ht="15" customHeight="1">
      <c r="A130" t="str">
        <f t="shared" si="2"/>
        <v>MARTIN MARIETTA   2519  ROSS, OH.  2519</v>
      </c>
      <c r="B130" s="119" t="s">
        <v>778</v>
      </c>
      <c r="C130" s="115">
        <v>2519</v>
      </c>
      <c r="D130" s="119">
        <v>2519</v>
      </c>
      <c r="E130" s="116" t="s">
        <v>776</v>
      </c>
      <c r="F130" s="116" t="s">
        <v>779</v>
      </c>
    </row>
    <row r="131" spans="1:6" ht="15" customHeight="1">
      <c r="A131" t="str">
        <f t="shared" si="2"/>
        <v>MARTIN MARIETTA  2314  NOBLESVILLE, IN  2389</v>
      </c>
      <c r="B131" s="119" t="s">
        <v>780</v>
      </c>
      <c r="C131" s="115">
        <v>2314</v>
      </c>
      <c r="D131" s="119">
        <v>2389</v>
      </c>
      <c r="E131" s="116" t="s">
        <v>781</v>
      </c>
      <c r="F131" s="116" t="s">
        <v>782</v>
      </c>
    </row>
    <row r="132" spans="1:6" ht="15" customHeight="1">
      <c r="A132" t="str">
        <f t="shared" si="2"/>
        <v>MARTIN MARIETTA  2353  KOKOMO, IN.  2353</v>
      </c>
      <c r="B132" s="119" t="s">
        <v>783</v>
      </c>
      <c r="C132" s="115">
        <v>2353</v>
      </c>
      <c r="D132" s="119">
        <v>2353</v>
      </c>
      <c r="E132" s="116" t="s">
        <v>781</v>
      </c>
      <c r="F132" s="116" t="s">
        <v>568</v>
      </c>
    </row>
    <row r="133" spans="1:6" ht="15" customHeight="1">
      <c r="A133" t="str">
        <f t="shared" si="2"/>
        <v>MARTIN MARIETTA  2389  NOBLESVILLE, IN  2389</v>
      </c>
      <c r="B133" s="119" t="s">
        <v>784</v>
      </c>
      <c r="C133" s="115">
        <v>2389</v>
      </c>
      <c r="D133" s="119">
        <v>2389</v>
      </c>
      <c r="E133" s="116" t="s">
        <v>781</v>
      </c>
      <c r="F133" s="116" t="s">
        <v>782</v>
      </c>
    </row>
    <row r="134" spans="1:6" ht="15" customHeight="1">
      <c r="A134" t="str">
        <f t="shared" si="2"/>
        <v>MARTIN MARIETTA  2522  WAVERLY, IN.  2522</v>
      </c>
      <c r="B134" s="119" t="s">
        <v>785</v>
      </c>
      <c r="C134" s="115">
        <v>2522</v>
      </c>
      <c r="D134" s="119">
        <v>2522</v>
      </c>
      <c r="E134" s="116" t="s">
        <v>781</v>
      </c>
      <c r="F134" s="116" t="s">
        <v>786</v>
      </c>
    </row>
    <row r="135" spans="1:6" ht="15" customHeight="1">
      <c r="A135" t="str">
        <f t="shared" si="2"/>
        <v>MARTIN MARIETTA  2762  RUSSIAVILLE, IN  2762</v>
      </c>
      <c r="B135" s="119" t="s">
        <v>787</v>
      </c>
      <c r="C135" s="115">
        <v>2762</v>
      </c>
      <c r="D135" s="119">
        <v>2762</v>
      </c>
      <c r="E135" s="116" t="s">
        <v>781</v>
      </c>
      <c r="F135" s="116" t="s">
        <v>788</v>
      </c>
    </row>
    <row r="136" spans="1:6" ht="15" customHeight="1">
      <c r="A136" t="str">
        <f t="shared" si="2"/>
        <v>MARTIN MARIETTA - 96TH STREET  2311  INDIANAPOLIS, IN.  2311</v>
      </c>
      <c r="B136" s="119" t="s">
        <v>789</v>
      </c>
      <c r="C136" s="115">
        <v>2311</v>
      </c>
      <c r="D136" s="119">
        <v>2311</v>
      </c>
      <c r="E136" s="116" t="s">
        <v>790</v>
      </c>
      <c r="F136" s="116" t="s">
        <v>637</v>
      </c>
    </row>
    <row r="137" spans="1:6" ht="15" customHeight="1">
      <c r="A137" t="str">
        <f t="shared" si="2"/>
        <v>MARTIN MARIETTA - KENTUCKY AVE  2314  CLOVERDALE, IN.  2157</v>
      </c>
      <c r="B137" s="119" t="s">
        <v>780</v>
      </c>
      <c r="C137" s="115">
        <v>2314</v>
      </c>
      <c r="D137" s="119">
        <v>2157</v>
      </c>
      <c r="E137" s="116" t="s">
        <v>791</v>
      </c>
      <c r="F137" s="116" t="s">
        <v>777</v>
      </c>
    </row>
    <row r="138" spans="1:6" ht="15" customHeight="1">
      <c r="A138" t="str">
        <f t="shared" si="2"/>
        <v>MARTIN MARIETTA - KENTUCKY AVE  2314  INDIANAPOLIS, IN.  2314</v>
      </c>
      <c r="B138" s="119" t="s">
        <v>780</v>
      </c>
      <c r="C138" s="115">
        <v>2314</v>
      </c>
      <c r="D138" s="119">
        <v>2314</v>
      </c>
      <c r="E138" s="116" t="s">
        <v>791</v>
      </c>
      <c r="F138" s="116" t="s">
        <v>637</v>
      </c>
    </row>
    <row r="139" spans="1:6" ht="15" customHeight="1">
      <c r="A139" t="str">
        <f t="shared" si="2"/>
        <v>MARTIN MARIETTA - RIVER RD  2303  CARMEL, IN.  2303</v>
      </c>
      <c r="B139" s="119" t="s">
        <v>792</v>
      </c>
      <c r="C139" s="115">
        <v>2303</v>
      </c>
      <c r="D139" s="119">
        <v>2303</v>
      </c>
      <c r="E139" s="116" t="s">
        <v>793</v>
      </c>
      <c r="F139" s="116" t="s">
        <v>794</v>
      </c>
    </row>
    <row r="140" spans="1:6" ht="15" customHeight="1">
      <c r="A140" t="str">
        <f t="shared" si="2"/>
        <v>MARTIN MARIETTA-BELMONT  2310  INDIANAPOLIS, IN.  2310</v>
      </c>
      <c r="B140" s="119" t="s">
        <v>795</v>
      </c>
      <c r="C140" s="115">
        <v>2310</v>
      </c>
      <c r="D140" s="119">
        <v>2310</v>
      </c>
      <c r="E140" s="116" t="s">
        <v>796</v>
      </c>
      <c r="F140" s="116" t="s">
        <v>637</v>
      </c>
    </row>
    <row r="141" spans="1:6" ht="12.75" customHeight="1">
      <c r="A141" t="str">
        <f t="shared" si="2"/>
        <v>MARTIN MARIETTA-E-TOWN S AND G  2506  HARRISON, OH  2506</v>
      </c>
      <c r="B141" s="119" t="s">
        <v>797</v>
      </c>
      <c r="C141" s="115">
        <v>2506</v>
      </c>
      <c r="D141" s="119">
        <v>2506</v>
      </c>
      <c r="E141" s="116" t="s">
        <v>798</v>
      </c>
      <c r="F141" s="116" t="s">
        <v>799</v>
      </c>
    </row>
    <row r="142" spans="1:6" ht="12.75" customHeight="1">
      <c r="A142" t="str">
        <f t="shared" si="2"/>
        <v>MICHIANA AGGREGATE, INC.  2495  NILES, MI  2495</v>
      </c>
      <c r="B142" s="119" t="s">
        <v>800</v>
      </c>
      <c r="C142" s="115">
        <v>2495</v>
      </c>
      <c r="D142" s="119">
        <v>2495</v>
      </c>
      <c r="E142" s="116" t="s">
        <v>801</v>
      </c>
      <c r="F142" s="116" t="s">
        <v>530</v>
      </c>
    </row>
    <row r="143" spans="1:6" ht="12.75" customHeight="1">
      <c r="A143" t="str">
        <f t="shared" si="2"/>
        <v>MILESTONE PLANT 43  0056  CRAWFORDSVILLE, IN  0056</v>
      </c>
      <c r="B143" s="119" t="s">
        <v>802</v>
      </c>
      <c r="C143" s="117" t="s">
        <v>803</v>
      </c>
      <c r="D143" s="120" t="s">
        <v>803</v>
      </c>
      <c r="E143" s="116" t="s">
        <v>804</v>
      </c>
      <c r="F143" s="116" t="s">
        <v>805</v>
      </c>
    </row>
    <row r="144" spans="1:6" ht="12.75" customHeight="1">
      <c r="A144" t="str">
        <f t="shared" si="2"/>
        <v>MOOSE LAKE AGGREGATE  2771  NILES, MI  2771</v>
      </c>
      <c r="B144" s="119" t="s">
        <v>806</v>
      </c>
      <c r="C144" s="115">
        <v>2771</v>
      </c>
      <c r="D144" s="119">
        <v>2771</v>
      </c>
      <c r="E144" s="116" t="s">
        <v>807</v>
      </c>
      <c r="F144" s="116" t="s">
        <v>530</v>
      </c>
    </row>
    <row r="145" spans="1:6" ht="12.75" customHeight="1">
      <c r="A145" t="str">
        <f t="shared" si="2"/>
        <v>MULTISERV STEEL DYNAMICS  2186  PITTSBORO, IN  2186</v>
      </c>
      <c r="B145" s="119" t="s">
        <v>808</v>
      </c>
      <c r="C145" s="115">
        <v>2186</v>
      </c>
      <c r="D145" s="119">
        <v>2186</v>
      </c>
      <c r="E145" s="116" t="s">
        <v>809</v>
      </c>
      <c r="F145" s="116" t="s">
        <v>810</v>
      </c>
    </row>
    <row r="146" spans="1:6" ht="12.75" customHeight="1">
      <c r="A146" t="str">
        <f t="shared" si="2"/>
        <v>MULZER - EVANSVILLE IN  2974  CAPE SANDY, IN.  2621</v>
      </c>
      <c r="B146" s="119" t="s">
        <v>599</v>
      </c>
      <c r="C146" s="115">
        <v>2974</v>
      </c>
      <c r="D146" s="119">
        <v>2621</v>
      </c>
      <c r="E146" s="116" t="s">
        <v>811</v>
      </c>
      <c r="F146" s="116" t="s">
        <v>812</v>
      </c>
    </row>
    <row r="147" spans="1:6" ht="12.75" customHeight="1">
      <c r="A147" t="str">
        <f t="shared" si="2"/>
        <v>MULZER - LEAVENWORTH IN  2624  CAPE SANDY, IN.  2621</v>
      </c>
      <c r="B147" s="119" t="s">
        <v>813</v>
      </c>
      <c r="C147" s="115">
        <v>2624</v>
      </c>
      <c r="D147" s="119">
        <v>2621</v>
      </c>
      <c r="E147" s="116" t="s">
        <v>814</v>
      </c>
      <c r="F147" s="116" t="s">
        <v>812</v>
      </c>
    </row>
    <row r="148" spans="1:6" ht="12.75" customHeight="1">
      <c r="A148" t="str">
        <f t="shared" si="2"/>
        <v>MULZER - NEWBURGH IN  2970  CAPE SANDY, IN.  2621</v>
      </c>
      <c r="B148" s="119" t="s">
        <v>596</v>
      </c>
      <c r="C148" s="115">
        <v>2970</v>
      </c>
      <c r="D148" s="119">
        <v>2621</v>
      </c>
      <c r="E148" s="116" t="s">
        <v>815</v>
      </c>
      <c r="F148" s="116" t="s">
        <v>812</v>
      </c>
    </row>
    <row r="149" spans="1:6" ht="12.75" customHeight="1">
      <c r="A149" t="str">
        <f t="shared" si="2"/>
        <v>MULZER - TELL CITY IN  2972  CAPE SANDY, IN.  2621</v>
      </c>
      <c r="B149" s="119" t="s">
        <v>598</v>
      </c>
      <c r="C149" s="115">
        <v>2972</v>
      </c>
      <c r="D149" s="119">
        <v>2621</v>
      </c>
      <c r="E149" s="116" t="s">
        <v>816</v>
      </c>
      <c r="F149" s="116" t="s">
        <v>812</v>
      </c>
    </row>
    <row r="150" spans="1:6" ht="12.75" customHeight="1">
      <c r="A150" t="str">
        <f t="shared" si="2"/>
        <v>MULZER (EVANSVILLE MATERIALS)  2632  CAPE SANDY, IN.  2621</v>
      </c>
      <c r="B150" s="119" t="s">
        <v>592</v>
      </c>
      <c r="C150" s="115">
        <v>2632</v>
      </c>
      <c r="D150" s="119">
        <v>2621</v>
      </c>
      <c r="E150" s="116" t="s">
        <v>817</v>
      </c>
      <c r="F150" s="116" t="s">
        <v>812</v>
      </c>
    </row>
    <row r="151" spans="1:6" ht="12.75" customHeight="1">
      <c r="A151" t="str">
        <f t="shared" si="2"/>
        <v>MULZER CRUSHED STONE   2682  ABYDEL, IN  2682</v>
      </c>
      <c r="B151" s="119" t="s">
        <v>818</v>
      </c>
      <c r="C151" s="115">
        <v>2682</v>
      </c>
      <c r="D151" s="119">
        <v>2682</v>
      </c>
      <c r="E151" s="116" t="s">
        <v>819</v>
      </c>
      <c r="F151" s="116" t="s">
        <v>820</v>
      </c>
    </row>
    <row r="152" spans="1:6" ht="12.75" customHeight="1">
      <c r="A152" t="str">
        <f t="shared" si="2"/>
        <v>MULZER CRUSHED STONE  2540  CHARLESTOWN, IN.  2540</v>
      </c>
      <c r="B152" s="119" t="s">
        <v>821</v>
      </c>
      <c r="C152" s="115">
        <v>2540</v>
      </c>
      <c r="D152" s="119">
        <v>2540</v>
      </c>
      <c r="E152" s="116" t="s">
        <v>822</v>
      </c>
      <c r="F152" s="116" t="s">
        <v>823</v>
      </c>
    </row>
    <row r="153" spans="1:6" ht="12.75" customHeight="1">
      <c r="A153" t="str">
        <f t="shared" si="2"/>
        <v>MULZER CRUSHED STONE  2572  GRIFFIN, IN.  2631</v>
      </c>
      <c r="B153" s="119" t="s">
        <v>740</v>
      </c>
      <c r="C153" s="115">
        <v>2572</v>
      </c>
      <c r="D153" s="119">
        <v>2631</v>
      </c>
      <c r="E153" s="116" t="s">
        <v>822</v>
      </c>
      <c r="F153" s="116" t="s">
        <v>824</v>
      </c>
    </row>
    <row r="154" spans="1:6" ht="12.75" customHeight="1">
      <c r="A154" t="str">
        <f t="shared" si="2"/>
        <v>MULZER CRUSHED STONE  2631  GRIFFIN, IN.  2631</v>
      </c>
      <c r="B154" s="119" t="s">
        <v>825</v>
      </c>
      <c r="C154" s="115">
        <v>2631</v>
      </c>
      <c r="D154" s="119">
        <v>2631</v>
      </c>
      <c r="E154" s="116" t="s">
        <v>822</v>
      </c>
      <c r="F154" s="116" t="s">
        <v>824</v>
      </c>
    </row>
    <row r="155" spans="1:6" ht="12.75" customHeight="1">
      <c r="A155" t="str">
        <f t="shared" si="2"/>
        <v>MULZER CRUSHED STONE  2632  GRIFFIN, IN.  2631</v>
      </c>
      <c r="B155" s="119" t="s">
        <v>592</v>
      </c>
      <c r="C155" s="115">
        <v>2632</v>
      </c>
      <c r="D155" s="119">
        <v>2631</v>
      </c>
      <c r="E155" s="116" t="s">
        <v>822</v>
      </c>
      <c r="F155" s="116" t="s">
        <v>824</v>
      </c>
    </row>
    <row r="156" spans="1:6" ht="12.75" customHeight="1">
      <c r="A156" t="str">
        <f t="shared" si="2"/>
        <v>MULZER CRUSHED STONE  2969  GRIFFIN, IN.  2631</v>
      </c>
      <c r="B156" s="119" t="s">
        <v>595</v>
      </c>
      <c r="C156" s="115">
        <v>2969</v>
      </c>
      <c r="D156" s="119">
        <v>2631</v>
      </c>
      <c r="E156" s="116" t="s">
        <v>822</v>
      </c>
      <c r="F156" s="116" t="s">
        <v>824</v>
      </c>
    </row>
    <row r="157" spans="1:6" ht="12.75" customHeight="1">
      <c r="A157" t="str">
        <f t="shared" si="2"/>
        <v>MULZER CRUSHED STONE  2969  NEW AMSTERDAM, IN  2776</v>
      </c>
      <c r="B157" s="119" t="s">
        <v>595</v>
      </c>
      <c r="C157" s="115">
        <v>2969</v>
      </c>
      <c r="D157" s="119">
        <v>2776</v>
      </c>
      <c r="E157" s="116" t="s">
        <v>822</v>
      </c>
      <c r="F157" s="116" t="s">
        <v>826</v>
      </c>
    </row>
    <row r="158" spans="1:6" ht="12.75" customHeight="1">
      <c r="A158" t="str">
        <f t="shared" si="2"/>
        <v>MULZER CRUSHED STONE  2970  CHARLESTOWN, IN.  2540</v>
      </c>
      <c r="B158" s="119" t="s">
        <v>596</v>
      </c>
      <c r="C158" s="115">
        <v>2970</v>
      </c>
      <c r="D158" s="119">
        <v>2540</v>
      </c>
      <c r="E158" s="116" t="s">
        <v>822</v>
      </c>
      <c r="F158" s="116" t="s">
        <v>823</v>
      </c>
    </row>
    <row r="159" spans="1:6" ht="12.75" customHeight="1">
      <c r="A159" t="str">
        <f t="shared" si="2"/>
        <v>MULZER CRUSHED STONE  2970  CHARLESTOWN, IN.  2540</v>
      </c>
      <c r="B159" s="119" t="s">
        <v>596</v>
      </c>
      <c r="C159" s="115">
        <v>2970</v>
      </c>
      <c r="D159" s="119">
        <v>2540</v>
      </c>
      <c r="E159" s="116" t="s">
        <v>822</v>
      </c>
      <c r="F159" s="116" t="s">
        <v>823</v>
      </c>
    </row>
    <row r="160" spans="1:6" ht="12.75" customHeight="1">
      <c r="A160" t="str">
        <f t="shared" si="2"/>
        <v>MULZER CRUSHED STONE  2970  GRIFFIN, IN.  2631</v>
      </c>
      <c r="B160" s="119" t="s">
        <v>596</v>
      </c>
      <c r="C160" s="115">
        <v>2970</v>
      </c>
      <c r="D160" s="119">
        <v>2631</v>
      </c>
      <c r="E160" s="116" t="s">
        <v>822</v>
      </c>
      <c r="F160" s="116" t="s">
        <v>824</v>
      </c>
    </row>
    <row r="161" spans="1:6" ht="12.75" customHeight="1">
      <c r="A161" t="str">
        <f t="shared" si="2"/>
        <v>MULZER CRUSHED STONE  2970  NEW AMSTERDAM, IN  2776</v>
      </c>
      <c r="B161" s="119" t="s">
        <v>596</v>
      </c>
      <c r="C161" s="115">
        <v>2970</v>
      </c>
      <c r="D161" s="119">
        <v>2776</v>
      </c>
      <c r="E161" s="116" t="s">
        <v>822</v>
      </c>
      <c r="F161" s="116" t="s">
        <v>826</v>
      </c>
    </row>
    <row r="162" spans="1:6" ht="12.75" customHeight="1">
      <c r="A162" t="str">
        <f t="shared" si="2"/>
        <v>MULZER CRUSHED STONE  2970  NEW AMSTERDAM, IN  2776</v>
      </c>
      <c r="B162" s="119" t="s">
        <v>596</v>
      </c>
      <c r="C162" s="115">
        <v>2970</v>
      </c>
      <c r="D162" s="119">
        <v>2776</v>
      </c>
      <c r="E162" s="116" t="s">
        <v>822</v>
      </c>
      <c r="F162" s="116" t="s">
        <v>826</v>
      </c>
    </row>
    <row r="163" spans="1:6" ht="12.75" customHeight="1">
      <c r="A163" t="str">
        <f t="shared" si="2"/>
        <v>MULZER CRUSHED STONE  2971  NEW AMSTERDAM, IN  2776</v>
      </c>
      <c r="B163" s="119" t="s">
        <v>597</v>
      </c>
      <c r="C163" s="115">
        <v>2971</v>
      </c>
      <c r="D163" s="119">
        <v>2776</v>
      </c>
      <c r="E163" s="116" t="s">
        <v>822</v>
      </c>
      <c r="F163" s="116" t="s">
        <v>826</v>
      </c>
    </row>
    <row r="164" spans="1:6" ht="12.75" customHeight="1">
      <c r="A164" t="str">
        <f t="shared" si="2"/>
        <v>MULZER CRUSHED STONE  2972  CHARLESTOWN, IN.  2540</v>
      </c>
      <c r="B164" s="119" t="s">
        <v>598</v>
      </c>
      <c r="C164" s="115">
        <v>2972</v>
      </c>
      <c r="D164" s="119">
        <v>2540</v>
      </c>
      <c r="E164" s="116" t="s">
        <v>822</v>
      </c>
      <c r="F164" s="116" t="s">
        <v>823</v>
      </c>
    </row>
    <row r="165" spans="1:6" ht="12.75" customHeight="1">
      <c r="A165" t="str">
        <f t="shared" si="2"/>
        <v>MULZER CRUSHED STONE  2972  NEW AMSTERDAM, IN  2776</v>
      </c>
      <c r="B165" s="119" t="s">
        <v>598</v>
      </c>
      <c r="C165" s="115">
        <v>2972</v>
      </c>
      <c r="D165" s="119">
        <v>2776</v>
      </c>
      <c r="E165" s="116" t="s">
        <v>822</v>
      </c>
      <c r="F165" s="116" t="s">
        <v>826</v>
      </c>
    </row>
    <row r="166" spans="1:6" ht="12.75" customHeight="1">
      <c r="A166" t="str">
        <f t="shared" si="2"/>
        <v>MULZER CRUSHED STONE  2974  CHARLESTOWN, IN.  2540</v>
      </c>
      <c r="B166" s="119" t="s">
        <v>599</v>
      </c>
      <c r="C166" s="115">
        <v>2974</v>
      </c>
      <c r="D166" s="119">
        <v>2540</v>
      </c>
      <c r="E166" s="116" t="s">
        <v>822</v>
      </c>
      <c r="F166" s="116" t="s">
        <v>823</v>
      </c>
    </row>
    <row r="167" spans="1:6" ht="12.75" customHeight="1">
      <c r="A167" t="str">
        <f t="shared" si="2"/>
        <v>MULZER CRUSHED STONE  2974  GRIFFIN, IN.  2631</v>
      </c>
      <c r="B167" s="119" t="s">
        <v>599</v>
      </c>
      <c r="C167" s="115">
        <v>2974</v>
      </c>
      <c r="D167" s="119">
        <v>2631</v>
      </c>
      <c r="E167" s="116" t="s">
        <v>822</v>
      </c>
      <c r="F167" s="116" t="s">
        <v>824</v>
      </c>
    </row>
    <row r="168" spans="1:6" ht="12.75" customHeight="1">
      <c r="A168" t="str">
        <f t="shared" si="2"/>
        <v>MULZER CRUSHED STONE CO.  2624  LEAVENWORTH, IN.  2624</v>
      </c>
      <c r="B168" s="119" t="s">
        <v>813</v>
      </c>
      <c r="C168" s="115">
        <v>2624</v>
      </c>
      <c r="D168" s="119">
        <v>2624</v>
      </c>
      <c r="E168" s="116" t="s">
        <v>827</v>
      </c>
      <c r="F168" s="116" t="s">
        <v>828</v>
      </c>
    </row>
    <row r="169" spans="1:6" ht="12.75" customHeight="1">
      <c r="A169" t="str">
        <f t="shared" si="2"/>
        <v>MULZER CRUSHED STONE CO.  2646  ENGLISH, IN.  2646</v>
      </c>
      <c r="B169" s="119" t="s">
        <v>829</v>
      </c>
      <c r="C169" s="115">
        <v>2646</v>
      </c>
      <c r="D169" s="119">
        <v>2646</v>
      </c>
      <c r="E169" s="116" t="s">
        <v>827</v>
      </c>
      <c r="F169" s="116" t="s">
        <v>830</v>
      </c>
    </row>
    <row r="170" spans="1:6" ht="12.75" customHeight="1">
      <c r="A170" t="str">
        <f t="shared" si="2"/>
        <v>MULZER CRUSHED STONE CO.  2972  ENGLISH, IN.  2646</v>
      </c>
      <c r="B170" s="119" t="s">
        <v>598</v>
      </c>
      <c r="C170" s="115">
        <v>2972</v>
      </c>
      <c r="D170" s="119">
        <v>2646</v>
      </c>
      <c r="E170" s="116" t="s">
        <v>827</v>
      </c>
      <c r="F170" s="116" t="s">
        <v>830</v>
      </c>
    </row>
    <row r="171" spans="1:6" ht="12.75" customHeight="1">
      <c r="A171" t="str">
        <f t="shared" si="2"/>
        <v>MULZER CRUSHED STONE CO.  2972  LEAVENWORTH, IN.  2624</v>
      </c>
      <c r="B171" s="119" t="s">
        <v>598</v>
      </c>
      <c r="C171" s="115">
        <v>2972</v>
      </c>
      <c r="D171" s="119">
        <v>2624</v>
      </c>
      <c r="E171" s="116" t="s">
        <v>827</v>
      </c>
      <c r="F171" s="116" t="s">
        <v>828</v>
      </c>
    </row>
    <row r="172" spans="1:6" ht="12.75" customHeight="1">
      <c r="A172" t="str">
        <f t="shared" si="2"/>
        <v>MULZER CRUSHED STONE I-164 PIT  2632  EVANSVILLE, IN.  2668</v>
      </c>
      <c r="B172" s="119" t="s">
        <v>592</v>
      </c>
      <c r="C172" s="115">
        <v>2632</v>
      </c>
      <c r="D172" s="119">
        <v>2668</v>
      </c>
      <c r="E172" s="116" t="s">
        <v>831</v>
      </c>
      <c r="F172" s="116" t="s">
        <v>594</v>
      </c>
    </row>
    <row r="173" spans="1:6" ht="12.75" customHeight="1">
      <c r="A173" t="str">
        <f t="shared" si="2"/>
        <v>MULZER CRUSHED STONE I-164 PIT  2668  EVANSVILLE, IN.  2668</v>
      </c>
      <c r="B173" s="119" t="s">
        <v>832</v>
      </c>
      <c r="C173" s="115">
        <v>2668</v>
      </c>
      <c r="D173" s="119">
        <v>2668</v>
      </c>
      <c r="E173" s="116" t="s">
        <v>831</v>
      </c>
      <c r="F173" s="116" t="s">
        <v>594</v>
      </c>
    </row>
    <row r="174" spans="1:6" ht="12.75" customHeight="1">
      <c r="A174" t="str">
        <f t="shared" si="2"/>
        <v>MULZER CRUSHED STONE I-164 PIT  2970  EVANSVILLE, IN.  2668</v>
      </c>
      <c r="B174" s="119" t="s">
        <v>596</v>
      </c>
      <c r="C174" s="115">
        <v>2970</v>
      </c>
      <c r="D174" s="119">
        <v>2668</v>
      </c>
      <c r="E174" s="116" t="s">
        <v>831</v>
      </c>
      <c r="F174" s="116" t="s">
        <v>594</v>
      </c>
    </row>
    <row r="175" spans="1:6" ht="12.75" customHeight="1">
      <c r="A175" t="str">
        <f t="shared" si="2"/>
        <v>MULZER CRUSHED STONE I-164 PIT  2974  EVANSVILLE, IN.  2668</v>
      </c>
      <c r="B175" s="119" t="s">
        <v>599</v>
      </c>
      <c r="C175" s="115">
        <v>2974</v>
      </c>
      <c r="D175" s="119">
        <v>2668</v>
      </c>
      <c r="E175" s="116" t="s">
        <v>831</v>
      </c>
      <c r="F175" s="116" t="s">
        <v>594</v>
      </c>
    </row>
    <row r="176" spans="1:6" ht="12.75" customHeight="1">
      <c r="A176" t="str">
        <f t="shared" si="2"/>
        <v>MULZER- MT. VERNON IN  2969  CAPE SANDY, IN.  2621</v>
      </c>
      <c r="B176" s="119" t="s">
        <v>595</v>
      </c>
      <c r="C176" s="115">
        <v>2969</v>
      </c>
      <c r="D176" s="119">
        <v>2621</v>
      </c>
      <c r="E176" s="116" t="s">
        <v>833</v>
      </c>
      <c r="F176" s="116" t="s">
        <v>812</v>
      </c>
    </row>
    <row r="177" spans="1:6">
      <c r="A177" t="str">
        <f t="shared" si="2"/>
        <v>MULZER- ROCKPORT IN  2971  CAPE SANDY, IN.  2621</v>
      </c>
      <c r="B177" s="119" t="s">
        <v>597</v>
      </c>
      <c r="C177" s="115">
        <v>2971</v>
      </c>
      <c r="D177" s="119">
        <v>2621</v>
      </c>
      <c r="E177" s="116" t="s">
        <v>834</v>
      </c>
      <c r="F177" s="116" t="s">
        <v>812</v>
      </c>
    </row>
    <row r="178" spans="1:6">
      <c r="A178" t="str">
        <f t="shared" si="2"/>
        <v>NEW POINT STONE - HARRIS CITY  2533  GREENSBURG, IN.  2533</v>
      </c>
      <c r="B178" s="119" t="s">
        <v>835</v>
      </c>
      <c r="C178" s="115">
        <v>2533</v>
      </c>
      <c r="D178" s="119">
        <v>2533</v>
      </c>
      <c r="E178" s="116" t="s">
        <v>836</v>
      </c>
      <c r="F178" s="116" t="s">
        <v>837</v>
      </c>
    </row>
    <row r="179" spans="1:6">
      <c r="A179" t="str">
        <f t="shared" si="2"/>
        <v>NEW POINT STONE CO   2538  ST. PAUL, IN.  2538</v>
      </c>
      <c r="B179" s="119" t="s">
        <v>838</v>
      </c>
      <c r="C179" s="115">
        <v>2538</v>
      </c>
      <c r="D179" s="119">
        <v>2538</v>
      </c>
      <c r="E179" s="116" t="s">
        <v>839</v>
      </c>
      <c r="F179" s="116" t="s">
        <v>840</v>
      </c>
    </row>
    <row r="180" spans="1:6">
      <c r="A180" t="str">
        <f t="shared" si="2"/>
        <v>NEW POINT STONE CO - NAPOLEON  2537  BATESVILLE, IN  2537</v>
      </c>
      <c r="B180" s="119" t="s">
        <v>841</v>
      </c>
      <c r="C180" s="115">
        <v>2537</v>
      </c>
      <c r="D180" s="119">
        <v>2537</v>
      </c>
      <c r="E180" s="116" t="s">
        <v>842</v>
      </c>
      <c r="F180" s="116" t="s">
        <v>843</v>
      </c>
    </row>
    <row r="181" spans="1:6">
      <c r="A181" t="str">
        <f t="shared" si="2"/>
        <v>NEW POINT STONE CO - NEW POINT  2536  GREENSBURG, IN  2536</v>
      </c>
      <c r="B181" s="119" t="s">
        <v>844</v>
      </c>
      <c r="C181" s="115">
        <v>2536</v>
      </c>
      <c r="D181" s="119">
        <v>2536</v>
      </c>
      <c r="E181" s="116" t="s">
        <v>845</v>
      </c>
      <c r="F181" s="116" t="s">
        <v>846</v>
      </c>
    </row>
    <row r="182" spans="1:6">
      <c r="A182" t="str">
        <f t="shared" si="2"/>
        <v>NEW POINT STONE CO-DERBYSHIRE  2510  LAUREL, IN.  2510</v>
      </c>
      <c r="B182" s="119" t="s">
        <v>847</v>
      </c>
      <c r="C182" s="115">
        <v>2510</v>
      </c>
      <c r="D182" s="119">
        <v>2510</v>
      </c>
      <c r="E182" s="116" t="s">
        <v>848</v>
      </c>
      <c r="F182" s="116" t="s">
        <v>849</v>
      </c>
    </row>
    <row r="183" spans="1:6">
      <c r="A183" t="str">
        <f t="shared" si="2"/>
        <v>NIBLOCK EXCAVATING AND ASPHALT  2207  KIMMEL, IN  2207</v>
      </c>
      <c r="B183" s="119" t="s">
        <v>850</v>
      </c>
      <c r="C183" s="115">
        <v>2207</v>
      </c>
      <c r="D183" s="119">
        <v>2207</v>
      </c>
      <c r="E183" s="116" t="s">
        <v>851</v>
      </c>
      <c r="F183" s="116" t="s">
        <v>852</v>
      </c>
    </row>
    <row r="184" spans="1:6">
      <c r="A184" t="str">
        <f t="shared" si="2"/>
        <v>NIBLOCK EXCAVATING INC  2273  BRISTOL, IN.  2273</v>
      </c>
      <c r="B184" s="119" t="s">
        <v>853</v>
      </c>
      <c r="C184" s="115">
        <v>2273</v>
      </c>
      <c r="D184" s="119">
        <v>2273</v>
      </c>
      <c r="E184" s="116" t="s">
        <v>854</v>
      </c>
      <c r="F184" s="116" t="s">
        <v>855</v>
      </c>
    </row>
    <row r="185" spans="1:6">
      <c r="A185" t="str">
        <f t="shared" si="2"/>
        <v>NORTH AMERICAN LIME-243 QUARRY  0041  CLOVERDALE, IN  0041</v>
      </c>
      <c r="B185" s="119" t="s">
        <v>856</v>
      </c>
      <c r="C185" s="117" t="s">
        <v>857</v>
      </c>
      <c r="D185" s="120" t="s">
        <v>857</v>
      </c>
      <c r="E185" s="116" t="s">
        <v>858</v>
      </c>
      <c r="F185" s="116" t="s">
        <v>859</v>
      </c>
    </row>
    <row r="186" spans="1:6">
      <c r="A186" t="str">
        <f t="shared" si="2"/>
        <v>NORTHERN KENTUCKY AGGREGATES  2528  PETERSBURG, KY  2528</v>
      </c>
      <c r="B186" s="119" t="s">
        <v>860</v>
      </c>
      <c r="C186" s="115">
        <v>2528</v>
      </c>
      <c r="D186" s="119">
        <v>2528</v>
      </c>
      <c r="E186" s="116" t="s">
        <v>861</v>
      </c>
      <c r="F186" s="116" t="s">
        <v>862</v>
      </c>
    </row>
    <row r="187" spans="1:6">
      <c r="A187" t="str">
        <f t="shared" si="2"/>
        <v>NUGENT SAND COMPANY  2553  MILTON, KY.  2553</v>
      </c>
      <c r="B187" s="119" t="s">
        <v>863</v>
      </c>
      <c r="C187" s="115">
        <v>2553</v>
      </c>
      <c r="D187" s="119">
        <v>2553</v>
      </c>
      <c r="E187" s="116" t="s">
        <v>864</v>
      </c>
      <c r="F187" s="116" t="s">
        <v>865</v>
      </c>
    </row>
    <row r="188" spans="1:6">
      <c r="A188" t="str">
        <f t="shared" si="2"/>
        <v>NUGENT SAND COMPANY  2576  LOUISVILLE, KY.  2576</v>
      </c>
      <c r="B188" s="119" t="s">
        <v>866</v>
      </c>
      <c r="C188" s="115">
        <v>2576</v>
      </c>
      <c r="D188" s="119">
        <v>2576</v>
      </c>
      <c r="E188" s="116" t="s">
        <v>864</v>
      </c>
      <c r="F188" s="116" t="s">
        <v>867</v>
      </c>
    </row>
    <row r="189" spans="1:6">
      <c r="A189" t="str">
        <f t="shared" ref="A189:A252" si="3">E189&amp;"  "&amp;C189&amp;"  "&amp;F189&amp;"  "&amp;D189</f>
        <v>NUGENT SAND COMPANY  2576  MILTON, KY.  2553</v>
      </c>
      <c r="B189" s="119" t="s">
        <v>866</v>
      </c>
      <c r="C189" s="115">
        <v>2576</v>
      </c>
      <c r="D189" s="119">
        <v>2553</v>
      </c>
      <c r="E189" s="116" t="s">
        <v>864</v>
      </c>
      <c r="F189" s="116" t="s">
        <v>865</v>
      </c>
    </row>
    <row r="190" spans="1:6">
      <c r="A190" t="str">
        <f t="shared" si="3"/>
        <v>NUGENT SAND COMPANY  2590  COLUMBUS, IN.  2590</v>
      </c>
      <c r="B190" s="119" t="s">
        <v>868</v>
      </c>
      <c r="C190" s="115">
        <v>2590</v>
      </c>
      <c r="D190" s="119">
        <v>2590</v>
      </c>
      <c r="E190" s="116" t="s">
        <v>864</v>
      </c>
      <c r="F190" s="116" t="s">
        <v>869</v>
      </c>
    </row>
    <row r="191" spans="1:6">
      <c r="A191" t="str">
        <f t="shared" si="3"/>
        <v>OLD PRAIRIE PRODUCTS, INC.  2702  ANGOLA, IN.  2702</v>
      </c>
      <c r="B191" s="119" t="s">
        <v>870</v>
      </c>
      <c r="C191" s="115">
        <v>2702</v>
      </c>
      <c r="D191" s="119">
        <v>2702</v>
      </c>
      <c r="E191" s="116" t="s">
        <v>871</v>
      </c>
      <c r="F191" s="116" t="s">
        <v>610</v>
      </c>
    </row>
    <row r="192" spans="1:6">
      <c r="A192" t="str">
        <f t="shared" si="3"/>
        <v>OLD PRAIRIE PRODUCTS, INC.  2706  FT. WAYNE, IN.  2706</v>
      </c>
      <c r="B192" s="119" t="s">
        <v>872</v>
      </c>
      <c r="C192" s="115">
        <v>2706</v>
      </c>
      <c r="D192" s="119">
        <v>2706</v>
      </c>
      <c r="E192" s="116" t="s">
        <v>871</v>
      </c>
      <c r="F192" s="116" t="s">
        <v>873</v>
      </c>
    </row>
    <row r="193" spans="1:6">
      <c r="A193" t="str">
        <f t="shared" si="3"/>
        <v>PHOENIX SERVICES, LLC  0045  PORTAGE, IN.  2451</v>
      </c>
      <c r="B193" s="119" t="s">
        <v>874</v>
      </c>
      <c r="C193" s="117" t="s">
        <v>875</v>
      </c>
      <c r="D193" s="119">
        <v>2451</v>
      </c>
      <c r="E193" s="116" t="s">
        <v>876</v>
      </c>
      <c r="F193" s="116" t="s">
        <v>877</v>
      </c>
    </row>
    <row r="194" spans="1:6">
      <c r="A194" t="str">
        <f t="shared" si="3"/>
        <v>PHOENIX SERVICES, LLC  2414  PORTAGE, IN.  2451</v>
      </c>
      <c r="B194" s="119" t="s">
        <v>878</v>
      </c>
      <c r="C194" s="115">
        <v>2414</v>
      </c>
      <c r="D194" s="119">
        <v>2451</v>
      </c>
      <c r="E194" s="116" t="s">
        <v>876</v>
      </c>
      <c r="F194" s="116" t="s">
        <v>877</v>
      </c>
    </row>
    <row r="195" spans="1:6">
      <c r="A195" t="str">
        <f t="shared" si="3"/>
        <v>PHOENIX SERVICES, LLC  2451  PORTAGE, IN.  2451</v>
      </c>
      <c r="B195" s="119" t="s">
        <v>879</v>
      </c>
      <c r="C195" s="115">
        <v>2451</v>
      </c>
      <c r="D195" s="119">
        <v>2451</v>
      </c>
      <c r="E195" s="116" t="s">
        <v>876</v>
      </c>
      <c r="F195" s="116" t="s">
        <v>877</v>
      </c>
    </row>
    <row r="196" spans="1:6">
      <c r="A196" t="str">
        <f t="shared" si="3"/>
        <v>PHOENIX SERVICES, LLC  2478  EAST CHICAGO, IN.  2478</v>
      </c>
      <c r="B196" s="119" t="s">
        <v>880</v>
      </c>
      <c r="C196" s="115">
        <v>2478</v>
      </c>
      <c r="D196" s="119">
        <v>2478</v>
      </c>
      <c r="E196" s="116" t="s">
        <v>876</v>
      </c>
      <c r="F196" s="116" t="s">
        <v>881</v>
      </c>
    </row>
    <row r="197" spans="1:6">
      <c r="A197" t="str">
        <f t="shared" si="3"/>
        <v>PHOENIX SERVICES, LLC  2791  UNIONVILLE, PA  2791</v>
      </c>
      <c r="B197" s="119" t="s">
        <v>882</v>
      </c>
      <c r="C197" s="115">
        <v>2791</v>
      </c>
      <c r="D197" s="119">
        <v>2791</v>
      </c>
      <c r="E197" s="116" t="s">
        <v>876</v>
      </c>
      <c r="F197" s="116" t="s">
        <v>883</v>
      </c>
    </row>
    <row r="198" spans="1:6">
      <c r="A198" t="str">
        <f t="shared" si="3"/>
        <v>PRAIRIE MATERIALS, INC.  2979  PAXTON, IL  2979</v>
      </c>
      <c r="B198" s="119" t="s">
        <v>884</v>
      </c>
      <c r="C198" s="115">
        <v>2979</v>
      </c>
      <c r="D198" s="119">
        <v>2979</v>
      </c>
      <c r="E198" s="116" t="s">
        <v>885</v>
      </c>
      <c r="F198" s="116" t="s">
        <v>886</v>
      </c>
    </row>
    <row r="199" spans="1:6">
      <c r="A199" t="str">
        <f t="shared" si="3"/>
        <v>PRO-AGR INC.  2165  CAYUGA, IN.  2165</v>
      </c>
      <c r="B199" s="119" t="s">
        <v>887</v>
      </c>
      <c r="C199" s="115">
        <v>2165</v>
      </c>
      <c r="D199" s="119">
        <v>2165</v>
      </c>
      <c r="E199" s="116" t="s">
        <v>888</v>
      </c>
      <c r="F199" s="116" t="s">
        <v>889</v>
      </c>
    </row>
    <row r="200" spans="1:6">
      <c r="A200" t="str">
        <f t="shared" si="3"/>
        <v>PURDY MATERIALS  2181  LAFAYETTE, IN  2181</v>
      </c>
      <c r="B200" s="119" t="s">
        <v>890</v>
      </c>
      <c r="C200" s="115">
        <v>2181</v>
      </c>
      <c r="D200" s="119">
        <v>2181</v>
      </c>
      <c r="E200" s="116" t="s">
        <v>891</v>
      </c>
      <c r="F200" s="116" t="s">
        <v>772</v>
      </c>
    </row>
    <row r="201" spans="1:6">
      <c r="A201" t="str">
        <f t="shared" si="3"/>
        <v>PURDY MATERIALS INC.  2109  LAFAYETTE, IN  2109</v>
      </c>
      <c r="B201" s="119" t="s">
        <v>892</v>
      </c>
      <c r="C201" s="115">
        <v>2109</v>
      </c>
      <c r="D201" s="119">
        <v>2109</v>
      </c>
      <c r="E201" s="116" t="s">
        <v>893</v>
      </c>
      <c r="F201" s="116" t="s">
        <v>772</v>
      </c>
    </row>
    <row r="202" spans="1:6">
      <c r="A202" t="str">
        <f t="shared" si="3"/>
        <v>R. SMITH and SONS  0091  ALLEGAN, MI  0091</v>
      </c>
      <c r="B202" s="119" t="s">
        <v>894</v>
      </c>
      <c r="C202" s="117" t="s">
        <v>895</v>
      </c>
      <c r="D202" s="120" t="s">
        <v>895</v>
      </c>
      <c r="E202" s="116" t="s">
        <v>896</v>
      </c>
      <c r="F202" s="116" t="s">
        <v>897</v>
      </c>
    </row>
    <row r="203" spans="1:6">
      <c r="A203" t="str">
        <f t="shared" si="3"/>
        <v>R. SMITH and SONS  2294  ANGOLA, IN  2294</v>
      </c>
      <c r="B203" s="119" t="s">
        <v>898</v>
      </c>
      <c r="C203" s="115">
        <v>2294</v>
      </c>
      <c r="D203" s="119">
        <v>2294</v>
      </c>
      <c r="E203" s="116" t="s">
        <v>896</v>
      </c>
      <c r="F203" s="116" t="s">
        <v>695</v>
      </c>
    </row>
    <row r="204" spans="1:6">
      <c r="A204" t="str">
        <f t="shared" si="3"/>
        <v>RIETH RILEY CONSTRUCTION CO.  2498  SOUTH BEND, IN  2498</v>
      </c>
      <c r="B204" s="119" t="s">
        <v>735</v>
      </c>
      <c r="C204" s="115">
        <v>2498</v>
      </c>
      <c r="D204" s="119">
        <v>2498</v>
      </c>
      <c r="E204" s="116" t="s">
        <v>899</v>
      </c>
      <c r="F204" s="116" t="s">
        <v>900</v>
      </c>
    </row>
    <row r="205" spans="1:6">
      <c r="A205" t="str">
        <f t="shared" si="3"/>
        <v>RIETH RILEY MATERIALS  2779  MOORESVILLE, IN  2779</v>
      </c>
      <c r="B205" s="119" t="s">
        <v>901</v>
      </c>
      <c r="C205" s="115">
        <v>2779</v>
      </c>
      <c r="D205" s="119">
        <v>2779</v>
      </c>
      <c r="E205" s="116" t="s">
        <v>902</v>
      </c>
      <c r="F205" s="116" t="s">
        <v>903</v>
      </c>
    </row>
    <row r="206" spans="1:6">
      <c r="A206" t="str">
        <f t="shared" si="3"/>
        <v>RIETH-RILEY CONSTRUCTION CO.,  2987  GARY, IN  2987</v>
      </c>
      <c r="B206" s="119" t="s">
        <v>904</v>
      </c>
      <c r="C206" s="115">
        <v>2987</v>
      </c>
      <c r="D206" s="119">
        <v>2987</v>
      </c>
      <c r="E206" s="116" t="s">
        <v>905</v>
      </c>
      <c r="F206" s="116" t="s">
        <v>906</v>
      </c>
    </row>
    <row r="207" spans="1:6">
      <c r="A207" t="str">
        <f t="shared" si="3"/>
        <v>ROBERTSON CRUSHED STONE  2543  MILLTOWN, IN.  2543</v>
      </c>
      <c r="B207" s="119" t="s">
        <v>907</v>
      </c>
      <c r="C207" s="115">
        <v>2543</v>
      </c>
      <c r="D207" s="119">
        <v>2543</v>
      </c>
      <c r="E207" s="116" t="s">
        <v>908</v>
      </c>
      <c r="F207" s="116" t="s">
        <v>909</v>
      </c>
    </row>
    <row r="208" spans="1:6">
      <c r="A208" t="str">
        <f t="shared" si="3"/>
        <v>ROCK BOTTOM GRAVEL PRODUCTS  2799  PLEASANT LAKE, IN  2799</v>
      </c>
      <c r="B208" s="119" t="s">
        <v>910</v>
      </c>
      <c r="C208" s="115">
        <v>2799</v>
      </c>
      <c r="D208" s="119">
        <v>2799</v>
      </c>
      <c r="E208" s="116" t="s">
        <v>911</v>
      </c>
      <c r="F208" s="116" t="s">
        <v>912</v>
      </c>
    </row>
    <row r="209" spans="1:6">
      <c r="A209" t="str">
        <f t="shared" si="3"/>
        <v>ROCK CREEK STONE QUARRY  0021  BLUFFTON, IN  0021</v>
      </c>
      <c r="B209" s="119" t="s">
        <v>913</v>
      </c>
      <c r="C209" s="117" t="s">
        <v>914</v>
      </c>
      <c r="D209" s="120" t="s">
        <v>914</v>
      </c>
      <c r="E209" s="116" t="s">
        <v>915</v>
      </c>
      <c r="F209" s="116" t="s">
        <v>916</v>
      </c>
    </row>
    <row r="210" spans="1:6">
      <c r="A210" t="str">
        <f t="shared" si="3"/>
        <v>ROGERS GROUP   2521  BLOOMINGTON, IN.  2521</v>
      </c>
      <c r="B210" s="119" t="s">
        <v>917</v>
      </c>
      <c r="C210" s="115">
        <v>2521</v>
      </c>
      <c r="D210" s="119">
        <v>2521</v>
      </c>
      <c r="E210" s="116" t="s">
        <v>918</v>
      </c>
      <c r="F210" s="116" t="s">
        <v>919</v>
      </c>
    </row>
    <row r="211" spans="1:6">
      <c r="A211" t="str">
        <f t="shared" si="3"/>
        <v>ROGERS GROUP   2523  BLOOMINGTON, IN.  2521</v>
      </c>
      <c r="B211" s="119" t="s">
        <v>920</v>
      </c>
      <c r="C211" s="115">
        <v>2523</v>
      </c>
      <c r="D211" s="119">
        <v>2521</v>
      </c>
      <c r="E211" s="116" t="s">
        <v>918</v>
      </c>
      <c r="F211" s="116" t="s">
        <v>919</v>
      </c>
    </row>
    <row r="212" spans="1:6">
      <c r="A212" t="str">
        <f t="shared" si="3"/>
        <v>ROGERS GROUP  2164  KENTLAND, IN.  2445</v>
      </c>
      <c r="B212" s="119" t="s">
        <v>678</v>
      </c>
      <c r="C212" s="115">
        <v>2164</v>
      </c>
      <c r="D212" s="119">
        <v>2445</v>
      </c>
      <c r="E212" s="116" t="s">
        <v>921</v>
      </c>
      <c r="F212" s="116" t="s">
        <v>922</v>
      </c>
    </row>
    <row r="213" spans="1:6">
      <c r="A213" t="str">
        <f t="shared" si="3"/>
        <v>ROGERS GROUP  2445  KENTLAND, IN.  2445</v>
      </c>
      <c r="B213" s="119" t="s">
        <v>681</v>
      </c>
      <c r="C213" s="115">
        <v>2445</v>
      </c>
      <c r="D213" s="119">
        <v>2445</v>
      </c>
      <c r="E213" s="116" t="s">
        <v>921</v>
      </c>
      <c r="F213" s="116" t="s">
        <v>922</v>
      </c>
    </row>
    <row r="214" spans="1:6">
      <c r="A214" t="str">
        <f t="shared" si="3"/>
        <v>ROGERS GROUP  2524  SPRINGVILLE, IN.  2524</v>
      </c>
      <c r="B214" s="119" t="s">
        <v>923</v>
      </c>
      <c r="C214" s="115">
        <v>2524</v>
      </c>
      <c r="D214" s="119">
        <v>2524</v>
      </c>
      <c r="E214" s="116" t="s">
        <v>921</v>
      </c>
      <c r="F214" s="116" t="s">
        <v>671</v>
      </c>
    </row>
    <row r="215" spans="1:6">
      <c r="A215" t="str">
        <f t="shared" si="3"/>
        <v>ROGERS GROUP  2645  MITCHELL, IN.  2645</v>
      </c>
      <c r="B215" s="119" t="s">
        <v>924</v>
      </c>
      <c r="C215" s="115">
        <v>2645</v>
      </c>
      <c r="D215" s="119">
        <v>2645</v>
      </c>
      <c r="E215" s="116" t="s">
        <v>921</v>
      </c>
      <c r="F215" s="116" t="s">
        <v>925</v>
      </c>
    </row>
    <row r="216" spans="1:6">
      <c r="A216" t="str">
        <f t="shared" si="3"/>
        <v>ROGERS GROUP  2651  MITCHELL, IN.  2645</v>
      </c>
      <c r="B216" s="119" t="s">
        <v>748</v>
      </c>
      <c r="C216" s="115">
        <v>2651</v>
      </c>
      <c r="D216" s="119">
        <v>2645</v>
      </c>
      <c r="E216" s="116" t="s">
        <v>921</v>
      </c>
      <c r="F216" s="116" t="s">
        <v>925</v>
      </c>
    </row>
    <row r="217" spans="1:6">
      <c r="A217" t="str">
        <f t="shared" si="3"/>
        <v>ROGERS GROUP INC. JEFF.CO. ST.  2580  LOUISVILLE, KY.  2580</v>
      </c>
      <c r="B217" s="119" t="s">
        <v>926</v>
      </c>
      <c r="C217" s="115">
        <v>2580</v>
      </c>
      <c r="D217" s="119">
        <v>2580</v>
      </c>
      <c r="E217" s="116" t="s">
        <v>927</v>
      </c>
      <c r="F217" s="116" t="s">
        <v>867</v>
      </c>
    </row>
    <row r="218" spans="1:6">
      <c r="A218" t="str">
        <f t="shared" si="3"/>
        <v>ROGERS GROUP, INC - VICTOR  2796  BLOOMINGTON, IN  2796</v>
      </c>
      <c r="B218" s="119" t="s">
        <v>928</v>
      </c>
      <c r="C218" s="115">
        <v>2796</v>
      </c>
      <c r="D218" s="119">
        <v>2796</v>
      </c>
      <c r="E218" s="116" t="s">
        <v>929</v>
      </c>
      <c r="F218" s="116" t="s">
        <v>930</v>
      </c>
    </row>
    <row r="219" spans="1:6">
      <c r="A219" t="str">
        <f t="shared" si="3"/>
        <v>ROGERS GROUP-MORGAN CO.  2521  MARTINSVILLE, IN.  2523</v>
      </c>
      <c r="B219" s="119" t="s">
        <v>917</v>
      </c>
      <c r="C219" s="115">
        <v>2521</v>
      </c>
      <c r="D219" s="119">
        <v>2523</v>
      </c>
      <c r="E219" s="116" t="s">
        <v>931</v>
      </c>
      <c r="F219" s="116" t="s">
        <v>932</v>
      </c>
    </row>
    <row r="220" spans="1:6">
      <c r="A220" t="str">
        <f t="shared" si="3"/>
        <v>ROGERS GROUP-MORGAN CO.  2523  MARTINSVILLE, IN.  2523</v>
      </c>
      <c r="B220" s="119" t="s">
        <v>920</v>
      </c>
      <c r="C220" s="115">
        <v>2523</v>
      </c>
      <c r="D220" s="119">
        <v>2523</v>
      </c>
      <c r="E220" s="116" t="s">
        <v>931</v>
      </c>
      <c r="F220" s="116" t="s">
        <v>932</v>
      </c>
    </row>
    <row r="221" spans="1:6">
      <c r="A221" t="str">
        <f t="shared" si="3"/>
        <v>ROGERS GROUP-OLDHAM CO. STONE  2503  CRESTWOOD, KY.  2503</v>
      </c>
      <c r="B221" s="119" t="s">
        <v>933</v>
      </c>
      <c r="C221" s="115">
        <v>2503</v>
      </c>
      <c r="D221" s="119">
        <v>2503</v>
      </c>
      <c r="E221" s="116" t="s">
        <v>934</v>
      </c>
      <c r="F221" s="116" t="s">
        <v>935</v>
      </c>
    </row>
    <row r="222" spans="1:6">
      <c r="A222" t="str">
        <f t="shared" si="3"/>
        <v>ROSKOVENSKY CONCRETE AND GRAV.  2111  CLINTON, IN.  2111</v>
      </c>
      <c r="B222" s="119" t="s">
        <v>936</v>
      </c>
      <c r="C222" s="115">
        <v>2111</v>
      </c>
      <c r="D222" s="119">
        <v>2111</v>
      </c>
      <c r="E222" s="116" t="s">
        <v>937</v>
      </c>
      <c r="F222" s="116" t="s">
        <v>938</v>
      </c>
    </row>
    <row r="223" spans="1:6">
      <c r="A223" t="str">
        <f t="shared" si="3"/>
        <v>RUSH COUNTY STONE COMPANY  2322  MILROY, IN.  2322</v>
      </c>
      <c r="B223" s="119" t="s">
        <v>939</v>
      </c>
      <c r="C223" s="115">
        <v>2322</v>
      </c>
      <c r="D223" s="119">
        <v>2322</v>
      </c>
      <c r="E223" s="116" t="s">
        <v>940</v>
      </c>
      <c r="F223" s="116" t="s">
        <v>941</v>
      </c>
    </row>
    <row r="224" spans="1:6">
      <c r="A224" t="str">
        <f t="shared" si="3"/>
        <v>S AND G EXC. - MORRIS/LOMBARDI  2113  TERRE HAUTE, IN.  2113</v>
      </c>
      <c r="B224" s="119" t="s">
        <v>760</v>
      </c>
      <c r="C224" s="115">
        <v>2113</v>
      </c>
      <c r="D224" s="119">
        <v>2113</v>
      </c>
      <c r="E224" s="116" t="s">
        <v>942</v>
      </c>
      <c r="F224" s="116" t="s">
        <v>943</v>
      </c>
    </row>
    <row r="225" spans="1:6">
      <c r="A225" t="str">
        <f t="shared" si="3"/>
        <v>S AND G EXC. - MORRIS/LOMBARDI  2180  TERRE HAUTE, IN.  2113</v>
      </c>
      <c r="B225" s="119" t="s">
        <v>763</v>
      </c>
      <c r="C225" s="115">
        <v>2180</v>
      </c>
      <c r="D225" s="119">
        <v>2113</v>
      </c>
      <c r="E225" s="116" t="s">
        <v>942</v>
      </c>
      <c r="F225" s="116" t="s">
        <v>943</v>
      </c>
    </row>
    <row r="226" spans="1:6">
      <c r="A226" t="str">
        <f t="shared" si="3"/>
        <v>S AND G EXC. - MORRIS/LOMBARDI  2793  TERRE HAUTE, IN.  2113</v>
      </c>
      <c r="B226" s="119" t="s">
        <v>764</v>
      </c>
      <c r="C226" s="115">
        <v>2793</v>
      </c>
      <c r="D226" s="119">
        <v>2113</v>
      </c>
      <c r="E226" s="116" t="s">
        <v>942</v>
      </c>
      <c r="F226" s="116" t="s">
        <v>943</v>
      </c>
    </row>
    <row r="227" spans="1:6">
      <c r="A227" t="str">
        <f t="shared" si="3"/>
        <v>S AND G EXCAVATING  2163  MONTEZUMA, IN.  2163</v>
      </c>
      <c r="B227" s="119" t="s">
        <v>762</v>
      </c>
      <c r="C227" s="115">
        <v>2163</v>
      </c>
      <c r="D227" s="119">
        <v>2163</v>
      </c>
      <c r="E227" s="116" t="s">
        <v>944</v>
      </c>
      <c r="F227" s="116" t="s">
        <v>945</v>
      </c>
    </row>
    <row r="228" spans="1:6">
      <c r="A228" t="str">
        <f t="shared" si="3"/>
        <v>SAGAMORE SAND AND GRAVEL  2777  DALEVILLE, IN  2777</v>
      </c>
      <c r="B228" s="119" t="s">
        <v>946</v>
      </c>
      <c r="C228" s="115">
        <v>2777</v>
      </c>
      <c r="D228" s="119">
        <v>2777</v>
      </c>
      <c r="E228" s="116" t="s">
        <v>947</v>
      </c>
      <c r="F228" s="116" t="s">
        <v>948</v>
      </c>
    </row>
    <row r="229" spans="1:6">
      <c r="A229" t="str">
        <f t="shared" si="3"/>
        <v>SandG EXCAVATING, INC./KERNS PIT  0086  TERRE HAUTE, IN  0086</v>
      </c>
      <c r="B229" s="119" t="s">
        <v>949</v>
      </c>
      <c r="C229" s="117" t="s">
        <v>950</v>
      </c>
      <c r="D229" s="120" t="s">
        <v>950</v>
      </c>
      <c r="E229" s="116" t="s">
        <v>951</v>
      </c>
      <c r="F229" s="116" t="s">
        <v>952</v>
      </c>
    </row>
    <row r="230" spans="1:6">
      <c r="A230" t="str">
        <f t="shared" si="3"/>
        <v>SEGAL SAND AND GRAVEL  2427  DELPHI, IN.  2427</v>
      </c>
      <c r="B230" s="119" t="s">
        <v>953</v>
      </c>
      <c r="C230" s="115">
        <v>2427</v>
      </c>
      <c r="D230" s="119">
        <v>2427</v>
      </c>
      <c r="E230" s="116" t="s">
        <v>954</v>
      </c>
      <c r="F230" s="116" t="s">
        <v>955</v>
      </c>
    </row>
    <row r="231" spans="1:6">
      <c r="A231" t="str">
        <f t="shared" si="3"/>
        <v>SHELBY MATERIALS  2399  SHELBYVILLE, IN  2399</v>
      </c>
      <c r="B231" s="119" t="s">
        <v>956</v>
      </c>
      <c r="C231" s="115">
        <v>2399</v>
      </c>
      <c r="D231" s="119">
        <v>2399</v>
      </c>
      <c r="E231" s="116" t="s">
        <v>957</v>
      </c>
      <c r="F231" s="116" t="s">
        <v>958</v>
      </c>
    </row>
    <row r="232" spans="1:6">
      <c r="A232" t="str">
        <f t="shared" si="3"/>
        <v>SHELBY MATERIALS  2534  EDINBURG, IN.  2534</v>
      </c>
      <c r="B232" s="119" t="s">
        <v>959</v>
      </c>
      <c r="C232" s="115">
        <v>2534</v>
      </c>
      <c r="D232" s="119">
        <v>2534</v>
      </c>
      <c r="E232" s="116" t="s">
        <v>957</v>
      </c>
      <c r="F232" s="116" t="s">
        <v>960</v>
      </c>
    </row>
    <row r="233" spans="1:6">
      <c r="A233" t="str">
        <f t="shared" si="3"/>
        <v>SOUTH LAKE STONE  0057  HEBRON, IN  0057</v>
      </c>
      <c r="B233" s="119" t="s">
        <v>961</v>
      </c>
      <c r="C233" s="117" t="s">
        <v>962</v>
      </c>
      <c r="D233" s="120" t="s">
        <v>962</v>
      </c>
      <c r="E233" s="116" t="s">
        <v>963</v>
      </c>
      <c r="F233" s="116" t="s">
        <v>964</v>
      </c>
    </row>
    <row r="234" spans="1:6">
      <c r="A234" t="str">
        <f t="shared" si="3"/>
        <v>SPEEDWAY SAND AND GRAVEL, INC  2295  DISKO, IN.  2295</v>
      </c>
      <c r="B234" s="119" t="s">
        <v>965</v>
      </c>
      <c r="C234" s="115">
        <v>2295</v>
      </c>
      <c r="D234" s="119">
        <v>2295</v>
      </c>
      <c r="E234" s="116" t="s">
        <v>966</v>
      </c>
      <c r="F234" s="116" t="s">
        <v>967</v>
      </c>
    </row>
    <row r="235" spans="1:6">
      <c r="A235" t="str">
        <f t="shared" si="3"/>
        <v>SPEEDWAY SAND AND GRAVEL, INC.  0112  FORT WAYNE, IN  0112</v>
      </c>
      <c r="B235" s="119" t="s">
        <v>968</v>
      </c>
      <c r="C235" s="117" t="s">
        <v>969</v>
      </c>
      <c r="D235" s="120" t="s">
        <v>969</v>
      </c>
      <c r="E235" s="116" t="s">
        <v>970</v>
      </c>
      <c r="F235" s="116" t="s">
        <v>551</v>
      </c>
    </row>
    <row r="236" spans="1:6">
      <c r="A236" t="str">
        <f t="shared" si="3"/>
        <v>SPEEDWAY SAND AND GRAVEL, INC.  2701  SOUTH WHITLEY, IN.  2701</v>
      </c>
      <c r="B236" s="119" t="s">
        <v>971</v>
      </c>
      <c r="C236" s="115">
        <v>2701</v>
      </c>
      <c r="D236" s="119">
        <v>2701</v>
      </c>
      <c r="E236" s="116" t="s">
        <v>970</v>
      </c>
      <c r="F236" s="116" t="s">
        <v>972</v>
      </c>
    </row>
    <row r="237" spans="1:6">
      <c r="A237" t="str">
        <f t="shared" si="3"/>
        <v>SPEEDWAY SAND AND GRAVEL, INC.  2703  FORT WAYNE, IN  2703</v>
      </c>
      <c r="B237" s="119" t="s">
        <v>973</v>
      </c>
      <c r="C237" s="115">
        <v>2703</v>
      </c>
      <c r="D237" s="119">
        <v>2703</v>
      </c>
      <c r="E237" s="116" t="s">
        <v>970</v>
      </c>
      <c r="F237" s="116" t="s">
        <v>551</v>
      </c>
    </row>
    <row r="238" spans="1:6">
      <c r="A238" t="str">
        <f t="shared" si="3"/>
        <v>SPRAY SAND AND GRAVEL  2591  SEYMOUR, IN.  2591</v>
      </c>
      <c r="B238" s="119" t="s">
        <v>974</v>
      </c>
      <c r="C238" s="115">
        <v>2591</v>
      </c>
      <c r="D238" s="119">
        <v>2591</v>
      </c>
      <c r="E238" s="116" t="s">
        <v>975</v>
      </c>
      <c r="F238" s="116" t="s">
        <v>976</v>
      </c>
    </row>
    <row r="239" spans="1:6">
      <c r="A239" t="str">
        <f t="shared" si="3"/>
        <v>STAFFORD GRAVEL, INC.  2749  BUTLER, IN  2749</v>
      </c>
      <c r="B239" s="119" t="s">
        <v>633</v>
      </c>
      <c r="C239" s="115">
        <v>2749</v>
      </c>
      <c r="D239" s="119">
        <v>2749</v>
      </c>
      <c r="E239" s="116" t="s">
        <v>977</v>
      </c>
      <c r="F239" s="116" t="s">
        <v>557</v>
      </c>
    </row>
    <row r="240" spans="1:6">
      <c r="A240" t="str">
        <f t="shared" si="3"/>
        <v>STOCKBERGER TRUCKING, INC  2439  PLYMOUTH, IN  2439</v>
      </c>
      <c r="B240" s="119" t="s">
        <v>978</v>
      </c>
      <c r="C240" s="115">
        <v>2439</v>
      </c>
      <c r="D240" s="119">
        <v>2439</v>
      </c>
      <c r="E240" s="116" t="s">
        <v>979</v>
      </c>
      <c r="F240" s="116" t="s">
        <v>980</v>
      </c>
    </row>
    <row r="241" spans="1:6">
      <c r="A241" t="str">
        <f t="shared" si="3"/>
        <v>STONE STREET QUARRIES, INC  2238  POE, IN.  2238</v>
      </c>
      <c r="B241" s="119" t="s">
        <v>981</v>
      </c>
      <c r="C241" s="115">
        <v>2238</v>
      </c>
      <c r="D241" s="119">
        <v>2238</v>
      </c>
      <c r="E241" s="116" t="s">
        <v>982</v>
      </c>
      <c r="F241" s="116" t="s">
        <v>983</v>
      </c>
    </row>
    <row r="242" spans="1:6">
      <c r="A242" t="str">
        <f t="shared" si="3"/>
        <v>STONE STREET QUARRIES, INC  2797  POE, IN.  2238</v>
      </c>
      <c r="B242" s="119" t="s">
        <v>666</v>
      </c>
      <c r="C242" s="115">
        <v>2797</v>
      </c>
      <c r="D242" s="119">
        <v>2238</v>
      </c>
      <c r="E242" s="116" t="s">
        <v>982</v>
      </c>
      <c r="F242" s="116" t="s">
        <v>983</v>
      </c>
    </row>
    <row r="243" spans="1:6">
      <c r="A243" t="str">
        <f t="shared" si="3"/>
        <v>STONECO, CELINA DIVISION  2723  CELINA, OH.  2723</v>
      </c>
      <c r="B243" s="119" t="s">
        <v>984</v>
      </c>
      <c r="C243" s="115">
        <v>2723</v>
      </c>
      <c r="D243" s="119">
        <v>2723</v>
      </c>
      <c r="E243" s="116" t="s">
        <v>985</v>
      </c>
      <c r="F243" s="116" t="s">
        <v>986</v>
      </c>
    </row>
    <row r="244" spans="1:6">
      <c r="A244" t="str">
        <f t="shared" si="3"/>
        <v>U. S. AGGREGATES - PLEAS MILLS  2267  DECATUR, IN.  2267</v>
      </c>
      <c r="B244" s="119" t="s">
        <v>987</v>
      </c>
      <c r="C244" s="115">
        <v>2267</v>
      </c>
      <c r="D244" s="119">
        <v>2267</v>
      </c>
      <c r="E244" s="116" t="s">
        <v>988</v>
      </c>
      <c r="F244" s="116" t="s">
        <v>989</v>
      </c>
    </row>
    <row r="245" spans="1:6">
      <c r="A245" t="str">
        <f t="shared" si="3"/>
        <v>U. S. AGGREGATES INC  2266  LINN GROVE, IN.  2266</v>
      </c>
      <c r="B245" s="119" t="s">
        <v>990</v>
      </c>
      <c r="C245" s="115">
        <v>2266</v>
      </c>
      <c r="D245" s="119">
        <v>2266</v>
      </c>
      <c r="E245" s="116" t="s">
        <v>991</v>
      </c>
      <c r="F245" s="116" t="s">
        <v>992</v>
      </c>
    </row>
    <row r="246" spans="1:6">
      <c r="A246" t="str">
        <f t="shared" si="3"/>
        <v>U. S. AGGREGATES INC  2449  LOWELL, IN.  2449</v>
      </c>
      <c r="B246" s="119" t="s">
        <v>993</v>
      </c>
      <c r="C246" s="115">
        <v>2449</v>
      </c>
      <c r="D246" s="119">
        <v>2449</v>
      </c>
      <c r="E246" s="116" t="s">
        <v>991</v>
      </c>
      <c r="F246" s="116" t="s">
        <v>994</v>
      </c>
    </row>
    <row r="247" spans="1:6">
      <c r="A247" t="str">
        <f t="shared" si="3"/>
        <v>U.S AGGREGATES INC.  2183  FRANCESVILLE, IN.  2461</v>
      </c>
      <c r="B247" s="119" t="s">
        <v>995</v>
      </c>
      <c r="C247" s="115">
        <v>2183</v>
      </c>
      <c r="D247" s="119">
        <v>2461</v>
      </c>
      <c r="E247" s="116" t="s">
        <v>996</v>
      </c>
      <c r="F247" s="116" t="s">
        <v>650</v>
      </c>
    </row>
    <row r="248" spans="1:6">
      <c r="A248" t="str">
        <f t="shared" si="3"/>
        <v>U.S AGGREGATES INC.  2183  FRANCESVILLE, IN.  2461</v>
      </c>
      <c r="B248" s="119" t="s">
        <v>995</v>
      </c>
      <c r="C248" s="115">
        <v>2183</v>
      </c>
      <c r="D248" s="119">
        <v>2461</v>
      </c>
      <c r="E248" s="116" t="s">
        <v>996</v>
      </c>
      <c r="F248" s="116" t="s">
        <v>650</v>
      </c>
    </row>
    <row r="249" spans="1:6">
      <c r="A249" t="str">
        <f t="shared" si="3"/>
        <v>U.S AGGREGATES INC.  2183  MONON, IN.  2428</v>
      </c>
      <c r="B249" s="119" t="s">
        <v>995</v>
      </c>
      <c r="C249" s="115">
        <v>2183</v>
      </c>
      <c r="D249" s="119">
        <v>2428</v>
      </c>
      <c r="E249" s="116" t="s">
        <v>996</v>
      </c>
      <c r="F249" s="116" t="s">
        <v>997</v>
      </c>
    </row>
    <row r="250" spans="1:6">
      <c r="A250" t="str">
        <f t="shared" si="3"/>
        <v>U.S AGGREGATES INC.  2183  MONON, IN.  2428</v>
      </c>
      <c r="B250" s="119" t="s">
        <v>995</v>
      </c>
      <c r="C250" s="115">
        <v>2183</v>
      </c>
      <c r="D250" s="119">
        <v>2428</v>
      </c>
      <c r="E250" s="116" t="s">
        <v>996</v>
      </c>
      <c r="F250" s="116" t="s">
        <v>997</v>
      </c>
    </row>
    <row r="251" spans="1:6">
      <c r="A251" t="str">
        <f t="shared" si="3"/>
        <v>U.S AGGREGATES INC.  2183  MONON, IN.  2428</v>
      </c>
      <c r="B251" s="119" t="s">
        <v>995</v>
      </c>
      <c r="C251" s="115">
        <v>2183</v>
      </c>
      <c r="D251" s="119">
        <v>2428</v>
      </c>
      <c r="E251" s="116" t="s">
        <v>996</v>
      </c>
      <c r="F251" s="116" t="s">
        <v>997</v>
      </c>
    </row>
    <row r="252" spans="1:6">
      <c r="A252" t="str">
        <f t="shared" si="3"/>
        <v>U.S AGGREGATES INC.  2421  FRANCESVILLE, IN.  2461</v>
      </c>
      <c r="B252" s="119" t="s">
        <v>998</v>
      </c>
      <c r="C252" s="115">
        <v>2421</v>
      </c>
      <c r="D252" s="119">
        <v>2461</v>
      </c>
      <c r="E252" s="116" t="s">
        <v>996</v>
      </c>
      <c r="F252" s="116" t="s">
        <v>650</v>
      </c>
    </row>
    <row r="253" spans="1:6">
      <c r="A253" t="str">
        <f t="shared" ref="A253:A289" si="4">E253&amp;"  "&amp;C253&amp;"  "&amp;F253&amp;"  "&amp;D253</f>
        <v>U.S AGGREGATES INC.  2428  FRANCESVILLE, IN.  2461</v>
      </c>
      <c r="B253" s="119" t="s">
        <v>999</v>
      </c>
      <c r="C253" s="115">
        <v>2428</v>
      </c>
      <c r="D253" s="119">
        <v>2461</v>
      </c>
      <c r="E253" s="116" t="s">
        <v>996</v>
      </c>
      <c r="F253" s="116" t="s">
        <v>650</v>
      </c>
    </row>
    <row r="254" spans="1:6">
      <c r="A254" t="str">
        <f t="shared" si="4"/>
        <v>U.S AGGREGATES INC.  2428  MONON, IN.  2428</v>
      </c>
      <c r="B254" s="119" t="s">
        <v>999</v>
      </c>
      <c r="C254" s="115">
        <v>2428</v>
      </c>
      <c r="D254" s="119">
        <v>2428</v>
      </c>
      <c r="E254" s="116" t="s">
        <v>996</v>
      </c>
      <c r="F254" s="116" t="s">
        <v>997</v>
      </c>
    </row>
    <row r="255" spans="1:6">
      <c r="A255" t="str">
        <f t="shared" si="4"/>
        <v>U.S AGGREGATES INC.  2449  FRANCESVILLE, IN.  2461</v>
      </c>
      <c r="B255" s="119" t="s">
        <v>993</v>
      </c>
      <c r="C255" s="115">
        <v>2449</v>
      </c>
      <c r="D255" s="119">
        <v>2461</v>
      </c>
      <c r="E255" s="116" t="s">
        <v>996</v>
      </c>
      <c r="F255" s="116" t="s">
        <v>650</v>
      </c>
    </row>
    <row r="256" spans="1:6">
      <c r="A256" t="str">
        <f t="shared" si="4"/>
        <v>U.S AGGREGATES INC.  2461  FRANCESVILLE, IN.  2461</v>
      </c>
      <c r="B256" s="119" t="s">
        <v>1000</v>
      </c>
      <c r="C256" s="115">
        <v>2461</v>
      </c>
      <c r="D256" s="119">
        <v>2461</v>
      </c>
      <c r="E256" s="116" t="s">
        <v>996</v>
      </c>
      <c r="F256" s="116" t="s">
        <v>650</v>
      </c>
    </row>
    <row r="257" spans="1:6">
      <c r="A257" t="str">
        <f t="shared" si="4"/>
        <v>U.S. AGG.INC,-DELPHI LIMESTONE  2136  DELPHI, IN.  2421</v>
      </c>
      <c r="B257" s="119" t="s">
        <v>1001</v>
      </c>
      <c r="C257" s="115">
        <v>2136</v>
      </c>
      <c r="D257" s="119">
        <v>2421</v>
      </c>
      <c r="E257" s="116" t="s">
        <v>1002</v>
      </c>
      <c r="F257" s="116" t="s">
        <v>955</v>
      </c>
    </row>
    <row r="258" spans="1:6">
      <c r="A258" t="str">
        <f t="shared" si="4"/>
        <v>U.S. AGG.INC,-DELPHI LIMESTONE  2421  DELPHI, IN.  2421</v>
      </c>
      <c r="B258" s="119" t="s">
        <v>998</v>
      </c>
      <c r="C258" s="115">
        <v>2421</v>
      </c>
      <c r="D258" s="119">
        <v>2421</v>
      </c>
      <c r="E258" s="116" t="s">
        <v>1002</v>
      </c>
      <c r="F258" s="116" t="s">
        <v>955</v>
      </c>
    </row>
    <row r="259" spans="1:6">
      <c r="A259" t="str">
        <f t="shared" si="4"/>
        <v>U.S. AGG.INC,-DELPHI LIMESTONE  2785  DELPHI, IN.  2421</v>
      </c>
      <c r="B259" s="119" t="s">
        <v>1003</v>
      </c>
      <c r="C259" s="115">
        <v>2785</v>
      </c>
      <c r="D259" s="119">
        <v>2421</v>
      </c>
      <c r="E259" s="116" t="s">
        <v>1002</v>
      </c>
      <c r="F259" s="116" t="s">
        <v>955</v>
      </c>
    </row>
    <row r="260" spans="1:6">
      <c r="A260" t="str">
        <f t="shared" si="4"/>
        <v>U.S. AGGREGATES - WAVERY  2780  MOORESVILLE, IN  2780</v>
      </c>
      <c r="B260" s="119" t="s">
        <v>1004</v>
      </c>
      <c r="C260" s="115">
        <v>2780</v>
      </c>
      <c r="D260" s="119">
        <v>2780</v>
      </c>
      <c r="E260" s="116" t="s">
        <v>1005</v>
      </c>
      <c r="F260" s="116" t="s">
        <v>903</v>
      </c>
    </row>
    <row r="261" spans="1:6">
      <c r="A261" t="str">
        <f t="shared" si="4"/>
        <v>U.S. AGGREGATES- THRELKELD PIT  2785  THORNTOWN, IN  2785</v>
      </c>
      <c r="B261" s="119" t="s">
        <v>1003</v>
      </c>
      <c r="C261" s="115">
        <v>2785</v>
      </c>
      <c r="D261" s="119">
        <v>2785</v>
      </c>
      <c r="E261" s="116" t="s">
        <v>1006</v>
      </c>
      <c r="F261" s="116" t="s">
        <v>1007</v>
      </c>
    </row>
    <row r="262" spans="1:6">
      <c r="A262" t="str">
        <f t="shared" si="4"/>
        <v>U.S. AGGREGATES, INC  2980  PERKINSVILLE, IN  2980</v>
      </c>
      <c r="B262" s="119" t="s">
        <v>1008</v>
      </c>
      <c r="C262" s="115">
        <v>2980</v>
      </c>
      <c r="D262" s="119">
        <v>2980</v>
      </c>
      <c r="E262" s="116" t="s">
        <v>1009</v>
      </c>
      <c r="F262" s="116" t="s">
        <v>1010</v>
      </c>
    </row>
    <row r="263" spans="1:6">
      <c r="A263" t="str">
        <f t="shared" si="4"/>
        <v>U.S. AGGREGATES, INC.  2136  CRAWFORDSVILLE, IN  2136</v>
      </c>
      <c r="B263" s="119" t="s">
        <v>1001</v>
      </c>
      <c r="C263" s="115">
        <v>2136</v>
      </c>
      <c r="D263" s="119">
        <v>2136</v>
      </c>
      <c r="E263" s="116" t="s">
        <v>1011</v>
      </c>
      <c r="F263" s="116" t="s">
        <v>805</v>
      </c>
    </row>
    <row r="264" spans="1:6">
      <c r="A264" t="str">
        <f t="shared" si="4"/>
        <v>U.S. AGGREGATES, INC.  2143  THORNTOWN, IN.  2143</v>
      </c>
      <c r="B264" s="119" t="s">
        <v>1012</v>
      </c>
      <c r="C264" s="115">
        <v>2143</v>
      </c>
      <c r="D264" s="119">
        <v>2143</v>
      </c>
      <c r="E264" s="116" t="s">
        <v>1011</v>
      </c>
      <c r="F264" s="116" t="s">
        <v>1013</v>
      </c>
    </row>
    <row r="265" spans="1:6">
      <c r="A265" t="str">
        <f t="shared" si="4"/>
        <v>U.S. AGGREGATES, INC.  2183  CRAWFORDSVILLE, IN  2136</v>
      </c>
      <c r="B265" s="119" t="s">
        <v>995</v>
      </c>
      <c r="C265" s="115">
        <v>2183</v>
      </c>
      <c r="D265" s="119">
        <v>2136</v>
      </c>
      <c r="E265" s="116" t="s">
        <v>1011</v>
      </c>
      <c r="F265" s="116" t="s">
        <v>805</v>
      </c>
    </row>
    <row r="266" spans="1:6">
      <c r="A266" t="str">
        <f t="shared" si="4"/>
        <v>U.S. AGGREGATES, INC.  2183  THORNTOWN, IN.  2143</v>
      </c>
      <c r="B266" s="119" t="s">
        <v>995</v>
      </c>
      <c r="C266" s="115">
        <v>2183</v>
      </c>
      <c r="D266" s="119">
        <v>2143</v>
      </c>
      <c r="E266" s="116" t="s">
        <v>1011</v>
      </c>
      <c r="F266" s="116" t="s">
        <v>1013</v>
      </c>
    </row>
    <row r="267" spans="1:6">
      <c r="A267" t="str">
        <f t="shared" si="4"/>
        <v>U.S. AGGREGATES, INC.  2331  RICHMOND, IN.  2331</v>
      </c>
      <c r="B267" s="119" t="s">
        <v>1014</v>
      </c>
      <c r="C267" s="115">
        <v>2331</v>
      </c>
      <c r="D267" s="119">
        <v>2331</v>
      </c>
      <c r="E267" s="116" t="s">
        <v>1011</v>
      </c>
      <c r="F267" s="116" t="s">
        <v>534</v>
      </c>
    </row>
    <row r="268" spans="1:6">
      <c r="A268" t="str">
        <f t="shared" si="4"/>
        <v>U.S. AGGREGATES, INC.  2361  PORTLAND, IN.  2361</v>
      </c>
      <c r="B268" s="119" t="s">
        <v>1015</v>
      </c>
      <c r="C268" s="115">
        <v>2361</v>
      </c>
      <c r="D268" s="119">
        <v>2361</v>
      </c>
      <c r="E268" s="116" t="s">
        <v>1011</v>
      </c>
      <c r="F268" s="116" t="s">
        <v>1016</v>
      </c>
    </row>
    <row r="269" spans="1:6">
      <c r="A269" t="str">
        <f t="shared" si="4"/>
        <v>U.S. AGGREGATES, INC.  2363  RIDGEVILLE, IN.  2363</v>
      </c>
      <c r="B269" s="119" t="s">
        <v>1017</v>
      </c>
      <c r="C269" s="115">
        <v>2363</v>
      </c>
      <c r="D269" s="119">
        <v>2363</v>
      </c>
      <c r="E269" s="116" t="s">
        <v>1011</v>
      </c>
      <c r="F269" s="116" t="s">
        <v>1018</v>
      </c>
    </row>
    <row r="270" spans="1:6">
      <c r="A270" t="str">
        <f t="shared" si="4"/>
        <v>U.S. AGGREGATES, INC.  2535  COLUMBUS, IN.  2535</v>
      </c>
      <c r="B270" s="119" t="s">
        <v>1019</v>
      </c>
      <c r="C270" s="115">
        <v>2535</v>
      </c>
      <c r="D270" s="119">
        <v>2535</v>
      </c>
      <c r="E270" s="116" t="s">
        <v>1011</v>
      </c>
      <c r="F270" s="116" t="s">
        <v>869</v>
      </c>
    </row>
    <row r="271" spans="1:6">
      <c r="A271" t="str">
        <f t="shared" si="4"/>
        <v>U.S. AGGREGATES, INC. - CAVE  2531  FLAT ROCK, IN.  2531</v>
      </c>
      <c r="B271" s="119" t="s">
        <v>1020</v>
      </c>
      <c r="C271" s="115">
        <v>2531</v>
      </c>
      <c r="D271" s="119">
        <v>2531</v>
      </c>
      <c r="E271" s="116" t="s">
        <v>1021</v>
      </c>
      <c r="F271" s="116" t="s">
        <v>1022</v>
      </c>
    </row>
    <row r="272" spans="1:6">
      <c r="A272" t="str">
        <f t="shared" si="4"/>
        <v>U.S.AGGREGATES INC-SWISHER RD  2136  BATTLEGROUND, IN  2183</v>
      </c>
      <c r="B272" s="119" t="s">
        <v>1001</v>
      </c>
      <c r="C272" s="115">
        <v>2136</v>
      </c>
      <c r="D272" s="119">
        <v>2183</v>
      </c>
      <c r="E272" s="116" t="s">
        <v>1023</v>
      </c>
      <c r="F272" s="116" t="s">
        <v>1024</v>
      </c>
    </row>
    <row r="273" spans="1:6">
      <c r="A273" t="str">
        <f t="shared" si="4"/>
        <v>U.S.AGGREGATES INC-SWISHER RD  2143  BATTLEGROUND, IN  2183</v>
      </c>
      <c r="B273" s="119" t="s">
        <v>1012</v>
      </c>
      <c r="C273" s="115">
        <v>2143</v>
      </c>
      <c r="D273" s="119">
        <v>2183</v>
      </c>
      <c r="E273" s="116" t="s">
        <v>1023</v>
      </c>
      <c r="F273" s="116" t="s">
        <v>1024</v>
      </c>
    </row>
    <row r="274" spans="1:6">
      <c r="A274" t="str">
        <f t="shared" si="4"/>
        <v>UNKNOWN SOURCE  2572    9996</v>
      </c>
      <c r="B274" s="119" t="s">
        <v>740</v>
      </c>
      <c r="C274" s="115">
        <v>2572</v>
      </c>
      <c r="D274" s="119">
        <v>9996</v>
      </c>
      <c r="E274" s="116" t="s">
        <v>1025</v>
      </c>
      <c r="F274" s="118"/>
    </row>
    <row r="275" spans="1:6">
      <c r="A275" t="str">
        <f t="shared" si="4"/>
        <v>VCNA PRAIRIE AGGREGATE   0097  LOWELL, IN  0097</v>
      </c>
      <c r="B275" s="119" t="s">
        <v>1026</v>
      </c>
      <c r="C275" s="117" t="s">
        <v>1027</v>
      </c>
      <c r="D275" s="120" t="s">
        <v>1027</v>
      </c>
      <c r="E275" s="116" t="s">
        <v>1028</v>
      </c>
      <c r="F275" s="116" t="s">
        <v>1029</v>
      </c>
    </row>
    <row r="276" spans="1:6">
      <c r="A276" t="str">
        <f t="shared" si="4"/>
        <v>VCNA PRAIRIE AGGREGATE, IN,INC  2687  BLOOMFIELD, IN  2687</v>
      </c>
      <c r="B276" s="119" t="s">
        <v>1030</v>
      </c>
      <c r="C276" s="115">
        <v>2687</v>
      </c>
      <c r="D276" s="119">
        <v>2687</v>
      </c>
      <c r="E276" s="116" t="s">
        <v>1031</v>
      </c>
      <c r="F276" s="116" t="s">
        <v>1032</v>
      </c>
    </row>
    <row r="277" spans="1:6">
      <c r="A277" t="str">
        <f t="shared" si="4"/>
        <v>VCNA PRAIRIE AGGREGATE, IN,INC  2788  WAVERLY, IN  2788</v>
      </c>
      <c r="B277" s="119" t="s">
        <v>1033</v>
      </c>
      <c r="C277" s="115">
        <v>2788</v>
      </c>
      <c r="D277" s="119">
        <v>2788</v>
      </c>
      <c r="E277" s="116" t="s">
        <v>1031</v>
      </c>
      <c r="F277" s="116" t="s">
        <v>539</v>
      </c>
    </row>
    <row r="278" spans="1:6">
      <c r="A278" t="str">
        <f t="shared" si="4"/>
        <v>VULCAN MATERIALS  2477  KANKAKEE, ILL.  2477</v>
      </c>
      <c r="B278" s="119" t="s">
        <v>1034</v>
      </c>
      <c r="C278" s="115">
        <v>2477</v>
      </c>
      <c r="D278" s="119">
        <v>2477</v>
      </c>
      <c r="E278" s="116" t="s">
        <v>1035</v>
      </c>
      <c r="F278" s="116" t="s">
        <v>1036</v>
      </c>
    </row>
    <row r="279" spans="1:6">
      <c r="A279" t="str">
        <f t="shared" si="4"/>
        <v>VULCAN MATERIALS CO HARRISON  2546  CORYDON, IN.  2546</v>
      </c>
      <c r="B279" s="119" t="s">
        <v>1037</v>
      </c>
      <c r="C279" s="115">
        <v>2546</v>
      </c>
      <c r="D279" s="119">
        <v>2546</v>
      </c>
      <c r="E279" s="116" t="s">
        <v>1038</v>
      </c>
      <c r="F279" s="116" t="s">
        <v>741</v>
      </c>
    </row>
    <row r="280" spans="1:6">
      <c r="A280" t="str">
        <f t="shared" si="4"/>
        <v>WABASH SAND AND GRAVEL  2174  WILLIAMSPORT, IN.  2174</v>
      </c>
      <c r="B280" s="119" t="s">
        <v>1039</v>
      </c>
      <c r="C280" s="115">
        <v>2174</v>
      </c>
      <c r="D280" s="119">
        <v>2174</v>
      </c>
      <c r="E280" s="116" t="s">
        <v>1040</v>
      </c>
      <c r="F280" s="116" t="s">
        <v>1041</v>
      </c>
    </row>
    <row r="281" spans="1:6">
      <c r="A281" t="str">
        <f t="shared" si="4"/>
        <v>WARD STONE, LLC  2798  FLAT ROCK, IN  2798</v>
      </c>
      <c r="B281" s="119" t="s">
        <v>1042</v>
      </c>
      <c r="C281" s="115">
        <v>2798</v>
      </c>
      <c r="D281" s="119">
        <v>2798</v>
      </c>
      <c r="E281" s="116" t="s">
        <v>1043</v>
      </c>
      <c r="F281" s="116" t="s">
        <v>1044</v>
      </c>
    </row>
    <row r="282" spans="1:6">
      <c r="A282" t="str">
        <f t="shared" si="4"/>
        <v>WATSON GRAVEL INC - PLANT #2  2786  HARRISON, OH.  2786</v>
      </c>
      <c r="B282" s="119" t="s">
        <v>1045</v>
      </c>
      <c r="C282" s="115">
        <v>2786</v>
      </c>
      <c r="D282" s="119">
        <v>2786</v>
      </c>
      <c r="E282" s="116" t="s">
        <v>1046</v>
      </c>
      <c r="F282" s="116" t="s">
        <v>1047</v>
      </c>
    </row>
    <row r="283" spans="1:6">
      <c r="A283" t="str">
        <f t="shared" si="4"/>
        <v>WEST PLAINS MINING/KENTNER CRE  0077  WABASH, IN  0077</v>
      </c>
      <c r="B283" s="119" t="s">
        <v>1048</v>
      </c>
      <c r="C283" s="117" t="s">
        <v>1049</v>
      </c>
      <c r="D283" s="120" t="s">
        <v>1049</v>
      </c>
      <c r="E283" s="116" t="s">
        <v>1050</v>
      </c>
      <c r="F283" s="116" t="s">
        <v>1051</v>
      </c>
    </row>
    <row r="284" spans="1:6">
      <c r="A284" t="str">
        <f t="shared" si="4"/>
        <v>WHITE RIVER GRAVEL CO., INC.  2782  WAVERLY, IN  2782</v>
      </c>
      <c r="B284" s="119" t="s">
        <v>1052</v>
      </c>
      <c r="C284" s="115">
        <v>2782</v>
      </c>
      <c r="D284" s="119">
        <v>2782</v>
      </c>
      <c r="E284" s="116" t="s">
        <v>1053</v>
      </c>
      <c r="F284" s="116" t="s">
        <v>539</v>
      </c>
    </row>
    <row r="285" spans="1:6">
      <c r="A285" t="str">
        <f t="shared" si="4"/>
        <v>WHITESVILLE MILL SERVICE  2110  CRAWFORDSVILLE, IN  2110</v>
      </c>
      <c r="B285" s="119" t="s">
        <v>1054</v>
      </c>
      <c r="C285" s="115">
        <v>2110</v>
      </c>
      <c r="D285" s="119">
        <v>2110</v>
      </c>
      <c r="E285" s="116" t="s">
        <v>1055</v>
      </c>
      <c r="F285" s="116" t="s">
        <v>805</v>
      </c>
    </row>
    <row r="286" spans="1:6">
      <c r="A286" t="str">
        <f t="shared" si="4"/>
        <v>WILHELM GRAVEL, CO. INC.  2245  WATERLOO, IN.  2245</v>
      </c>
      <c r="B286" s="119" t="s">
        <v>1056</v>
      </c>
      <c r="C286" s="115">
        <v>2245</v>
      </c>
      <c r="D286" s="119">
        <v>2245</v>
      </c>
      <c r="E286" s="116" t="s">
        <v>1057</v>
      </c>
      <c r="F286" s="116" t="s">
        <v>1058</v>
      </c>
    </row>
    <row r="287" spans="1:6">
      <c r="A287" t="str">
        <f t="shared" si="4"/>
        <v>YAGER MATERIALS, INC.  2638  OWENSBORO, KY.  2638</v>
      </c>
      <c r="B287" s="119" t="s">
        <v>1059</v>
      </c>
      <c r="C287" s="115">
        <v>2638</v>
      </c>
      <c r="D287" s="119">
        <v>2638</v>
      </c>
      <c r="E287" s="116" t="s">
        <v>1060</v>
      </c>
      <c r="F287" s="116" t="s">
        <v>1061</v>
      </c>
    </row>
    <row r="288" spans="1:6">
      <c r="A288" t="str">
        <f t="shared" si="4"/>
        <v>YAGER MATERIALS, INC.  2970  OWENSBORO, KY.  2638</v>
      </c>
      <c r="B288" s="119" t="s">
        <v>596</v>
      </c>
      <c r="C288" s="115">
        <v>2970</v>
      </c>
      <c r="D288" s="119">
        <v>2638</v>
      </c>
      <c r="E288" s="116" t="s">
        <v>1060</v>
      </c>
      <c r="F288" s="116" t="s">
        <v>1061</v>
      </c>
    </row>
    <row r="289" spans="1:6">
      <c r="A289" t="str">
        <f t="shared" si="4"/>
        <v>YELLOW CREEK GRAVEL SERVICES  2914  GOSHEN, IN  2914</v>
      </c>
      <c r="B289" s="119" t="s">
        <v>1062</v>
      </c>
      <c r="C289" s="115">
        <v>2914</v>
      </c>
      <c r="D289" s="119">
        <v>2914</v>
      </c>
      <c r="E289" s="116" t="s">
        <v>1063</v>
      </c>
      <c r="F289" s="116" t="s">
        <v>1064</v>
      </c>
    </row>
  </sheetData>
  <sheetProtection password="DE78" sheet="1" objects="1" scenarios="1" selectLockedCells="1" selectUnlockedCells="1"/>
  <sortState xmlns:xlrd2="http://schemas.microsoft.com/office/spreadsheetml/2017/richdata2" ref="A1:F296">
    <sortCondition ref="A1"/>
  </sortState>
  <pageMargins left="0.7" right="0.7" top="0.75" bottom="0.75" header="0.3" footer="0.3"/>
  <pageSetup orientation="portrait" r:id="rId1"/>
  <ignoredErrors>
    <ignoredError sqref="G141:G144 G69:G139 G9:G18 G19:G67 G270:G277 G145:G269 G278:G295 B296:B1048576 B1:B29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D34"/>
  <sheetViews>
    <sheetView topLeftCell="A2" zoomScale="55" zoomScaleNormal="55" workbookViewId="0">
      <selection activeCell="F14" sqref="F14"/>
    </sheetView>
  </sheetViews>
  <sheetFormatPr defaultRowHeight="13.15"/>
  <cols>
    <col min="1" max="1" width="82.28515625" style="41" customWidth="1"/>
    <col min="2" max="2" width="9" style="44" customWidth="1"/>
    <col min="3" max="3" width="82.5703125" style="41" customWidth="1"/>
    <col min="4" max="4" width="95.5703125" customWidth="1"/>
  </cols>
  <sheetData>
    <row r="1" spans="1:4" ht="27.6">
      <c r="A1" t="str">
        <f>D1&amp;"   "&amp;C1</f>
        <v>Amrize    ALPENA, MI</v>
      </c>
      <c r="B1" s="292" t="s">
        <v>1065</v>
      </c>
      <c r="C1" s="291" t="s">
        <v>1066</v>
      </c>
      <c r="D1" s="289" t="s">
        <v>1067</v>
      </c>
    </row>
    <row r="2" spans="1:4" ht="27.6">
      <c r="A2" t="str">
        <f t="shared" ref="A2:A9" si="0">D2&amp;"   "&amp;C2</f>
        <v xml:space="preserve">Amrize - St. Genevieve Plant   BLOOMSDALE, MO </v>
      </c>
      <c r="B2" s="292" t="s">
        <v>1068</v>
      </c>
      <c r="C2" s="291" t="s">
        <v>1069</v>
      </c>
      <c r="D2" s="290" t="s">
        <v>1070</v>
      </c>
    </row>
    <row r="3" spans="1:4" ht="27.6">
      <c r="A3" t="str">
        <f t="shared" si="0"/>
        <v>Amrize   JOPPA, IL</v>
      </c>
      <c r="B3" s="292" t="s">
        <v>1071</v>
      </c>
      <c r="C3" s="291" t="s">
        <v>1072</v>
      </c>
      <c r="D3" s="290" t="s">
        <v>1073</v>
      </c>
    </row>
    <row r="4" spans="1:4" ht="27.6">
      <c r="A4" t="str">
        <f t="shared" si="0"/>
        <v>Amrize   PAULDING, OH</v>
      </c>
      <c r="B4" s="292" t="s">
        <v>1074</v>
      </c>
      <c r="C4" s="291" t="s">
        <v>1075</v>
      </c>
      <c r="D4" s="290" t="s">
        <v>1073</v>
      </c>
    </row>
    <row r="5" spans="1:4" ht="27.6">
      <c r="A5" t="str">
        <f t="shared" si="0"/>
        <v>Atlantic Sunshine, LLC-Song Lam Plant   NGHE AN PROVINCE, VIETNAM</v>
      </c>
      <c r="B5" s="292" t="s">
        <v>1076</v>
      </c>
      <c r="C5" s="291" t="s">
        <v>1077</v>
      </c>
      <c r="D5" s="290" t="s">
        <v>1078</v>
      </c>
    </row>
    <row r="6" spans="1:4" ht="27.6">
      <c r="A6" t="str">
        <f t="shared" si="0"/>
        <v>Atlantic Sunshine, LLC-Xaun Thane Plant   HA NAM PROVINCE, VIETNAM</v>
      </c>
      <c r="B6" s="292" t="s">
        <v>1079</v>
      </c>
      <c r="C6" s="291" t="s">
        <v>1080</v>
      </c>
      <c r="D6" s="290" t="s">
        <v>1081</v>
      </c>
    </row>
    <row r="7" spans="1:4" ht="27.6">
      <c r="A7" t="str">
        <f t="shared" si="0"/>
        <v>Buzzi Unicem Sales Co.   CHATTANOOGA, TN</v>
      </c>
      <c r="B7" s="292" t="s">
        <v>1082</v>
      </c>
      <c r="C7" s="291" t="s">
        <v>1083</v>
      </c>
      <c r="D7" s="291" t="s">
        <v>1084</v>
      </c>
    </row>
    <row r="8" spans="1:4" ht="27.6">
      <c r="A8" t="str">
        <f t="shared" si="0"/>
        <v>Buzzi Unicem Sales Co.   GREENCASTLE, IN</v>
      </c>
      <c r="B8" s="292" t="s">
        <v>1085</v>
      </c>
      <c r="C8" s="291" t="s">
        <v>1086</v>
      </c>
      <c r="D8" s="291" t="s">
        <v>1084</v>
      </c>
    </row>
    <row r="9" spans="1:4" ht="27.6">
      <c r="A9" t="str">
        <f t="shared" si="0"/>
        <v>Buzzi Unicem Sales Co.   FESTUS, MO</v>
      </c>
      <c r="B9" s="292" t="s">
        <v>1087</v>
      </c>
      <c r="C9" s="291" t="s">
        <v>1088</v>
      </c>
      <c r="D9" s="291" t="s">
        <v>1084</v>
      </c>
    </row>
    <row r="10" spans="1:4" ht="27.6">
      <c r="A10" t="str">
        <f t="shared" ref="A10:A25" si="1">D10&amp;"   "&amp;C10</f>
        <v>Fariborn Cement Co.    FAIRBORN, OH</v>
      </c>
      <c r="B10" s="292" t="s">
        <v>1089</v>
      </c>
      <c r="C10" s="291" t="s">
        <v>1090</v>
      </c>
      <c r="D10" s="291" t="s">
        <v>1091</v>
      </c>
    </row>
    <row r="11" spans="1:4" ht="27.6">
      <c r="A11" t="str">
        <f t="shared" si="1"/>
        <v>Heidelberg Materials NA   LOGANSPORT, IN</v>
      </c>
      <c r="B11" s="292" t="s">
        <v>1092</v>
      </c>
      <c r="C11" s="291" t="s">
        <v>588</v>
      </c>
      <c r="D11" s="291" t="s">
        <v>1093</v>
      </c>
    </row>
    <row r="12" spans="1:4" ht="27.6">
      <c r="A12" t="str">
        <f t="shared" si="1"/>
        <v>Heidelberg Materials NA   MITCHELL, IN</v>
      </c>
      <c r="B12" s="292" t="s">
        <v>1094</v>
      </c>
      <c r="C12" s="291" t="s">
        <v>1095</v>
      </c>
      <c r="D12" s="291" t="s">
        <v>1093</v>
      </c>
    </row>
    <row r="13" spans="1:4" ht="27.6">
      <c r="A13" t="str">
        <f t="shared" si="1"/>
        <v>Heidelberg Materials NA - Terminal &amp; Grinding Facility Only   SPEED, IN</v>
      </c>
      <c r="B13" s="292" t="s">
        <v>1096</v>
      </c>
      <c r="C13" s="291" t="s">
        <v>1097</v>
      </c>
      <c r="D13" s="291" t="s">
        <v>1098</v>
      </c>
    </row>
    <row r="14" spans="1:4" ht="27.6">
      <c r="A14" t="str">
        <f t="shared" si="1"/>
        <v>Hollingshead Cement LLC - Msila Plant   MSILA, ALGERIA</v>
      </c>
      <c r="B14" s="292" t="s">
        <v>1099</v>
      </c>
      <c r="C14" s="291" t="s">
        <v>1100</v>
      </c>
      <c r="D14" s="291" t="s">
        <v>1101</v>
      </c>
    </row>
    <row r="15" spans="1:4" ht="27.6">
      <c r="A15" t="str">
        <f t="shared" si="1"/>
        <v>Illinois Cement Company   LASALLE, IL</v>
      </c>
      <c r="B15" s="292" t="s">
        <v>1102</v>
      </c>
      <c r="C15" s="291" t="s">
        <v>1103</v>
      </c>
      <c r="D15" s="291" t="s">
        <v>1104</v>
      </c>
    </row>
    <row r="16" spans="1:4" ht="27.6">
      <c r="A16" t="str">
        <f t="shared" si="1"/>
        <v>Kosmos Cement Co.   KOSMOSDALE, KY</v>
      </c>
      <c r="B16" s="292" t="s">
        <v>1105</v>
      </c>
      <c r="C16" s="291" t="s">
        <v>1106</v>
      </c>
      <c r="D16" s="291" t="s">
        <v>1107</v>
      </c>
    </row>
    <row r="17" spans="1:4" ht="27.6">
      <c r="A17" t="str">
        <f t="shared" si="1"/>
        <v>Ozinga Cement - Long Son Cement Plant   THANH HOA PROVINCE, VIETNAM</v>
      </c>
      <c r="B17" s="292" t="s">
        <v>1108</v>
      </c>
      <c r="C17" s="291" t="s">
        <v>1109</v>
      </c>
      <c r="D17" s="291" t="s">
        <v>1110</v>
      </c>
    </row>
    <row r="18" spans="1:4" ht="27.6">
      <c r="A18" t="str">
        <f t="shared" si="1"/>
        <v>St. Marys Cement Co,   DETROIT, MI</v>
      </c>
      <c r="B18" s="292" t="s">
        <v>1111</v>
      </c>
      <c r="C18" s="291" t="s">
        <v>1112</v>
      </c>
      <c r="D18" s="291" t="s">
        <v>1113</v>
      </c>
    </row>
    <row r="19" spans="1:4" ht="27.6">
      <c r="A19" t="str">
        <f t="shared" si="1"/>
        <v>St. Marys Cement Co,   ONTARIO, CANADA</v>
      </c>
      <c r="B19" s="292" t="s">
        <v>1114</v>
      </c>
      <c r="C19" s="291" t="s">
        <v>1115</v>
      </c>
      <c r="D19" s="291" t="s">
        <v>1113</v>
      </c>
    </row>
    <row r="20" spans="1:4" ht="27.6">
      <c r="A20" t="str">
        <f t="shared" si="1"/>
        <v>St. Marys Cement Co,   CHARLEVOIX, MI</v>
      </c>
      <c r="B20" s="292" t="s">
        <v>1116</v>
      </c>
      <c r="C20" s="291" t="s">
        <v>1117</v>
      </c>
      <c r="D20" s="291" t="s">
        <v>1113</v>
      </c>
    </row>
    <row r="21" spans="1:4" ht="27.6">
      <c r="A21" t="str">
        <f t="shared" si="1"/>
        <v>St. Marys Cement Co,   ONTARIO, CANADA</v>
      </c>
      <c r="B21" s="292" t="s">
        <v>1118</v>
      </c>
      <c r="C21" s="291" t="s">
        <v>1115</v>
      </c>
      <c r="D21" s="291" t="s">
        <v>1113</v>
      </c>
    </row>
    <row r="22" spans="1:4" ht="27.6">
      <c r="A22" t="str">
        <f t="shared" si="1"/>
        <v>Silvi Cement  - Medcem Cement Plant   MERSIN, TURKEY</v>
      </c>
      <c r="B22" s="292" t="s">
        <v>1119</v>
      </c>
      <c r="C22" s="291" t="s">
        <v>1120</v>
      </c>
      <c r="D22" s="291" t="s">
        <v>1121</v>
      </c>
    </row>
    <row r="23" spans="1:4" ht="27.6">
      <c r="A23" t="str">
        <f t="shared" si="1"/>
        <v>Quikrete Cement   HANNIBAL, MO</v>
      </c>
      <c r="B23" s="292" t="s">
        <v>1122</v>
      </c>
      <c r="C23" s="291" t="s">
        <v>1123</v>
      </c>
      <c r="D23" s="291" t="s">
        <v>1124</v>
      </c>
    </row>
    <row r="24" spans="1:4" ht="27.6">
      <c r="A24" t="str">
        <f t="shared" si="1"/>
        <v>Quikrete Cement   MARTINSBURG, WV</v>
      </c>
      <c r="B24" s="292" t="s">
        <v>1125</v>
      </c>
      <c r="C24" s="291" t="s">
        <v>1126</v>
      </c>
      <c r="D24" s="291" t="s">
        <v>1124</v>
      </c>
    </row>
    <row r="25" spans="1:4" ht="27.6">
      <c r="A25" t="str">
        <f t="shared" si="1"/>
        <v>Quikrete Cement   ROBERTA, AL</v>
      </c>
      <c r="B25" s="292" t="s">
        <v>1127</v>
      </c>
      <c r="C25" s="291" t="s">
        <v>1128</v>
      </c>
      <c r="D25" s="291" t="s">
        <v>1124</v>
      </c>
    </row>
    <row r="26" spans="1:4">
      <c r="A26" s="293" t="s">
        <v>338</v>
      </c>
    </row>
    <row r="27" spans="1:4" ht="13.9">
      <c r="A27" s="43"/>
      <c r="C27" s="43"/>
      <c r="D27" t="str">
        <f t="shared" ref="D27:D34" si="2">RIGHT(B27,6)&amp;"   "&amp;A27&amp;"   "&amp;C27</f>
        <v xml:space="preserve">      </v>
      </c>
    </row>
    <row r="28" spans="1:4" ht="13.9">
      <c r="A28" s="43"/>
      <c r="C28" s="43"/>
      <c r="D28" t="str">
        <f t="shared" si="2"/>
        <v xml:space="preserve">      </v>
      </c>
    </row>
    <row r="29" spans="1:4" ht="13.9">
      <c r="A29" s="43"/>
      <c r="C29" s="43"/>
      <c r="D29" t="str">
        <f t="shared" si="2"/>
        <v xml:space="preserve">      </v>
      </c>
    </row>
    <row r="30" spans="1:4" ht="13.9">
      <c r="A30" s="43"/>
      <c r="C30" s="43"/>
      <c r="D30" t="str">
        <f t="shared" si="2"/>
        <v xml:space="preserve">      </v>
      </c>
    </row>
    <row r="31" spans="1:4" ht="13.9">
      <c r="A31" s="43"/>
      <c r="B31" s="42"/>
      <c r="C31" s="43"/>
      <c r="D31" t="str">
        <f t="shared" si="2"/>
        <v xml:space="preserve">      </v>
      </c>
    </row>
    <row r="32" spans="1:4" ht="13.9">
      <c r="A32" s="45"/>
      <c r="B32" s="42"/>
      <c r="C32" s="45"/>
      <c r="D32" t="str">
        <f t="shared" si="2"/>
        <v xml:space="preserve">      </v>
      </c>
    </row>
    <row r="33" spans="1:4" ht="13.9">
      <c r="A33" s="45"/>
      <c r="B33" s="42"/>
      <c r="C33" s="45"/>
      <c r="D33" t="str">
        <f t="shared" si="2"/>
        <v xml:space="preserve">      </v>
      </c>
    </row>
    <row r="34" spans="1:4" ht="13.9">
      <c r="A34" s="45"/>
      <c r="B34" s="42"/>
      <c r="C34" s="45"/>
      <c r="D34" t="str">
        <f t="shared" si="2"/>
        <v xml:space="preserve">      </v>
      </c>
    </row>
  </sheetData>
  <sheetProtection algorithmName="SHA-512" hashValue="aLQhd2POKkd4Lcb42BXyKvqGgS2Fcg8bOu3WxSQsUV7HQ/VgRHCRTnUNPUXr7lOsKMN010wpW23UEK7Aj6yEkw==" saltValue="pLqiMH/QSDexmd/ctx7t5Q==" spinCount="100000" sheet="1" selectLockedCells="1" selectUnlockedCells="1"/>
  <sortState xmlns:xlrd2="http://schemas.microsoft.com/office/spreadsheetml/2017/richdata2" ref="C70:C77">
    <sortCondition ref="C70"/>
  </sortState>
  <pageMargins left="0.7" right="0.7" top="0.75" bottom="0.75" header="0.3" footer="0.3"/>
  <pageSetup orientation="portrait" r:id="rId1"/>
  <ignoredErrors>
    <ignoredError sqref="B36:B1048576"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A1:K24"/>
  <sheetViews>
    <sheetView workbookViewId="0">
      <selection activeCell="F14" sqref="F14"/>
    </sheetView>
  </sheetViews>
  <sheetFormatPr defaultColWidth="9.140625" defaultRowHeight="15.6"/>
  <cols>
    <col min="1" max="1" width="33.42578125" style="47" customWidth="1"/>
    <col min="2" max="2" width="10.7109375" style="100" customWidth="1"/>
    <col min="3" max="3" width="8.85546875" style="47" customWidth="1"/>
    <col min="4" max="4" width="42" style="53" customWidth="1"/>
    <col min="5" max="5" width="15.140625" style="51" customWidth="1"/>
    <col min="6" max="6" width="21.42578125" style="54" customWidth="1"/>
    <col min="7" max="16384" width="9.140625" style="46"/>
  </cols>
  <sheetData>
    <row r="1" spans="1:11">
      <c r="A1" s="122" t="s">
        <v>1129</v>
      </c>
      <c r="B1" s="46"/>
      <c r="C1" s="46"/>
      <c r="D1" s="46"/>
      <c r="E1" s="46"/>
      <c r="F1" s="46"/>
    </row>
    <row r="2" spans="1:11">
      <c r="A2" s="50" t="s">
        <v>1130</v>
      </c>
      <c r="B2" s="100">
        <v>28621</v>
      </c>
      <c r="C2" s="48" t="s">
        <v>1131</v>
      </c>
      <c r="D2" s="49" t="s">
        <v>1132</v>
      </c>
      <c r="E2" s="51" t="s">
        <v>243</v>
      </c>
      <c r="F2" s="52"/>
      <c r="H2"/>
      <c r="I2"/>
      <c r="J2"/>
      <c r="K2"/>
    </row>
    <row r="3" spans="1:11">
      <c r="A3" s="50" t="s">
        <v>1133</v>
      </c>
      <c r="B3" s="100">
        <v>28620</v>
      </c>
      <c r="C3" s="48" t="s">
        <v>1134</v>
      </c>
      <c r="D3" s="49" t="s">
        <v>1135</v>
      </c>
      <c r="E3" s="51" t="s">
        <v>243</v>
      </c>
      <c r="F3" s="52"/>
      <c r="H3"/>
      <c r="I3"/>
      <c r="J3"/>
      <c r="K3"/>
    </row>
    <row r="4" spans="1:11">
      <c r="A4" s="50" t="s">
        <v>338</v>
      </c>
      <c r="B4" s="100" t="s">
        <v>338</v>
      </c>
      <c r="C4" s="48" t="s">
        <v>338</v>
      </c>
      <c r="D4" s="49" t="s">
        <v>338</v>
      </c>
      <c r="E4" s="51" t="s">
        <v>338</v>
      </c>
      <c r="F4" s="52"/>
      <c r="H4"/>
      <c r="I4"/>
      <c r="J4"/>
      <c r="K4"/>
    </row>
    <row r="5" spans="1:11" ht="13.15">
      <c r="A5" s="294" t="s">
        <v>338</v>
      </c>
      <c r="B5" s="294" t="s">
        <v>338</v>
      </c>
      <c r="C5" s="294" t="s">
        <v>338</v>
      </c>
      <c r="D5" s="294" t="s">
        <v>338</v>
      </c>
      <c r="E5" s="294" t="s">
        <v>338</v>
      </c>
      <c r="F5" s="46"/>
      <c r="H5"/>
      <c r="I5"/>
      <c r="J5"/>
      <c r="K5"/>
    </row>
    <row r="6" spans="1:11">
      <c r="G6"/>
      <c r="H6"/>
      <c r="I6" s="101"/>
      <c r="J6"/>
      <c r="K6"/>
    </row>
    <row r="7" spans="1:11">
      <c r="G7"/>
      <c r="H7"/>
      <c r="I7" s="101"/>
      <c r="J7"/>
      <c r="K7"/>
    </row>
    <row r="8" spans="1:11">
      <c r="G8" s="101"/>
      <c r="H8"/>
      <c r="I8"/>
      <c r="J8"/>
      <c r="K8"/>
    </row>
    <row r="9" spans="1:11">
      <c r="G9" s="101"/>
      <c r="H9"/>
      <c r="I9"/>
      <c r="J9"/>
      <c r="K9"/>
    </row>
    <row r="10" spans="1:11">
      <c r="G10" s="102"/>
      <c r="H10" s="102"/>
      <c r="I10"/>
      <c r="J10"/>
      <c r="K10"/>
    </row>
    <row r="11" spans="1:11">
      <c r="G11"/>
      <c r="H11"/>
      <c r="I11" s="101"/>
      <c r="J11"/>
      <c r="K11"/>
    </row>
    <row r="12" spans="1:11">
      <c r="G12"/>
      <c r="H12"/>
      <c r="I12" s="101"/>
      <c r="J12"/>
      <c r="K12"/>
    </row>
    <row r="13" spans="1:11">
      <c r="G13" s="101"/>
      <c r="H13"/>
      <c r="I13"/>
      <c r="J13"/>
      <c r="K13"/>
    </row>
    <row r="14" spans="1:11">
      <c r="G14" s="101"/>
      <c r="H14"/>
      <c r="I14"/>
      <c r="J14"/>
      <c r="K14"/>
    </row>
    <row r="15" spans="1:11">
      <c r="G15" s="101"/>
      <c r="H15" s="101"/>
      <c r="I15"/>
      <c r="J15"/>
      <c r="K15"/>
    </row>
    <row r="16" spans="1:11">
      <c r="G16"/>
      <c r="H16"/>
      <c r="I16" s="101"/>
      <c r="J16"/>
      <c r="K16"/>
    </row>
    <row r="17" spans="7:11">
      <c r="G17" s="103"/>
      <c r="H17"/>
      <c r="I17"/>
      <c r="J17"/>
      <c r="K17"/>
    </row>
    <row r="18" spans="7:11">
      <c r="G18" s="103"/>
      <c r="H18"/>
      <c r="I18"/>
      <c r="J18"/>
      <c r="K18"/>
    </row>
    <row r="19" spans="7:11">
      <c r="G19" s="103"/>
      <c r="H19"/>
      <c r="I19"/>
      <c r="J19"/>
      <c r="K19"/>
    </row>
    <row r="20" spans="7:11">
      <c r="G20" s="101"/>
      <c r="H20"/>
      <c r="I20"/>
      <c r="J20"/>
      <c r="K20"/>
    </row>
    <row r="21" spans="7:11">
      <c r="G21" s="101"/>
      <c r="H21" s="101"/>
      <c r="I21"/>
      <c r="J21"/>
      <c r="K21"/>
    </row>
    <row r="22" spans="7:11">
      <c r="G22" s="101"/>
      <c r="H22"/>
      <c r="I22"/>
      <c r="J22"/>
      <c r="K22"/>
    </row>
    <row r="23" spans="7:11">
      <c r="G23"/>
      <c r="H23" s="101"/>
      <c r="I23"/>
      <c r="J23"/>
      <c r="K23"/>
    </row>
    <row r="24" spans="7:11">
      <c r="G24" s="101"/>
      <c r="H24"/>
      <c r="I24"/>
      <c r="J24"/>
      <c r="K24"/>
    </row>
  </sheetData>
  <sheetProtection algorithmName="SHA-512" hashValue="pi4uYkvFrcjUglgltTAfyAZTgTWX1Gli+juSqHFH7oL51Kj+vS1b1EMfZ8IAEm8GOabtXJrqu4Fx6pH/+wHXZg==" saltValue="eVhveVd5Rqwo9D8pdcx23A==" spinCount="100000" sheet="1" objects="1" scenarios="1" selectLockedCells="1" selectUnlockedCells="1"/>
  <sortState xmlns:xlrd2="http://schemas.microsoft.com/office/spreadsheetml/2017/richdata2" ref="A1:F321">
    <sortCondition ref="A1"/>
  </sortState>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AG25"/>
  <sheetViews>
    <sheetView tabSelected="1" workbookViewId="0">
      <selection activeCell="AA39" sqref="AA39"/>
    </sheetView>
  </sheetViews>
  <sheetFormatPr defaultRowHeight="13.15"/>
  <cols>
    <col min="1" max="17" width="3.140625" customWidth="1"/>
    <col min="18" max="18" width="5.28515625" customWidth="1"/>
    <col min="19" max="19" width="3.140625" customWidth="1"/>
    <col min="20" max="20" width="6.140625" customWidth="1"/>
    <col min="21" max="22" width="3.140625" customWidth="1"/>
    <col min="23" max="23" width="10.42578125" customWidth="1"/>
    <col min="24" max="36" width="3.140625" customWidth="1"/>
  </cols>
  <sheetData>
    <row r="1" spans="1:33" ht="20.45">
      <c r="A1" s="690" t="s">
        <v>1136</v>
      </c>
      <c r="B1" s="690"/>
      <c r="C1" s="690"/>
      <c r="D1" s="690"/>
      <c r="E1" s="690"/>
      <c r="F1" s="690"/>
      <c r="G1" s="690"/>
      <c r="H1" s="690"/>
      <c r="I1" s="690"/>
      <c r="J1" s="690"/>
      <c r="K1" s="690"/>
      <c r="L1" s="690"/>
      <c r="M1" s="690"/>
      <c r="N1" s="690"/>
      <c r="O1" s="690"/>
      <c r="P1" s="690"/>
      <c r="Q1" s="690"/>
      <c r="R1" s="690"/>
      <c r="S1" s="690"/>
      <c r="T1" s="690"/>
      <c r="U1" s="690"/>
      <c r="V1" s="690"/>
      <c r="W1" s="690"/>
      <c r="X1" s="690"/>
      <c r="Y1" s="690"/>
      <c r="Z1" s="690"/>
      <c r="AA1" s="690"/>
      <c r="AB1" s="690"/>
      <c r="AC1" s="690"/>
      <c r="AD1" s="690"/>
      <c r="AE1" s="690"/>
      <c r="AF1" s="690"/>
      <c r="AG1" s="690"/>
    </row>
    <row r="2" spans="1:33" ht="12.75" customHeight="1">
      <c r="A2" s="288"/>
      <c r="B2" s="15"/>
      <c r="C2" s="15"/>
      <c r="D2" s="15"/>
      <c r="E2" s="15"/>
      <c r="F2" s="15"/>
      <c r="G2" s="15"/>
      <c r="H2" s="15"/>
      <c r="I2" s="15"/>
      <c r="J2" s="15"/>
      <c r="K2" s="15"/>
      <c r="L2" s="15"/>
      <c r="M2" s="15"/>
      <c r="N2" s="15"/>
      <c r="O2" s="15"/>
      <c r="P2" s="15"/>
      <c r="Q2" s="15"/>
      <c r="R2" s="15"/>
      <c r="S2" s="15"/>
      <c r="T2" s="15"/>
      <c r="U2" s="15"/>
      <c r="V2" s="15"/>
      <c r="W2" s="15"/>
    </row>
    <row r="3" spans="1:33">
      <c r="A3" t="s">
        <v>1137</v>
      </c>
      <c r="H3" s="695" t="str">
        <f>'MIX DESIGN'!G2</f>
        <v>Modified Concrete Suppliers</v>
      </c>
      <c r="I3" s="563"/>
      <c r="J3" s="563"/>
      <c r="K3" s="563"/>
      <c r="L3" s="563"/>
      <c r="M3" s="563"/>
      <c r="N3" s="563"/>
      <c r="O3" s="563"/>
      <c r="P3" s="563"/>
    </row>
    <row r="4" spans="1:33">
      <c r="A4" t="s">
        <v>1138</v>
      </c>
      <c r="G4" s="695">
        <f>'MIX DESIGN'!G5</f>
        <v>0</v>
      </c>
      <c r="H4" s="563"/>
      <c r="I4" s="563"/>
      <c r="J4" s="563"/>
      <c r="K4" s="563"/>
      <c r="L4" s="563"/>
      <c r="M4" s="563"/>
      <c r="N4" s="563"/>
    </row>
    <row r="5" spans="1:33">
      <c r="A5" t="s">
        <v>1139</v>
      </c>
      <c r="F5" s="563" t="str">
        <f>'MIX DESIGN'!V7</f>
        <v>722 Latex Modified</v>
      </c>
      <c r="G5" s="563"/>
      <c r="H5" s="563"/>
      <c r="I5" s="563"/>
      <c r="J5" s="563"/>
      <c r="K5" s="563"/>
      <c r="L5" s="563"/>
      <c r="M5" s="563"/>
    </row>
    <row r="7" spans="1:33">
      <c r="A7" t="s">
        <v>1140</v>
      </c>
      <c r="G7" s="1007">
        <f>'MIX DESIGN'!E26</f>
        <v>0</v>
      </c>
      <c r="H7" s="563"/>
      <c r="I7" s="563"/>
    </row>
    <row r="8" spans="1:33">
      <c r="A8" t="s">
        <v>1141</v>
      </c>
      <c r="G8" s="544">
        <f>'MIX DESIGN'!E27+'MIX DESIGN'!E28+'MIX DESIGN'!E29</f>
        <v>0</v>
      </c>
      <c r="H8" s="502"/>
      <c r="I8" s="502"/>
    </row>
    <row r="9" spans="1:33">
      <c r="G9" s="296"/>
      <c r="H9" s="296"/>
      <c r="I9" s="296"/>
    </row>
    <row r="10" spans="1:33">
      <c r="A10" s="5" t="s">
        <v>1142</v>
      </c>
    </row>
    <row r="11" spans="1:33">
      <c r="A11" t="s">
        <v>1143</v>
      </c>
    </row>
    <row r="12" spans="1:33">
      <c r="A12" t="s">
        <v>1144</v>
      </c>
    </row>
    <row r="14" spans="1:33">
      <c r="A14" s="575" t="s">
        <v>1145</v>
      </c>
      <c r="B14" s="576"/>
      <c r="C14" s="576"/>
      <c r="D14" s="576"/>
      <c r="E14" s="576"/>
      <c r="F14" s="577"/>
      <c r="G14" s="575" t="s">
        <v>1146</v>
      </c>
      <c r="H14" s="576"/>
      <c r="I14" s="577"/>
      <c r="J14" s="575" t="s">
        <v>1147</v>
      </c>
      <c r="K14" s="576"/>
      <c r="L14" s="577"/>
      <c r="M14" s="575" t="s">
        <v>177</v>
      </c>
      <c r="N14" s="576"/>
      <c r="O14" s="576"/>
      <c r="P14" s="577"/>
      <c r="Q14" s="558" t="s">
        <v>227</v>
      </c>
      <c r="R14" s="577"/>
      <c r="S14" s="575" t="s">
        <v>227</v>
      </c>
      <c r="T14" s="577"/>
      <c r="U14" s="995" t="s">
        <v>1148</v>
      </c>
      <c r="V14" s="880"/>
      <c r="W14" s="942"/>
      <c r="X14" s="575" t="s">
        <v>1149</v>
      </c>
      <c r="Y14" s="576"/>
      <c r="Z14" s="576"/>
      <c r="AA14" s="576"/>
      <c r="AB14" s="576"/>
      <c r="AC14" s="576"/>
      <c r="AD14" s="576"/>
      <c r="AE14" s="576"/>
      <c r="AF14" s="576"/>
      <c r="AG14" s="577"/>
    </row>
    <row r="15" spans="1:33">
      <c r="A15" s="16"/>
      <c r="B15" s="337"/>
      <c r="C15" s="337"/>
      <c r="D15" s="337"/>
      <c r="E15" s="337"/>
      <c r="F15" s="337"/>
      <c r="G15" s="565" t="s">
        <v>105</v>
      </c>
      <c r="H15" s="563"/>
      <c r="I15" s="564"/>
      <c r="J15" s="565" t="s">
        <v>1150</v>
      </c>
      <c r="K15" s="563"/>
      <c r="L15" s="564"/>
      <c r="M15" s="565" t="s">
        <v>1151</v>
      </c>
      <c r="N15" s="563"/>
      <c r="O15" s="563"/>
      <c r="P15" s="564"/>
      <c r="Q15" s="565" t="s">
        <v>1152</v>
      </c>
      <c r="R15" s="564"/>
      <c r="S15" s="1008" t="s">
        <v>1153</v>
      </c>
      <c r="T15" s="564"/>
      <c r="U15" s="996" t="s">
        <v>1154</v>
      </c>
      <c r="V15" s="955"/>
      <c r="W15" s="956"/>
      <c r="X15" s="16"/>
      <c r="Y15" s="337"/>
      <c r="Z15" s="337"/>
      <c r="AA15" s="337"/>
      <c r="AB15" s="337"/>
      <c r="AC15" s="337"/>
      <c r="AD15" s="337"/>
      <c r="AE15" s="337"/>
      <c r="AF15" s="337"/>
      <c r="AG15" s="17"/>
    </row>
    <row r="16" spans="1:33" ht="25.5" customHeight="1">
      <c r="A16" s="1006">
        <f>'MIX DESIGN'!V3</f>
        <v>0</v>
      </c>
      <c r="B16" s="1005"/>
      <c r="C16" s="1005"/>
      <c r="D16" s="1005"/>
      <c r="E16" s="1005"/>
      <c r="F16" s="1005"/>
      <c r="G16" s="1004">
        <f>'MIX DESIGN'!Z41</f>
        <v>0</v>
      </c>
      <c r="H16" s="1004"/>
      <c r="I16" s="1004"/>
      <c r="J16" s="533">
        <f>'MIX DESIGN'!V2</f>
        <v>0</v>
      </c>
      <c r="K16" s="533"/>
      <c r="L16" s="533"/>
      <c r="M16" s="533">
        <f>'MIX DESIGN'!G7</f>
        <v>0</v>
      </c>
      <c r="N16" s="533"/>
      <c r="O16" s="533"/>
      <c r="P16" s="533"/>
      <c r="Q16" s="542" t="e">
        <f>'MIX DESIGN'!AA33</f>
        <v>#DIV/0!</v>
      </c>
      <c r="R16" s="571"/>
      <c r="S16" s="608" t="e">
        <f>'MIX DESIGN'!AA34</f>
        <v>#DIV/0!</v>
      </c>
      <c r="T16" s="610"/>
      <c r="U16" s="1009">
        <f>'MIX DESIGN'!Z42</f>
        <v>0</v>
      </c>
      <c r="V16" s="1010"/>
      <c r="W16" s="1011"/>
      <c r="X16" s="1003"/>
      <c r="Y16" s="998"/>
      <c r="Z16" s="998"/>
      <c r="AA16" s="998"/>
      <c r="AB16" s="998"/>
      <c r="AC16" s="998"/>
      <c r="AD16" s="998"/>
      <c r="AE16" s="998"/>
      <c r="AF16" s="998"/>
      <c r="AG16" s="999"/>
    </row>
    <row r="17" spans="1:33" ht="25.5" customHeight="1">
      <c r="A17" s="1005"/>
      <c r="B17" s="1005"/>
      <c r="C17" s="1005"/>
      <c r="D17" s="1005"/>
      <c r="E17" s="1005"/>
      <c r="F17" s="1005"/>
      <c r="G17" s="1004"/>
      <c r="H17" s="1004"/>
      <c r="I17" s="1004"/>
      <c r="J17" s="533"/>
      <c r="K17" s="533"/>
      <c r="L17" s="533"/>
      <c r="M17" s="533"/>
      <c r="N17" s="533"/>
      <c r="O17" s="533"/>
      <c r="P17" s="533"/>
      <c r="Q17" s="542"/>
      <c r="R17" s="571"/>
      <c r="S17" s="608"/>
      <c r="T17" s="610"/>
      <c r="U17" s="1000"/>
      <c r="V17" s="1001"/>
      <c r="W17" s="1002"/>
      <c r="X17" s="997"/>
      <c r="Y17" s="998"/>
      <c r="Z17" s="998"/>
      <c r="AA17" s="998"/>
      <c r="AB17" s="998"/>
      <c r="AC17" s="998"/>
      <c r="AD17" s="998"/>
      <c r="AE17" s="998"/>
      <c r="AF17" s="998"/>
      <c r="AG17" s="999"/>
    </row>
    <row r="18" spans="1:33" ht="25.5" customHeight="1">
      <c r="A18" s="1005"/>
      <c r="B18" s="1005"/>
      <c r="C18" s="1005"/>
      <c r="D18" s="1005"/>
      <c r="E18" s="1005"/>
      <c r="F18" s="1005"/>
      <c r="G18" s="1004"/>
      <c r="H18" s="1004"/>
      <c r="I18" s="1004"/>
      <c r="J18" s="533"/>
      <c r="K18" s="533"/>
      <c r="L18" s="533"/>
      <c r="M18" s="533"/>
      <c r="N18" s="533"/>
      <c r="O18" s="533"/>
      <c r="P18" s="533"/>
      <c r="Q18" s="542"/>
      <c r="R18" s="571"/>
      <c r="S18" s="608"/>
      <c r="T18" s="610"/>
      <c r="U18" s="1000"/>
      <c r="V18" s="1001"/>
      <c r="W18" s="1002"/>
      <c r="X18" s="997"/>
      <c r="Y18" s="998"/>
      <c r="Z18" s="998"/>
      <c r="AA18" s="998"/>
      <c r="AB18" s="998"/>
      <c r="AC18" s="998"/>
      <c r="AD18" s="998"/>
      <c r="AE18" s="998"/>
      <c r="AF18" s="998"/>
      <c r="AG18" s="999"/>
    </row>
    <row r="19" spans="1:33" ht="25.5" customHeight="1">
      <c r="A19" s="1005"/>
      <c r="B19" s="1005"/>
      <c r="C19" s="1005"/>
      <c r="D19" s="1005"/>
      <c r="E19" s="1005"/>
      <c r="F19" s="1005"/>
      <c r="G19" s="1004"/>
      <c r="H19" s="1004"/>
      <c r="I19" s="1004"/>
      <c r="J19" s="533"/>
      <c r="K19" s="533"/>
      <c r="L19" s="533"/>
      <c r="M19" s="533"/>
      <c r="N19" s="533"/>
      <c r="O19" s="533"/>
      <c r="P19" s="533"/>
      <c r="Q19" s="542"/>
      <c r="R19" s="571"/>
      <c r="S19" s="608"/>
      <c r="T19" s="610"/>
      <c r="U19" s="1000"/>
      <c r="V19" s="1001"/>
      <c r="W19" s="1002"/>
      <c r="X19" s="997"/>
      <c r="Y19" s="998"/>
      <c r="Z19" s="998"/>
      <c r="AA19" s="998"/>
      <c r="AB19" s="998"/>
      <c r="AC19" s="998"/>
      <c r="AD19" s="998"/>
      <c r="AE19" s="998"/>
      <c r="AF19" s="998"/>
      <c r="AG19" s="999"/>
    </row>
    <row r="20" spans="1:33" ht="25.5" customHeight="1">
      <c r="A20" s="1005"/>
      <c r="B20" s="1005"/>
      <c r="C20" s="1005"/>
      <c r="D20" s="1005"/>
      <c r="E20" s="1005"/>
      <c r="F20" s="1005"/>
      <c r="G20" s="1004"/>
      <c r="H20" s="1004"/>
      <c r="I20" s="1004"/>
      <c r="J20" s="533"/>
      <c r="K20" s="533"/>
      <c r="L20" s="533"/>
      <c r="M20" s="533"/>
      <c r="N20" s="533"/>
      <c r="O20" s="533"/>
      <c r="P20" s="533"/>
      <c r="Q20" s="542"/>
      <c r="R20" s="571"/>
      <c r="S20" s="608"/>
      <c r="T20" s="610"/>
      <c r="U20" s="1000"/>
      <c r="V20" s="1001"/>
      <c r="W20" s="1002"/>
      <c r="X20" s="997"/>
      <c r="Y20" s="998"/>
      <c r="Z20" s="998"/>
      <c r="AA20" s="998"/>
      <c r="AB20" s="998"/>
      <c r="AC20" s="998"/>
      <c r="AD20" s="998"/>
      <c r="AE20" s="998"/>
      <c r="AF20" s="998"/>
      <c r="AG20" s="999"/>
    </row>
    <row r="21" spans="1:33" ht="25.5" customHeight="1">
      <c r="A21" s="1005"/>
      <c r="B21" s="1005"/>
      <c r="C21" s="1005"/>
      <c r="D21" s="1005"/>
      <c r="E21" s="1005"/>
      <c r="F21" s="1005"/>
      <c r="G21" s="1004"/>
      <c r="H21" s="1004"/>
      <c r="I21" s="1004"/>
      <c r="J21" s="533"/>
      <c r="K21" s="533"/>
      <c r="L21" s="533"/>
      <c r="M21" s="533"/>
      <c r="N21" s="533"/>
      <c r="O21" s="533"/>
      <c r="P21" s="533"/>
      <c r="Q21" s="994"/>
      <c r="R21" s="994"/>
      <c r="S21" s="1012"/>
      <c r="T21" s="1012"/>
      <c r="U21" s="1004"/>
      <c r="V21" s="1004"/>
      <c r="W21" s="1004"/>
      <c r="X21" s="1005"/>
      <c r="Y21" s="1005"/>
      <c r="Z21" s="1005"/>
      <c r="AA21" s="1005"/>
      <c r="AB21" s="1005"/>
      <c r="AC21" s="1005"/>
      <c r="AD21" s="1005"/>
      <c r="AE21" s="1005"/>
      <c r="AF21" s="1005"/>
      <c r="AG21" s="1005"/>
    </row>
    <row r="22" spans="1:33" ht="25.5" customHeight="1">
      <c r="A22" s="1005"/>
      <c r="B22" s="1005"/>
      <c r="C22" s="1005"/>
      <c r="D22" s="1005"/>
      <c r="E22" s="1005"/>
      <c r="F22" s="1005"/>
      <c r="G22" s="1004"/>
      <c r="H22" s="1004"/>
      <c r="I22" s="1004"/>
      <c r="J22" s="533"/>
      <c r="K22" s="533"/>
      <c r="L22" s="533"/>
      <c r="M22" s="533"/>
      <c r="N22" s="533"/>
      <c r="O22" s="533"/>
      <c r="P22" s="533"/>
      <c r="Q22" s="994"/>
      <c r="R22" s="994"/>
      <c r="S22" s="1012"/>
      <c r="T22" s="1012"/>
      <c r="U22" s="1004"/>
      <c r="V22" s="1004"/>
      <c r="W22" s="1004"/>
      <c r="X22" s="1005"/>
      <c r="Y22" s="1005"/>
      <c r="Z22" s="1005"/>
      <c r="AA22" s="1005"/>
      <c r="AB22" s="1005"/>
      <c r="AC22" s="1005"/>
      <c r="AD22" s="1005"/>
      <c r="AE22" s="1005"/>
      <c r="AF22" s="1005"/>
      <c r="AG22" s="1005"/>
    </row>
    <row r="23" spans="1:33" ht="25.5" customHeight="1">
      <c r="A23" s="1005"/>
      <c r="B23" s="1005"/>
      <c r="C23" s="1005"/>
      <c r="D23" s="1005"/>
      <c r="E23" s="1005"/>
      <c r="F23" s="1005"/>
      <c r="G23" s="1004"/>
      <c r="H23" s="1004"/>
      <c r="I23" s="1004"/>
      <c r="J23" s="533"/>
      <c r="K23" s="533"/>
      <c r="L23" s="533"/>
      <c r="M23" s="533"/>
      <c r="N23" s="533"/>
      <c r="O23" s="533"/>
      <c r="P23" s="533"/>
      <c r="Q23" s="994"/>
      <c r="R23" s="994"/>
      <c r="S23" s="1012"/>
      <c r="T23" s="1012"/>
      <c r="U23" s="1004"/>
      <c r="V23" s="1004"/>
      <c r="W23" s="1004"/>
      <c r="X23" s="1005"/>
      <c r="Y23" s="1005"/>
      <c r="Z23" s="1005"/>
      <c r="AA23" s="1005"/>
      <c r="AB23" s="1005"/>
      <c r="AC23" s="1005"/>
      <c r="AD23" s="1005"/>
      <c r="AE23" s="1005"/>
      <c r="AF23" s="1005"/>
      <c r="AG23" s="1005"/>
    </row>
    <row r="24" spans="1:33" ht="25.5" customHeight="1">
      <c r="A24" s="1005"/>
      <c r="B24" s="1005"/>
      <c r="C24" s="1005"/>
      <c r="D24" s="1005"/>
      <c r="E24" s="1005"/>
      <c r="F24" s="1005"/>
      <c r="G24" s="1004"/>
      <c r="H24" s="1004"/>
      <c r="I24" s="1004"/>
      <c r="J24" s="533"/>
      <c r="K24" s="533"/>
      <c r="L24" s="533"/>
      <c r="M24" s="533"/>
      <c r="N24" s="533"/>
      <c r="O24" s="533"/>
      <c r="P24" s="533"/>
      <c r="Q24" s="994"/>
      <c r="R24" s="994"/>
      <c r="S24" s="1012"/>
      <c r="T24" s="1012"/>
      <c r="U24" s="1004"/>
      <c r="V24" s="1004"/>
      <c r="W24" s="1004"/>
      <c r="X24" s="1005"/>
      <c r="Y24" s="1005"/>
      <c r="Z24" s="1005"/>
      <c r="AA24" s="1005"/>
      <c r="AB24" s="1005"/>
      <c r="AC24" s="1005"/>
      <c r="AD24" s="1005"/>
      <c r="AE24" s="1005"/>
      <c r="AF24" s="1005"/>
      <c r="AG24" s="1005"/>
    </row>
    <row r="25" spans="1:33" ht="25.5" customHeight="1">
      <c r="A25" s="1005"/>
      <c r="B25" s="1005"/>
      <c r="C25" s="1005"/>
      <c r="D25" s="1005"/>
      <c r="E25" s="1005"/>
      <c r="F25" s="1005"/>
      <c r="G25" s="1004"/>
      <c r="H25" s="1004"/>
      <c r="I25" s="1004"/>
      <c r="J25" s="533"/>
      <c r="K25" s="533"/>
      <c r="L25" s="533"/>
      <c r="M25" s="533"/>
      <c r="N25" s="533"/>
      <c r="O25" s="533"/>
      <c r="P25" s="533"/>
      <c r="Q25" s="994"/>
      <c r="R25" s="994"/>
      <c r="S25" s="1012"/>
      <c r="T25" s="1012"/>
      <c r="U25" s="1004"/>
      <c r="V25" s="1004"/>
      <c r="W25" s="1004"/>
      <c r="X25" s="1005"/>
      <c r="Y25" s="1005"/>
      <c r="Z25" s="1005"/>
      <c r="AA25" s="1005"/>
      <c r="AB25" s="1005"/>
      <c r="AC25" s="1005"/>
      <c r="AD25" s="1005"/>
      <c r="AE25" s="1005"/>
      <c r="AF25" s="1005"/>
      <c r="AG25" s="1005"/>
    </row>
  </sheetData>
  <sheetProtection selectLockedCells="1" selectUnlockedCells="1"/>
  <mergeCells count="100">
    <mergeCell ref="Q25:R25"/>
    <mergeCell ref="X25:AG25"/>
    <mergeCell ref="A20:F20"/>
    <mergeCell ref="G20:I20"/>
    <mergeCell ref="J20:L20"/>
    <mergeCell ref="M20:P20"/>
    <mergeCell ref="U22:W22"/>
    <mergeCell ref="U23:W23"/>
    <mergeCell ref="U24:W24"/>
    <mergeCell ref="U25:W25"/>
    <mergeCell ref="S25:T25"/>
    <mergeCell ref="X22:AG22"/>
    <mergeCell ref="X23:AG23"/>
    <mergeCell ref="X20:AG20"/>
    <mergeCell ref="X21:AG21"/>
    <mergeCell ref="X24:AG24"/>
    <mergeCell ref="G25:I25"/>
    <mergeCell ref="A25:F25"/>
    <mergeCell ref="J25:L25"/>
    <mergeCell ref="M22:P22"/>
    <mergeCell ref="M23:P23"/>
    <mergeCell ref="J24:L24"/>
    <mergeCell ref="G23:I23"/>
    <mergeCell ref="G24:I24"/>
    <mergeCell ref="M24:P24"/>
    <mergeCell ref="M25:P25"/>
    <mergeCell ref="A24:F24"/>
    <mergeCell ref="A18:F18"/>
    <mergeCell ref="G18:I18"/>
    <mergeCell ref="J18:L18"/>
    <mergeCell ref="S24:T24"/>
    <mergeCell ref="U21:W21"/>
    <mergeCell ref="S20:T20"/>
    <mergeCell ref="Q24:R24"/>
    <mergeCell ref="S23:T23"/>
    <mergeCell ref="A19:F19"/>
    <mergeCell ref="G19:I19"/>
    <mergeCell ref="J19:L19"/>
    <mergeCell ref="M19:P19"/>
    <mergeCell ref="Q23:R23"/>
    <mergeCell ref="A21:F21"/>
    <mergeCell ref="A22:F22"/>
    <mergeCell ref="A23:F23"/>
    <mergeCell ref="G21:I21"/>
    <mergeCell ref="G22:I22"/>
    <mergeCell ref="X19:AG19"/>
    <mergeCell ref="U19:W19"/>
    <mergeCell ref="U20:W20"/>
    <mergeCell ref="J22:L22"/>
    <mergeCell ref="S19:T19"/>
    <mergeCell ref="S22:T22"/>
    <mergeCell ref="U16:W16"/>
    <mergeCell ref="Q18:R18"/>
    <mergeCell ref="M18:P18"/>
    <mergeCell ref="J23:L23"/>
    <mergeCell ref="S21:T21"/>
    <mergeCell ref="S18:T18"/>
    <mergeCell ref="M21:P21"/>
    <mergeCell ref="Q19:R19"/>
    <mergeCell ref="Q20:R20"/>
    <mergeCell ref="J21:L21"/>
    <mergeCell ref="Q16:R16"/>
    <mergeCell ref="A14:F14"/>
    <mergeCell ref="J14:L14"/>
    <mergeCell ref="G14:I14"/>
    <mergeCell ref="S14:T14"/>
    <mergeCell ref="S15:T15"/>
    <mergeCell ref="G15:I15"/>
    <mergeCell ref="Q15:R15"/>
    <mergeCell ref="J15:L15"/>
    <mergeCell ref="A1:AG1"/>
    <mergeCell ref="G7:I7"/>
    <mergeCell ref="G8:I8"/>
    <mergeCell ref="H3:P3"/>
    <mergeCell ref="G4:N4"/>
    <mergeCell ref="F5:M5"/>
    <mergeCell ref="G16:I16"/>
    <mergeCell ref="J16:L16"/>
    <mergeCell ref="M16:P16"/>
    <mergeCell ref="A17:F17"/>
    <mergeCell ref="G17:I17"/>
    <mergeCell ref="J17:L17"/>
    <mergeCell ref="A16:F16"/>
    <mergeCell ref="M17:P17"/>
    <mergeCell ref="X14:AG14"/>
    <mergeCell ref="M14:P14"/>
    <mergeCell ref="M15:P15"/>
    <mergeCell ref="Q21:R21"/>
    <mergeCell ref="Q22:R22"/>
    <mergeCell ref="Q17:R17"/>
    <mergeCell ref="S17:T17"/>
    <mergeCell ref="U14:W14"/>
    <mergeCell ref="U15:W15"/>
    <mergeCell ref="Q14:R14"/>
    <mergeCell ref="S16:T16"/>
    <mergeCell ref="X17:AG17"/>
    <mergeCell ref="X18:AG18"/>
    <mergeCell ref="U17:W17"/>
    <mergeCell ref="U18:W18"/>
    <mergeCell ref="X16:AG16"/>
  </mergeCells>
  <phoneticPr fontId="3" type="noConversion"/>
  <pageMargins left="0.75" right="0.75" top="1" bottom="1" header="0.5" footer="0.5"/>
  <pageSetup scale="9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22ED1-9FD0-4EDF-8015-99F196A7C266}">
  <dimension ref="A1"/>
  <sheetViews>
    <sheetView workbookViewId="0">
      <selection activeCell="F14" sqref="F14"/>
    </sheetView>
  </sheetViews>
  <sheetFormatPr defaultRowHeight="13.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303"/>
  <sheetViews>
    <sheetView topLeftCell="A7" zoomScaleNormal="100" zoomScaleSheetLayoutView="100" workbookViewId="0">
      <selection activeCell="K23" sqref="K23:K24"/>
    </sheetView>
  </sheetViews>
  <sheetFormatPr defaultColWidth="9.140625" defaultRowHeight="14.45"/>
  <cols>
    <col min="1" max="1" width="2.5703125" style="173" customWidth="1"/>
    <col min="2" max="3" width="3.42578125" style="173" customWidth="1"/>
    <col min="4" max="4" width="6" style="173" customWidth="1"/>
    <col min="5" max="5" width="17.42578125" style="173" customWidth="1"/>
    <col min="6" max="6" width="28.85546875" style="173" customWidth="1"/>
    <col min="7" max="7" width="6" style="173" customWidth="1"/>
    <col min="8" max="8" width="7.85546875" style="173" customWidth="1"/>
    <col min="9" max="9" width="6.140625" style="173" customWidth="1"/>
    <col min="10" max="10" width="5.42578125" style="173" customWidth="1"/>
    <col min="11" max="11" width="11.85546875" style="173" customWidth="1"/>
    <col min="12" max="12" width="14" style="173" customWidth="1"/>
    <col min="13" max="13" width="12.140625" style="173" customWidth="1"/>
    <col min="14" max="51" width="9.140625" style="222"/>
    <col min="52" max="16384" width="9.140625" style="173"/>
  </cols>
  <sheetData>
    <row r="1" spans="1:14" ht="24.75" customHeight="1">
      <c r="A1" s="358" t="s">
        <v>0</v>
      </c>
      <c r="B1" s="358"/>
      <c r="C1" s="358"/>
      <c r="D1" s="358"/>
      <c r="E1" s="358"/>
      <c r="F1" s="358"/>
      <c r="G1" s="358"/>
      <c r="H1" s="358"/>
      <c r="I1" s="358"/>
      <c r="J1" s="358"/>
      <c r="K1" s="358"/>
      <c r="L1" s="358"/>
      <c r="M1" s="358"/>
    </row>
    <row r="2" spans="1:14" ht="21.75" customHeight="1">
      <c r="A2" s="310" t="s">
        <v>6</v>
      </c>
      <c r="B2" s="310"/>
      <c r="C2" s="310"/>
      <c r="D2" s="310"/>
      <c r="E2" s="310"/>
      <c r="F2" s="313">
        <f>'Agg moisture (page 1)'!D9</f>
        <v>0</v>
      </c>
      <c r="G2" s="310"/>
      <c r="H2" s="310" t="s">
        <v>2</v>
      </c>
      <c r="I2" s="310"/>
      <c r="J2" s="310"/>
      <c r="K2" s="310"/>
      <c r="L2" s="359">
        <f>'Agg moisture (page 1)'!D5</f>
        <v>0</v>
      </c>
      <c r="M2" s="359"/>
    </row>
    <row r="3" spans="1:14" ht="21" customHeight="1">
      <c r="A3" s="310" t="s">
        <v>7</v>
      </c>
      <c r="B3" s="310"/>
      <c r="C3" s="310"/>
      <c r="D3" s="310"/>
      <c r="E3" s="310"/>
      <c r="F3" s="313">
        <f>'Agg moisture (page 1)'!D10</f>
        <v>0</v>
      </c>
      <c r="G3" s="310"/>
      <c r="H3" s="310" t="s">
        <v>3</v>
      </c>
      <c r="I3" s="310"/>
      <c r="J3" s="310"/>
      <c r="K3" s="310"/>
      <c r="L3" s="360">
        <f>'Agg moisture (page 1)'!D6</f>
        <v>0</v>
      </c>
      <c r="M3" s="360"/>
    </row>
    <row r="4" spans="1:14" ht="10.5" customHeight="1">
      <c r="A4" s="310"/>
      <c r="B4" s="310"/>
      <c r="C4" s="310"/>
      <c r="D4" s="310"/>
      <c r="E4" s="310"/>
      <c r="F4" s="310"/>
      <c r="G4" s="310"/>
      <c r="H4" s="310"/>
      <c r="I4" s="310"/>
      <c r="J4" s="310"/>
      <c r="K4" s="310"/>
      <c r="L4" s="310"/>
      <c r="M4" s="310"/>
    </row>
    <row r="5" spans="1:14" ht="21">
      <c r="A5" s="223" t="s">
        <v>45</v>
      </c>
      <c r="B5" s="224" t="s">
        <v>46</v>
      </c>
      <c r="C5" s="224"/>
      <c r="D5" s="224"/>
      <c r="E5" s="224"/>
      <c r="F5" s="310"/>
      <c r="G5" s="310"/>
      <c r="H5" s="310"/>
      <c r="I5" s="310"/>
      <c r="J5" s="310"/>
      <c r="K5" s="310"/>
      <c r="L5" s="310"/>
      <c r="M5" s="310"/>
    </row>
    <row r="6" spans="1:14" ht="6.75" customHeight="1">
      <c r="A6" s="310"/>
      <c r="B6" s="310"/>
      <c r="C6" s="310"/>
      <c r="D6" s="310"/>
      <c r="E6" s="310"/>
      <c r="F6" s="310"/>
      <c r="G6" s="310"/>
      <c r="H6" s="310"/>
      <c r="I6" s="310"/>
      <c r="J6" s="310"/>
      <c r="K6" s="310"/>
      <c r="L6" s="310"/>
      <c r="M6" s="310"/>
    </row>
    <row r="7" spans="1:14" ht="69" customHeight="1" thickBot="1">
      <c r="A7" s="310"/>
      <c r="B7" s="347" t="s">
        <v>47</v>
      </c>
      <c r="C7" s="347"/>
      <c r="D7" s="347"/>
      <c r="E7" s="347"/>
      <c r="F7" s="347"/>
      <c r="G7" s="347"/>
      <c r="H7" s="347"/>
      <c r="I7" s="347"/>
      <c r="J7" s="347"/>
      <c r="K7" s="347"/>
      <c r="L7" s="347"/>
      <c r="M7" s="347"/>
    </row>
    <row r="8" spans="1:14" ht="18.600000000000001" thickBot="1">
      <c r="A8" s="310"/>
      <c r="B8" s="361"/>
      <c r="C8" s="362"/>
      <c r="D8" s="362"/>
      <c r="E8" s="362"/>
      <c r="F8" s="363"/>
      <c r="G8" s="364" t="s">
        <v>48</v>
      </c>
      <c r="H8" s="365"/>
      <c r="I8" s="366" t="s">
        <v>49</v>
      </c>
      <c r="J8" s="365"/>
      <c r="K8" s="321" t="s">
        <v>50</v>
      </c>
      <c r="L8" s="225" t="s">
        <v>51</v>
      </c>
      <c r="M8" s="308"/>
      <c r="N8" s="226"/>
    </row>
    <row r="9" spans="1:14" ht="27" customHeight="1">
      <c r="A9" s="310"/>
      <c r="B9" s="367" t="s">
        <v>52</v>
      </c>
      <c r="C9" s="368"/>
      <c r="D9" s="368"/>
      <c r="E9" s="368"/>
      <c r="F9" s="368"/>
      <c r="G9" s="369"/>
      <c r="H9" s="370"/>
      <c r="I9" s="371"/>
      <c r="J9" s="370"/>
      <c r="K9" s="320"/>
      <c r="L9" s="227"/>
      <c r="M9" s="228"/>
      <c r="N9" s="226"/>
    </row>
    <row r="10" spans="1:14" ht="27" customHeight="1" thickBot="1">
      <c r="A10" s="310"/>
      <c r="B10" s="372" t="s">
        <v>53</v>
      </c>
      <c r="C10" s="373"/>
      <c r="D10" s="373"/>
      <c r="E10" s="373"/>
      <c r="F10" s="373"/>
      <c r="G10" s="374"/>
      <c r="H10" s="375"/>
      <c r="I10" s="376"/>
      <c r="J10" s="375"/>
      <c r="K10" s="320"/>
      <c r="L10" s="229"/>
      <c r="M10" s="228"/>
      <c r="N10" s="226"/>
    </row>
    <row r="11" spans="1:14" ht="27" customHeight="1" thickBot="1">
      <c r="A11" s="310"/>
      <c r="B11" s="377" t="s">
        <v>54</v>
      </c>
      <c r="C11" s="378"/>
      <c r="D11" s="378"/>
      <c r="E11" s="378"/>
      <c r="F11" s="378"/>
      <c r="G11" s="379">
        <f>G9-G10</f>
        <v>0</v>
      </c>
      <c r="H11" s="380"/>
      <c r="I11" s="379">
        <f>I9-I10</f>
        <v>0</v>
      </c>
      <c r="J11" s="380"/>
      <c r="K11" s="230">
        <f>K9-K10</f>
        <v>0</v>
      </c>
      <c r="L11" s="231">
        <f>(G11+I11+K11)</f>
        <v>0</v>
      </c>
      <c r="M11" s="232" t="s">
        <v>55</v>
      </c>
      <c r="N11" s="226"/>
    </row>
    <row r="12" spans="1:14" ht="27" customHeight="1" thickBot="1">
      <c r="A12" s="310"/>
      <c r="B12" s="381" t="s">
        <v>56</v>
      </c>
      <c r="C12" s="382"/>
      <c r="D12" s="382"/>
      <c r="E12" s="382"/>
      <c r="F12" s="383"/>
      <c r="G12" s="384"/>
      <c r="H12" s="385"/>
      <c r="I12" s="386"/>
      <c r="J12" s="385"/>
      <c r="K12" s="318"/>
      <c r="L12" s="231">
        <f>(G12+I12+K12)</f>
        <v>0</v>
      </c>
      <c r="M12" s="232" t="s">
        <v>57</v>
      </c>
      <c r="N12" s="226"/>
    </row>
    <row r="13" spans="1:14" ht="27" customHeight="1" thickBot="1">
      <c r="A13" s="310"/>
      <c r="B13" s="381" t="s">
        <v>58</v>
      </c>
      <c r="C13" s="382"/>
      <c r="D13" s="382"/>
      <c r="E13" s="382"/>
      <c r="F13" s="383"/>
      <c r="G13" s="384"/>
      <c r="H13" s="385"/>
      <c r="I13" s="386"/>
      <c r="J13" s="385"/>
      <c r="K13" s="233"/>
      <c r="L13" s="231">
        <f>(G13+I13+K13)</f>
        <v>0</v>
      </c>
      <c r="M13" s="232" t="s">
        <v>59</v>
      </c>
      <c r="N13" s="226"/>
    </row>
    <row r="14" spans="1:14" ht="11.25" customHeight="1">
      <c r="A14" s="310"/>
      <c r="B14" s="310"/>
      <c r="C14" s="310"/>
      <c r="D14" s="310"/>
      <c r="E14" s="310"/>
      <c r="F14" s="183"/>
      <c r="G14" s="183"/>
      <c r="H14" s="228"/>
      <c r="I14" s="228"/>
      <c r="J14" s="228"/>
      <c r="K14" s="228"/>
      <c r="L14" s="228"/>
      <c r="M14" s="228"/>
      <c r="N14" s="226"/>
    </row>
    <row r="15" spans="1:14" ht="18">
      <c r="A15" s="310"/>
      <c r="B15" s="387" t="s">
        <v>60</v>
      </c>
      <c r="C15" s="387"/>
      <c r="D15" s="387"/>
      <c r="E15" s="387"/>
      <c r="F15" s="387"/>
      <c r="G15" s="387"/>
      <c r="H15" s="387"/>
      <c r="I15" s="387"/>
      <c r="J15" s="387"/>
      <c r="K15" s="387"/>
      <c r="L15" s="387"/>
      <c r="M15" s="387"/>
      <c r="N15" s="226"/>
    </row>
    <row r="16" spans="1:14" ht="9" customHeight="1">
      <c r="A16" s="310"/>
      <c r="B16" s="310"/>
      <c r="C16" s="310"/>
      <c r="D16" s="310"/>
      <c r="E16" s="310"/>
      <c r="F16" s="183"/>
      <c r="G16" s="183"/>
      <c r="H16" s="310"/>
      <c r="I16" s="310"/>
      <c r="J16" s="310"/>
      <c r="K16" s="310"/>
      <c r="L16" s="310"/>
      <c r="M16" s="310"/>
    </row>
    <row r="17" spans="2:13" ht="15" customHeight="1">
      <c r="B17" s="310"/>
      <c r="C17" s="310"/>
      <c r="D17" s="310"/>
      <c r="E17" s="310"/>
      <c r="F17" s="234" t="s">
        <v>61</v>
      </c>
      <c r="G17" s="388" t="s">
        <v>62</v>
      </c>
      <c r="H17" s="390">
        <f>L11</f>
        <v>0</v>
      </c>
      <c r="I17" s="1013"/>
      <c r="J17" s="388" t="s">
        <v>62</v>
      </c>
      <c r="K17" s="391">
        <f>IFERROR(H17/H18,0)</f>
        <v>0</v>
      </c>
      <c r="L17" s="393" t="s">
        <v>63</v>
      </c>
      <c r="M17" s="355"/>
    </row>
    <row r="18" spans="2:13" ht="15" customHeight="1">
      <c r="B18" s="310"/>
      <c r="C18" s="310"/>
      <c r="D18" s="310"/>
      <c r="E18" s="310"/>
      <c r="F18" s="328" t="s">
        <v>64</v>
      </c>
      <c r="G18" s="389"/>
      <c r="H18" s="394">
        <f>L12</f>
        <v>0</v>
      </c>
      <c r="I18" s="1014"/>
      <c r="J18" s="389"/>
      <c r="K18" s="392"/>
      <c r="L18" s="393"/>
      <c r="M18" s="355"/>
    </row>
    <row r="19" spans="2:13" ht="10.5" customHeight="1">
      <c r="B19" s="310"/>
      <c r="C19" s="310"/>
      <c r="D19" s="310"/>
      <c r="E19" s="310"/>
      <c r="F19" s="310"/>
      <c r="G19" s="310"/>
      <c r="H19" s="310"/>
      <c r="I19" s="310"/>
      <c r="J19" s="310"/>
      <c r="K19" s="310"/>
      <c r="L19" s="310"/>
      <c r="M19" s="310"/>
    </row>
    <row r="20" spans="2:13" ht="15.75" customHeight="1">
      <c r="B20" s="310"/>
      <c r="C20" s="310"/>
      <c r="D20" s="310"/>
      <c r="E20" s="310"/>
      <c r="F20" s="313" t="s">
        <v>65</v>
      </c>
      <c r="G20" s="388" t="s">
        <v>62</v>
      </c>
      <c r="H20" s="396">
        <v>94</v>
      </c>
      <c r="I20" s="396"/>
      <c r="J20" s="388" t="s">
        <v>62</v>
      </c>
      <c r="K20" s="397">
        <f>IFERROR(H20/H21,0)</f>
        <v>0</v>
      </c>
      <c r="L20" s="399" t="s">
        <v>66</v>
      </c>
      <c r="M20" s="400"/>
    </row>
    <row r="21" spans="2:13">
      <c r="B21" s="310"/>
      <c r="C21" s="310"/>
      <c r="D21" s="310"/>
      <c r="E21" s="310"/>
      <c r="F21" s="329" t="s">
        <v>67</v>
      </c>
      <c r="G21" s="389"/>
      <c r="H21" s="402">
        <f>K17</f>
        <v>0</v>
      </c>
      <c r="I21" s="402"/>
      <c r="J21" s="389"/>
      <c r="K21" s="398"/>
      <c r="L21" s="401"/>
      <c r="M21" s="400"/>
    </row>
    <row r="22" spans="2:13" ht="10.5" customHeight="1" thickBot="1">
      <c r="B22" s="310"/>
      <c r="C22" s="310"/>
      <c r="D22" s="310"/>
      <c r="E22" s="310"/>
      <c r="F22" s="310"/>
      <c r="G22" s="310"/>
      <c r="H22" s="310"/>
      <c r="I22" s="310"/>
      <c r="J22" s="310"/>
      <c r="K22" s="310"/>
      <c r="L22" s="310"/>
      <c r="M22" s="310"/>
    </row>
    <row r="23" spans="2:13" ht="15" customHeight="1">
      <c r="B23" s="310"/>
      <c r="C23" s="310"/>
      <c r="D23" s="310"/>
      <c r="E23" s="310"/>
      <c r="F23" s="235" t="s">
        <v>68</v>
      </c>
      <c r="G23" s="388" t="s">
        <v>62</v>
      </c>
      <c r="H23" s="236">
        <f>K20</f>
        <v>0</v>
      </c>
      <c r="I23" s="237" t="str">
        <f>"x   "&amp;'Agg moisture (page 1)'!H16</f>
        <v>x   0</v>
      </c>
      <c r="J23" s="388" t="s">
        <v>62</v>
      </c>
      <c r="K23" s="403">
        <f>(H23*'Agg moisture (page 1)'!H16)/4</f>
        <v>0</v>
      </c>
      <c r="L23" s="405" t="s">
        <v>69</v>
      </c>
      <c r="M23" s="406"/>
    </row>
    <row r="24" spans="2:13" ht="15" customHeight="1" thickBot="1">
      <c r="B24" s="310"/>
      <c r="C24" s="310"/>
      <c r="D24" s="310"/>
      <c r="E24" s="310"/>
      <c r="F24" s="325">
        <v>4</v>
      </c>
      <c r="G24" s="389"/>
      <c r="H24" s="407">
        <v>4</v>
      </c>
      <c r="I24" s="407"/>
      <c r="J24" s="389"/>
      <c r="K24" s="404"/>
      <c r="L24" s="406"/>
      <c r="M24" s="406"/>
    </row>
    <row r="25" spans="2:13" ht="18" customHeight="1">
      <c r="B25" s="310"/>
      <c r="C25" s="310"/>
      <c r="D25" s="310"/>
      <c r="E25" s="310"/>
      <c r="F25" s="395" t="s">
        <v>70</v>
      </c>
      <c r="G25" s="395"/>
      <c r="H25" s="395"/>
      <c r="I25" s="395"/>
      <c r="J25" s="395"/>
      <c r="K25" s="395"/>
      <c r="L25" s="395"/>
      <c r="M25" s="395"/>
    </row>
    <row r="26" spans="2:13" ht="20.25" customHeight="1">
      <c r="B26" s="310"/>
      <c r="C26" s="310"/>
      <c r="D26" s="310"/>
      <c r="E26" s="310"/>
      <c r="F26" s="408" t="s">
        <v>71</v>
      </c>
      <c r="G26" s="408"/>
      <c r="H26" s="408"/>
      <c r="I26" s="408"/>
      <c r="J26" s="408"/>
      <c r="K26" s="408"/>
      <c r="L26" s="408"/>
      <c r="M26" s="408"/>
    </row>
    <row r="27" spans="2:13" ht="20.25" customHeight="1">
      <c r="B27" s="238" t="s">
        <v>72</v>
      </c>
      <c r="C27" s="238"/>
      <c r="D27" s="238"/>
      <c r="E27" s="238"/>
      <c r="F27" s="238"/>
      <c r="G27" s="238"/>
      <c r="H27" s="238"/>
      <c r="I27" s="238"/>
      <c r="J27" s="183"/>
      <c r="K27" s="183"/>
      <c r="L27" s="310"/>
      <c r="M27" s="310"/>
    </row>
    <row r="29" spans="2:13" ht="15" customHeight="1">
      <c r="B29" s="310"/>
      <c r="C29" s="310"/>
      <c r="D29" s="310"/>
      <c r="E29" s="310"/>
      <c r="F29" s="234" t="s">
        <v>61</v>
      </c>
      <c r="G29" s="388" t="s">
        <v>62</v>
      </c>
      <c r="H29" s="390">
        <f>L11</f>
        <v>0</v>
      </c>
      <c r="I29" s="1013"/>
      <c r="J29" s="388" t="s">
        <v>62</v>
      </c>
      <c r="K29" s="391">
        <f>IFERROR(H29/H30,0)</f>
        <v>0</v>
      </c>
      <c r="L29" s="401" t="s">
        <v>73</v>
      </c>
      <c r="M29" s="355"/>
    </row>
    <row r="30" spans="2:13" ht="15.75" customHeight="1">
      <c r="B30" s="310"/>
      <c r="C30" s="310"/>
      <c r="D30" s="310"/>
      <c r="E30" s="310"/>
      <c r="F30" s="328" t="s">
        <v>74</v>
      </c>
      <c r="G30" s="389"/>
      <c r="H30" s="394">
        <f>L13</f>
        <v>0</v>
      </c>
      <c r="I30" s="1014"/>
      <c r="J30" s="389"/>
      <c r="K30" s="392"/>
      <c r="L30" s="393"/>
      <c r="M30" s="355"/>
    </row>
    <row r="31" spans="2:13" ht="10.5" customHeight="1">
      <c r="B31" s="310"/>
      <c r="C31" s="310"/>
      <c r="D31" s="310"/>
      <c r="E31" s="310"/>
      <c r="F31" s="310"/>
      <c r="G31" s="310"/>
      <c r="H31" s="310"/>
      <c r="I31" s="310"/>
      <c r="J31" s="310"/>
      <c r="K31" s="310"/>
      <c r="L31" s="310"/>
      <c r="M31" s="310"/>
    </row>
    <row r="32" spans="2:13">
      <c r="B32" s="310"/>
      <c r="C32" s="310"/>
      <c r="D32" s="310"/>
      <c r="E32" s="310"/>
      <c r="F32" s="313" t="s">
        <v>65</v>
      </c>
      <c r="G32" s="388" t="s">
        <v>62</v>
      </c>
      <c r="H32" s="396">
        <v>94</v>
      </c>
      <c r="I32" s="396"/>
      <c r="J32" s="388" t="s">
        <v>62</v>
      </c>
      <c r="K32" s="397">
        <f>IFERROR(H32/H33,0)</f>
        <v>0</v>
      </c>
      <c r="L32" s="410" t="s">
        <v>75</v>
      </c>
      <c r="M32" s="400"/>
    </row>
    <row r="33" spans="2:13">
      <c r="B33" s="310"/>
      <c r="C33" s="310"/>
      <c r="D33" s="310"/>
      <c r="E33" s="310"/>
      <c r="F33" s="329" t="s">
        <v>76</v>
      </c>
      <c r="G33" s="389"/>
      <c r="H33" s="402">
        <f>K29</f>
        <v>0</v>
      </c>
      <c r="I33" s="411"/>
      <c r="J33" s="389"/>
      <c r="K33" s="409"/>
      <c r="L33" s="400"/>
      <c r="M33" s="400"/>
    </row>
    <row r="35" spans="2:13">
      <c r="B35" s="310"/>
      <c r="C35" s="310"/>
      <c r="D35" s="310"/>
      <c r="E35" s="310"/>
      <c r="F35" s="408" t="s">
        <v>77</v>
      </c>
      <c r="G35" s="408"/>
      <c r="H35" s="408"/>
      <c r="I35" s="408"/>
      <c r="J35" s="408"/>
      <c r="K35" s="408"/>
      <c r="L35" s="408"/>
      <c r="M35" s="408"/>
    </row>
    <row r="36" spans="2:13" ht="8.25" customHeight="1">
      <c r="B36" s="310"/>
      <c r="C36" s="310"/>
      <c r="D36" s="310"/>
      <c r="E36" s="310"/>
      <c r="F36" s="310"/>
      <c r="G36" s="310"/>
      <c r="H36" s="310"/>
      <c r="I36" s="310"/>
      <c r="J36" s="310"/>
      <c r="K36" s="310"/>
      <c r="L36" s="310"/>
      <c r="M36" s="310"/>
    </row>
    <row r="37" spans="2:13" ht="18" customHeight="1">
      <c r="B37" s="1015" t="s">
        <v>78</v>
      </c>
      <c r="C37" s="1015"/>
      <c r="D37" s="1015"/>
      <c r="E37" s="1016"/>
      <c r="F37" s="1016"/>
      <c r="G37" s="1016"/>
      <c r="H37" s="1016"/>
      <c r="I37" s="1016"/>
      <c r="J37" s="1016"/>
      <c r="K37" s="1016"/>
      <c r="L37" s="1016"/>
      <c r="M37" s="310"/>
    </row>
    <row r="38" spans="2:13" ht="22.5" customHeight="1">
      <c r="B38" s="1016"/>
      <c r="C38" s="1016"/>
      <c r="D38" s="1016"/>
      <c r="E38" s="1016"/>
      <c r="F38" s="1016"/>
      <c r="G38" s="1016"/>
      <c r="H38" s="1016"/>
      <c r="I38" s="1016"/>
      <c r="J38" s="1016"/>
      <c r="K38" s="1016"/>
      <c r="L38" s="1016"/>
      <c r="M38" s="310"/>
    </row>
    <row r="39" spans="2:13" ht="10.5" customHeight="1">
      <c r="B39" s="310"/>
      <c r="C39" s="310"/>
      <c r="D39" s="310"/>
      <c r="E39" s="310"/>
      <c r="F39" s="310"/>
      <c r="G39" s="310"/>
      <c r="H39" s="310"/>
      <c r="I39" s="310"/>
      <c r="J39" s="310"/>
      <c r="K39" s="310"/>
      <c r="L39" s="310"/>
      <c r="M39" s="310"/>
    </row>
    <row r="40" spans="2:13" ht="25.5" customHeight="1">
      <c r="B40" s="239" t="s">
        <v>44</v>
      </c>
      <c r="C40" s="310"/>
      <c r="D40" s="310"/>
      <c r="E40" s="310"/>
      <c r="F40" s="310"/>
      <c r="G40" s="310" t="s">
        <v>79</v>
      </c>
      <c r="H40" s="1016"/>
      <c r="I40" s="1016"/>
      <c r="J40" s="1016"/>
      <c r="K40" s="1016"/>
      <c r="L40" s="1016"/>
      <c r="M40" s="310"/>
    </row>
    <row r="43" spans="2:13" s="222" customFormat="1"/>
    <row r="44" spans="2:13" s="222" customFormat="1"/>
    <row r="45" spans="2:13" s="222" customFormat="1"/>
    <row r="46" spans="2:13" s="222" customFormat="1"/>
    <row r="47" spans="2:13" s="222" customFormat="1"/>
    <row r="48" spans="2:13" s="222" customFormat="1"/>
    <row r="49" s="222" customFormat="1"/>
    <row r="50" s="222" customFormat="1"/>
    <row r="51" s="222" customFormat="1"/>
    <row r="52" s="222" customFormat="1"/>
    <row r="53" s="222" customFormat="1"/>
    <row r="54" s="222" customFormat="1"/>
    <row r="55" s="222" customFormat="1"/>
    <row r="56" s="222" customFormat="1"/>
    <row r="57" s="222" customFormat="1"/>
    <row r="58" s="222" customFormat="1"/>
    <row r="59" s="222" customFormat="1"/>
    <row r="60" s="222" customFormat="1"/>
    <row r="61" s="222" customFormat="1"/>
    <row r="62" s="222" customFormat="1"/>
    <row r="63" s="222" customFormat="1"/>
    <row r="64" s="222" customFormat="1"/>
    <row r="65" s="222" customFormat="1"/>
    <row r="66" s="222" customFormat="1"/>
    <row r="67" s="222" customFormat="1"/>
    <row r="68" s="222" customFormat="1"/>
    <row r="69" s="222" customFormat="1"/>
    <row r="70" s="222" customFormat="1"/>
    <row r="71" s="222" customFormat="1"/>
    <row r="72" s="222" customFormat="1"/>
    <row r="73" s="222" customFormat="1"/>
    <row r="74" s="222" customFormat="1"/>
    <row r="75" s="222" customFormat="1"/>
    <row r="76" s="222" customFormat="1"/>
    <row r="77" s="222" customFormat="1"/>
    <row r="78" s="222" customFormat="1"/>
    <row r="79" s="222" customFormat="1"/>
    <row r="80" s="222" customFormat="1"/>
    <row r="81" s="222" customFormat="1"/>
    <row r="82" s="222" customFormat="1"/>
    <row r="83" s="222" customFormat="1"/>
    <row r="84" s="222" customFormat="1"/>
    <row r="85" s="222" customFormat="1"/>
    <row r="86" s="222" customFormat="1"/>
    <row r="87" s="222" customFormat="1"/>
    <row r="88" s="222" customFormat="1"/>
    <row r="89" s="222" customFormat="1"/>
    <row r="90" s="222" customFormat="1"/>
    <row r="91" s="222" customFormat="1"/>
    <row r="92" s="222" customFormat="1"/>
    <row r="93" s="222" customFormat="1"/>
    <row r="94" s="222" customFormat="1"/>
    <row r="95" s="222" customFormat="1"/>
    <row r="96" s="222" customFormat="1"/>
    <row r="97" s="222" customFormat="1"/>
    <row r="98" s="222" customFormat="1"/>
    <row r="99" s="222" customFormat="1"/>
    <row r="100" s="222" customFormat="1"/>
    <row r="101" s="222" customFormat="1"/>
    <row r="102" s="222" customFormat="1"/>
    <row r="103" s="222" customFormat="1"/>
    <row r="104" s="222" customFormat="1"/>
    <row r="105" s="222" customFormat="1"/>
    <row r="106" s="222" customFormat="1"/>
    <row r="107" s="222" customFormat="1"/>
    <row r="108" s="222" customFormat="1"/>
    <row r="109" s="222" customFormat="1"/>
    <row r="110" s="222" customFormat="1"/>
    <row r="111" s="222" customFormat="1"/>
    <row r="112" s="222" customFormat="1"/>
    <row r="113" s="222" customFormat="1"/>
    <row r="114" s="222" customFormat="1"/>
    <row r="115" s="222" customFormat="1"/>
    <row r="116" s="222" customFormat="1"/>
    <row r="117" s="222" customFormat="1"/>
    <row r="118" s="222" customFormat="1"/>
    <row r="119" s="222" customFormat="1"/>
    <row r="120" s="222" customFormat="1"/>
    <row r="121" s="222" customFormat="1"/>
    <row r="122" s="222" customFormat="1"/>
    <row r="123" s="222" customFormat="1"/>
    <row r="124" s="222" customFormat="1"/>
    <row r="125" s="222" customFormat="1"/>
    <row r="126" s="222" customFormat="1"/>
    <row r="127" s="222" customFormat="1"/>
    <row r="128" s="222" customFormat="1"/>
    <row r="129" s="222" customFormat="1"/>
    <row r="130" s="222" customFormat="1"/>
    <row r="131" s="222" customFormat="1"/>
    <row r="132" s="222" customFormat="1"/>
    <row r="133" s="222" customFormat="1"/>
    <row r="134" s="222" customFormat="1"/>
    <row r="135" s="222" customFormat="1"/>
    <row r="136" s="222" customFormat="1"/>
    <row r="137" s="222" customFormat="1"/>
    <row r="138" s="222" customFormat="1"/>
    <row r="139" s="222" customFormat="1"/>
    <row r="140" s="222" customFormat="1"/>
    <row r="141" s="222" customFormat="1"/>
    <row r="142" s="222" customFormat="1"/>
    <row r="143" s="222" customFormat="1"/>
    <row r="144" s="222" customFormat="1"/>
    <row r="145" s="222" customFormat="1"/>
    <row r="146" s="222" customFormat="1"/>
    <row r="147" s="222" customFormat="1"/>
    <row r="148" s="222" customFormat="1"/>
    <row r="149" s="222" customFormat="1"/>
    <row r="150" s="222" customFormat="1"/>
    <row r="151" s="222" customFormat="1"/>
    <row r="152" s="222" customFormat="1"/>
    <row r="153" s="222" customFormat="1"/>
    <row r="154" s="222" customFormat="1"/>
    <row r="155" s="222" customFormat="1"/>
    <row r="156" s="222" customFormat="1"/>
    <row r="157" s="222" customFormat="1"/>
    <row r="158" s="222" customFormat="1"/>
    <row r="159" s="222" customFormat="1"/>
    <row r="160" s="222" customFormat="1"/>
    <row r="161" s="222" customFormat="1"/>
    <row r="162" s="222" customFormat="1"/>
    <row r="163" s="222" customFormat="1"/>
    <row r="164" s="222" customFormat="1"/>
    <row r="165" s="222" customFormat="1"/>
    <row r="166" s="222" customFormat="1"/>
    <row r="167" s="222" customFormat="1"/>
    <row r="168" s="222" customFormat="1"/>
    <row r="169" s="222" customFormat="1"/>
    <row r="170" s="222" customFormat="1"/>
    <row r="171" s="222" customFormat="1"/>
    <row r="172" s="222" customFormat="1"/>
    <row r="173" s="222" customFormat="1"/>
    <row r="174" s="222" customFormat="1"/>
    <row r="175" s="222" customFormat="1"/>
    <row r="176" s="222" customFormat="1"/>
    <row r="177" s="222" customFormat="1"/>
    <row r="178" s="222" customFormat="1"/>
    <row r="179" s="222" customFormat="1"/>
    <row r="180" s="222" customFormat="1"/>
    <row r="181" s="222" customFormat="1"/>
    <row r="182" s="222" customFormat="1"/>
    <row r="183" s="222" customFormat="1"/>
    <row r="184" s="222" customFormat="1"/>
    <row r="185" s="222" customFormat="1"/>
    <row r="186" s="222" customFormat="1"/>
    <row r="187" s="222" customFormat="1"/>
    <row r="188" s="222" customFormat="1"/>
    <row r="189" s="222" customFormat="1"/>
    <row r="190" s="222" customFormat="1"/>
    <row r="191" s="222" customFormat="1"/>
    <row r="192" s="222" customFormat="1"/>
    <row r="193" s="222" customFormat="1"/>
    <row r="194" s="222" customFormat="1"/>
    <row r="195" s="222" customFormat="1"/>
    <row r="196" s="222" customFormat="1"/>
    <row r="197" s="222" customFormat="1"/>
    <row r="198" s="222" customFormat="1"/>
    <row r="199" s="222" customFormat="1"/>
    <row r="200" s="222" customFormat="1"/>
    <row r="201" s="222" customFormat="1"/>
    <row r="202" s="222" customFormat="1"/>
    <row r="203" s="222" customFormat="1"/>
    <row r="204" s="222" customFormat="1"/>
    <row r="205" s="222" customFormat="1"/>
    <row r="206" s="222" customFormat="1"/>
    <row r="207" s="222" customFormat="1"/>
    <row r="208" s="222" customFormat="1"/>
    <row r="209" s="222" customFormat="1"/>
    <row r="210" s="222" customFormat="1"/>
    <row r="211" s="222" customFormat="1"/>
    <row r="212" s="222" customFormat="1"/>
    <row r="213" s="222" customFormat="1"/>
    <row r="214" s="222" customFormat="1"/>
    <row r="215" s="222" customFormat="1"/>
    <row r="216" s="222" customFormat="1"/>
    <row r="217" s="222" customFormat="1"/>
    <row r="218" s="222" customFormat="1"/>
    <row r="219" s="222" customFormat="1"/>
    <row r="220" s="222" customFormat="1"/>
    <row r="221" s="222" customFormat="1"/>
    <row r="222" s="222" customFormat="1"/>
    <row r="223" s="222" customFormat="1"/>
    <row r="224" s="222" customFormat="1"/>
    <row r="225" s="222" customFormat="1"/>
    <row r="226" s="222" customFormat="1"/>
    <row r="227" s="222" customFormat="1"/>
    <row r="228" s="222" customFormat="1"/>
    <row r="229" s="222" customFormat="1"/>
    <row r="230" s="222" customFormat="1"/>
    <row r="231" s="222" customFormat="1"/>
    <row r="232" s="222" customFormat="1"/>
    <row r="233" s="222" customFormat="1"/>
    <row r="234" s="222" customFormat="1"/>
    <row r="235" s="222" customFormat="1"/>
    <row r="236" s="222" customFormat="1"/>
    <row r="237" s="222" customFormat="1"/>
    <row r="238" s="222" customFormat="1"/>
    <row r="239" s="222" customFormat="1"/>
    <row r="240" s="222" customFormat="1"/>
    <row r="241" s="222" customFormat="1"/>
    <row r="242" s="222" customFormat="1"/>
    <row r="243" s="222" customFormat="1"/>
    <row r="244" s="222" customFormat="1"/>
    <row r="245" s="222" customFormat="1"/>
    <row r="246" s="222" customFormat="1"/>
    <row r="247" s="222" customFormat="1"/>
    <row r="248" s="222" customFormat="1"/>
    <row r="249" s="222" customFormat="1"/>
    <row r="250" s="222" customFormat="1"/>
    <row r="251" s="222" customFormat="1"/>
    <row r="252" s="222" customFormat="1"/>
    <row r="253" s="222" customFormat="1"/>
    <row r="254" s="222" customFormat="1"/>
    <row r="255" s="222" customFormat="1"/>
    <row r="256" s="222" customFormat="1"/>
    <row r="257" s="222" customFormat="1"/>
    <row r="258" s="222" customFormat="1"/>
    <row r="259" s="222" customFormat="1"/>
    <row r="260" s="222" customFormat="1"/>
    <row r="261" s="222" customFormat="1"/>
    <row r="262" s="222" customFormat="1"/>
    <row r="263" s="222" customFormat="1"/>
    <row r="264" s="222" customFormat="1"/>
    <row r="265" s="222" customFormat="1"/>
    <row r="266" s="222" customFormat="1"/>
    <row r="267" s="222" customFormat="1"/>
    <row r="268" s="222" customFormat="1"/>
    <row r="269" s="222" customFormat="1"/>
    <row r="270" s="222" customFormat="1"/>
    <row r="271" s="222" customFormat="1"/>
    <row r="272" s="222" customFormat="1"/>
    <row r="273" s="222" customFormat="1"/>
    <row r="274" s="222" customFormat="1"/>
    <row r="275" s="222" customFormat="1"/>
    <row r="276" s="222" customFormat="1"/>
    <row r="277" s="222" customFormat="1"/>
    <row r="278" s="222" customFormat="1"/>
    <row r="279" s="222" customFormat="1"/>
    <row r="280" s="222" customFormat="1"/>
    <row r="281" s="222" customFormat="1"/>
    <row r="282" s="222" customFormat="1"/>
    <row r="283" s="222" customFormat="1"/>
    <row r="284" s="222" customFormat="1"/>
    <row r="285" s="222" customFormat="1"/>
    <row r="286" s="222" customFormat="1"/>
    <row r="287" s="222" customFormat="1"/>
    <row r="288" s="222" customFormat="1"/>
    <row r="289" s="222" customFormat="1"/>
    <row r="290" s="222" customFormat="1"/>
    <row r="291" s="222" customFormat="1"/>
    <row r="292" s="222" customFormat="1"/>
    <row r="293" s="222" customFormat="1"/>
    <row r="294" s="222" customFormat="1"/>
    <row r="295" s="222" customFormat="1"/>
    <row r="296" s="222" customFormat="1"/>
    <row r="297" s="222" customFormat="1"/>
    <row r="298" s="222" customFormat="1"/>
    <row r="299" s="222" customFormat="1"/>
    <row r="300" s="222" customFormat="1"/>
    <row r="301" s="222" customFormat="1"/>
    <row r="302" s="222" customFormat="1"/>
    <row r="303" s="222" customFormat="1"/>
  </sheetData>
  <sheetProtection password="BC24" sheet="1" objects="1" scenarios="1"/>
  <mergeCells count="59">
    <mergeCell ref="F35:M35"/>
    <mergeCell ref="B37:D37"/>
    <mergeCell ref="E37:L37"/>
    <mergeCell ref="B38:L38"/>
    <mergeCell ref="H40:L40"/>
    <mergeCell ref="G32:G33"/>
    <mergeCell ref="H32:I32"/>
    <mergeCell ref="J32:J33"/>
    <mergeCell ref="K32:K33"/>
    <mergeCell ref="L32:M33"/>
    <mergeCell ref="H33:I33"/>
    <mergeCell ref="F26:M26"/>
    <mergeCell ref="G29:G30"/>
    <mergeCell ref="H29:I29"/>
    <mergeCell ref="J29:J30"/>
    <mergeCell ref="K29:K30"/>
    <mergeCell ref="L29:M30"/>
    <mergeCell ref="H30:I30"/>
    <mergeCell ref="F25:M25"/>
    <mergeCell ref="G20:G21"/>
    <mergeCell ref="H20:I20"/>
    <mergeCell ref="J20:J21"/>
    <mergeCell ref="K20:K21"/>
    <mergeCell ref="L20:M21"/>
    <mergeCell ref="H21:I21"/>
    <mergeCell ref="G23:G24"/>
    <mergeCell ref="J23:J24"/>
    <mergeCell ref="K23:K24"/>
    <mergeCell ref="L23:M24"/>
    <mergeCell ref="H24:I24"/>
    <mergeCell ref="B13:F13"/>
    <mergeCell ref="G13:H13"/>
    <mergeCell ref="I13:J13"/>
    <mergeCell ref="B15:M15"/>
    <mergeCell ref="G17:G18"/>
    <mergeCell ref="H17:I17"/>
    <mergeCell ref="J17:J18"/>
    <mergeCell ref="K17:K18"/>
    <mergeCell ref="L17:M18"/>
    <mergeCell ref="H18:I18"/>
    <mergeCell ref="B11:F11"/>
    <mergeCell ref="G11:H11"/>
    <mergeCell ref="I11:J11"/>
    <mergeCell ref="B12:F12"/>
    <mergeCell ref="G12:H12"/>
    <mergeCell ref="I12:J12"/>
    <mergeCell ref="B9:F9"/>
    <mergeCell ref="G9:H9"/>
    <mergeCell ref="I9:J9"/>
    <mergeCell ref="B10:F10"/>
    <mergeCell ref="G10:H10"/>
    <mergeCell ref="I10:J10"/>
    <mergeCell ref="A1:M1"/>
    <mergeCell ref="L2:M2"/>
    <mergeCell ref="L3:M3"/>
    <mergeCell ref="B7:M7"/>
    <mergeCell ref="B8:F8"/>
    <mergeCell ref="G8:H8"/>
    <mergeCell ref="I8:J8"/>
  </mergeCells>
  <pageMargins left="0.25" right="0.25" top="0.25" bottom="0.25" header="0" footer="0"/>
  <pageSetup scale="81" orientation="portrait" horizontalDpi="1200" verticalDpi="1200" r:id="rId1"/>
  <headerFooter>
    <oddHeader xml:space="preserve">&amp;RPage 2 of 6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69"/>
  <sheetViews>
    <sheetView topLeftCell="A10" zoomScaleNormal="100" zoomScaleSheetLayoutView="100" workbookViewId="0">
      <selection activeCell="K23" sqref="K23"/>
    </sheetView>
  </sheetViews>
  <sheetFormatPr defaultColWidth="9.140625" defaultRowHeight="14.45"/>
  <cols>
    <col min="1" max="2" width="2.140625" style="173" customWidth="1"/>
    <col min="3" max="5" width="1.85546875" style="173" customWidth="1"/>
    <col min="6" max="6" width="15.140625" style="173" customWidth="1"/>
    <col min="7" max="7" width="33" style="173" customWidth="1"/>
    <col min="8" max="8" width="5.42578125" style="173" customWidth="1"/>
    <col min="9" max="9" width="6.5703125" style="173" customWidth="1"/>
    <col min="10" max="10" width="6.140625" style="173" customWidth="1"/>
    <col min="11" max="11" width="2.7109375" style="173" customWidth="1"/>
    <col min="12" max="12" width="10.7109375" style="173" customWidth="1"/>
    <col min="13" max="13" width="10" style="173" customWidth="1"/>
    <col min="14" max="14" width="19.42578125" style="173" customWidth="1"/>
    <col min="15" max="16" width="9.140625" style="173" hidden="1" customWidth="1"/>
    <col min="17" max="41" width="9.140625" style="267"/>
    <col min="42" max="16384" width="9.140625" style="173"/>
  </cols>
  <sheetData>
    <row r="1" spans="1:15" ht="24.75" customHeight="1">
      <c r="A1" s="358" t="s">
        <v>0</v>
      </c>
      <c r="B1" s="358"/>
      <c r="C1" s="358"/>
      <c r="D1" s="358"/>
      <c r="E1" s="358"/>
      <c r="F1" s="358"/>
      <c r="G1" s="358"/>
      <c r="H1" s="358"/>
      <c r="I1" s="358"/>
      <c r="J1" s="358"/>
      <c r="K1" s="358"/>
      <c r="L1" s="358"/>
      <c r="M1" s="358"/>
      <c r="N1" s="358"/>
      <c r="O1" s="310"/>
    </row>
    <row r="2" spans="1:15" ht="21.75" customHeight="1">
      <c r="A2" s="1015" t="s">
        <v>6</v>
      </c>
      <c r="B2" s="1015"/>
      <c r="C2" s="1015"/>
      <c r="D2" s="1015"/>
      <c r="E2" s="1015"/>
      <c r="F2" s="1015"/>
      <c r="G2" s="313">
        <f>'Agg moisture (page 1)'!D9</f>
        <v>0</v>
      </c>
      <c r="H2" s="310"/>
      <c r="I2" s="1015" t="s">
        <v>2</v>
      </c>
      <c r="J2" s="1015"/>
      <c r="K2" s="1015"/>
      <c r="L2" s="1015"/>
      <c r="M2" s="359">
        <f>'Agg moisture (page 1)'!D5</f>
        <v>0</v>
      </c>
      <c r="N2" s="396"/>
      <c r="O2" s="310"/>
    </row>
    <row r="3" spans="1:15" ht="21" customHeight="1">
      <c r="A3" s="1015" t="s">
        <v>7</v>
      </c>
      <c r="B3" s="1015"/>
      <c r="C3" s="1015"/>
      <c r="D3" s="1015"/>
      <c r="E3" s="1015"/>
      <c r="F3" s="1015"/>
      <c r="G3" s="313">
        <f>'Agg moisture (page 1)'!D10</f>
        <v>0</v>
      </c>
      <c r="H3" s="310"/>
      <c r="I3" s="1015" t="s">
        <v>3</v>
      </c>
      <c r="J3" s="1015"/>
      <c r="K3" s="1015"/>
      <c r="L3" s="1015"/>
      <c r="M3" s="396">
        <f>'Agg moisture (page 1)'!D6</f>
        <v>0</v>
      </c>
      <c r="N3" s="396"/>
      <c r="O3" s="310"/>
    </row>
    <row r="5" spans="1:15" ht="21">
      <c r="A5" s="240" t="s">
        <v>45</v>
      </c>
      <c r="B5" s="223"/>
      <c r="C5" s="224" t="s">
        <v>80</v>
      </c>
      <c r="D5" s="224"/>
      <c r="E5" s="224"/>
      <c r="F5" s="224"/>
      <c r="G5" s="310"/>
      <c r="H5" s="310"/>
      <c r="I5" s="310"/>
      <c r="J5" s="310"/>
      <c r="K5" s="310"/>
      <c r="L5" s="310"/>
      <c r="M5" s="310"/>
      <c r="N5" s="310"/>
      <c r="O5" s="310"/>
    </row>
    <row r="6" spans="1:15" ht="11.25" customHeight="1">
      <c r="A6" s="310"/>
      <c r="B6" s="310"/>
      <c r="C6" s="310"/>
      <c r="D6" s="310"/>
      <c r="E6" s="310"/>
      <c r="F6" s="310"/>
      <c r="G6" s="310"/>
      <c r="H6" s="310"/>
      <c r="I6" s="310"/>
      <c r="J6" s="310"/>
      <c r="K6" s="310"/>
      <c r="L6" s="310"/>
      <c r="M6" s="310"/>
      <c r="N6" s="310"/>
      <c r="O6" s="310"/>
    </row>
    <row r="7" spans="1:15" ht="19.5" customHeight="1">
      <c r="A7" s="310"/>
      <c r="B7" s="241" t="s">
        <v>20</v>
      </c>
      <c r="C7" s="400" t="s">
        <v>81</v>
      </c>
      <c r="D7" s="400"/>
      <c r="E7" s="400"/>
      <c r="F7" s="400"/>
      <c r="G7" s="400"/>
      <c r="H7" s="400"/>
      <c r="I7" s="400"/>
      <c r="J7" s="400"/>
      <c r="K7" s="400"/>
      <c r="L7" s="400"/>
      <c r="M7" s="400"/>
      <c r="N7" s="400"/>
      <c r="O7" s="310"/>
    </row>
    <row r="8" spans="1:15" ht="29.25" customHeight="1">
      <c r="A8" s="310"/>
      <c r="B8" s="241" t="s">
        <v>22</v>
      </c>
      <c r="C8" s="307" t="s">
        <v>82</v>
      </c>
      <c r="D8" s="307"/>
      <c r="E8" s="307"/>
      <c r="F8" s="307"/>
      <c r="G8" s="307"/>
      <c r="H8" s="415"/>
      <c r="I8" s="416"/>
      <c r="J8" s="242"/>
      <c r="K8" s="243" t="s">
        <v>83</v>
      </c>
      <c r="L8" s="307"/>
      <c r="M8" s="307"/>
      <c r="N8" s="307"/>
      <c r="O8" s="314"/>
    </row>
    <row r="9" spans="1:15" ht="74.25" customHeight="1">
      <c r="A9" s="310"/>
      <c r="B9" s="244" t="s">
        <v>24</v>
      </c>
      <c r="C9" s="347" t="s">
        <v>84</v>
      </c>
      <c r="D9" s="347"/>
      <c r="E9" s="347"/>
      <c r="F9" s="347"/>
      <c r="G9" s="347"/>
      <c r="H9" s="347"/>
      <c r="I9" s="347"/>
      <c r="J9" s="347"/>
      <c r="K9" s="347"/>
      <c r="L9" s="347"/>
      <c r="M9" s="347"/>
      <c r="N9" s="347"/>
      <c r="O9" s="310"/>
    </row>
    <row r="10" spans="1:15" ht="21.75" customHeight="1" thickBot="1">
      <c r="A10" s="310"/>
      <c r="B10" s="310"/>
      <c r="C10" s="310"/>
      <c r="D10" s="310"/>
      <c r="E10" s="310"/>
      <c r="F10" s="310"/>
      <c r="G10" s="310"/>
      <c r="H10" s="310"/>
      <c r="I10" s="310"/>
      <c r="J10" s="310"/>
      <c r="K10" s="310"/>
      <c r="L10" s="310"/>
      <c r="M10" s="310"/>
      <c r="N10" s="310"/>
      <c r="O10" s="310"/>
    </row>
    <row r="11" spans="1:15" ht="18.600000000000001" thickBot="1">
      <c r="A11" s="310"/>
      <c r="B11" s="310"/>
      <c r="C11" s="310"/>
      <c r="D11" s="310"/>
      <c r="E11" s="310"/>
      <c r="F11" s="310"/>
      <c r="G11" s="245"/>
      <c r="H11" s="417" t="s">
        <v>85</v>
      </c>
      <c r="I11" s="365"/>
      <c r="J11" s="366" t="s">
        <v>86</v>
      </c>
      <c r="K11" s="365"/>
      <c r="L11" s="321" t="s">
        <v>87</v>
      </c>
      <c r="M11" s="246" t="s">
        <v>88</v>
      </c>
      <c r="N11" s="308"/>
      <c r="O11" s="228"/>
    </row>
    <row r="12" spans="1:15" ht="27" customHeight="1">
      <c r="A12" s="310"/>
      <c r="B12" s="310"/>
      <c r="C12" s="310"/>
      <c r="D12" s="310"/>
      <c r="E12" s="310"/>
      <c r="F12" s="310"/>
      <c r="G12" s="247" t="s">
        <v>89</v>
      </c>
      <c r="H12" s="412"/>
      <c r="I12" s="413"/>
      <c r="J12" s="414"/>
      <c r="K12" s="413"/>
      <c r="L12" s="248"/>
      <c r="M12" s="249"/>
      <c r="N12" s="308"/>
      <c r="O12" s="228"/>
    </row>
    <row r="13" spans="1:15" ht="27" customHeight="1">
      <c r="A13" s="310"/>
      <c r="B13" s="310"/>
      <c r="C13" s="310"/>
      <c r="D13" s="310"/>
      <c r="E13" s="310"/>
      <c r="F13" s="310"/>
      <c r="G13" s="250" t="s">
        <v>90</v>
      </c>
      <c r="H13" s="418"/>
      <c r="I13" s="419"/>
      <c r="J13" s="420"/>
      <c r="K13" s="419"/>
      <c r="L13" s="323"/>
      <c r="M13" s="251"/>
      <c r="N13" s="308"/>
      <c r="O13" s="228"/>
    </row>
    <row r="14" spans="1:15" ht="27" customHeight="1">
      <c r="A14" s="310"/>
      <c r="B14" s="310"/>
      <c r="C14" s="310"/>
      <c r="D14" s="310"/>
      <c r="E14" s="310"/>
      <c r="F14" s="310"/>
      <c r="G14" s="247" t="s">
        <v>91</v>
      </c>
      <c r="H14" s="421"/>
      <c r="I14" s="422"/>
      <c r="J14" s="423"/>
      <c r="K14" s="422"/>
      <c r="L14" s="252"/>
      <c r="M14" s="253"/>
      <c r="N14" s="254" t="s">
        <v>92</v>
      </c>
      <c r="O14" s="228"/>
    </row>
    <row r="15" spans="1:15" ht="27" customHeight="1">
      <c r="A15" s="310"/>
      <c r="B15" s="310"/>
      <c r="C15" s="310"/>
      <c r="D15" s="310"/>
      <c r="E15" s="310"/>
      <c r="F15" s="310"/>
      <c r="G15" s="250" t="s">
        <v>93</v>
      </c>
      <c r="H15" s="418"/>
      <c r="I15" s="419"/>
      <c r="J15" s="420"/>
      <c r="K15" s="419"/>
      <c r="L15" s="323"/>
      <c r="M15" s="251"/>
      <c r="N15" s="308"/>
      <c r="O15" s="228"/>
    </row>
    <row r="16" spans="1:15" ht="27" customHeight="1" thickBot="1">
      <c r="A16" s="310"/>
      <c r="B16" s="310"/>
      <c r="C16" s="310"/>
      <c r="D16" s="310"/>
      <c r="E16" s="310"/>
      <c r="F16" s="310"/>
      <c r="G16" s="255" t="s">
        <v>94</v>
      </c>
      <c r="H16" s="427">
        <f>'Cement Calibration (Page 2)'!K32</f>
        <v>0</v>
      </c>
      <c r="I16" s="428"/>
      <c r="J16" s="427">
        <f>'Cement Calibration (Page 2)'!K32</f>
        <v>0</v>
      </c>
      <c r="K16" s="428"/>
      <c r="L16" s="256">
        <f>'Cement Calibration (Page 2)'!K32</f>
        <v>0</v>
      </c>
      <c r="M16" s="257">
        <f>'Cement Calibration (Page 2)'!K32</f>
        <v>0</v>
      </c>
      <c r="N16" s="308"/>
      <c r="O16" s="228"/>
    </row>
    <row r="17" spans="1:15" ht="27" customHeight="1">
      <c r="A17" s="310"/>
      <c r="B17" s="310"/>
      <c r="C17" s="310"/>
      <c r="D17" s="310"/>
      <c r="E17" s="310"/>
      <c r="F17" s="310"/>
      <c r="G17" s="258" t="s">
        <v>95</v>
      </c>
      <c r="H17" s="429"/>
      <c r="I17" s="430"/>
      <c r="J17" s="431"/>
      <c r="K17" s="430"/>
      <c r="L17" s="320"/>
      <c r="M17" s="259"/>
      <c r="N17" s="228"/>
      <c r="O17" s="228"/>
    </row>
    <row r="18" spans="1:15" ht="27" customHeight="1">
      <c r="A18" s="310"/>
      <c r="B18" s="310"/>
      <c r="C18" s="310"/>
      <c r="D18" s="310"/>
      <c r="E18" s="310"/>
      <c r="F18" s="310"/>
      <c r="G18" s="260" t="s">
        <v>96</v>
      </c>
      <c r="H18" s="432"/>
      <c r="I18" s="433"/>
      <c r="J18" s="434"/>
      <c r="K18" s="433"/>
      <c r="L18" s="324"/>
      <c r="M18" s="261"/>
      <c r="N18" s="228"/>
      <c r="O18" s="228"/>
    </row>
    <row r="19" spans="1:15" ht="27" customHeight="1" thickBot="1">
      <c r="A19" s="310"/>
      <c r="B19" s="310"/>
      <c r="C19" s="310"/>
      <c r="D19" s="310"/>
      <c r="E19" s="310"/>
      <c r="F19" s="310"/>
      <c r="G19" s="262" t="s">
        <v>97</v>
      </c>
      <c r="H19" s="379">
        <f>H17-H18</f>
        <v>0</v>
      </c>
      <c r="I19" s="380"/>
      <c r="J19" s="379">
        <f>J17-J18</f>
        <v>0</v>
      </c>
      <c r="K19" s="380"/>
      <c r="L19" s="230">
        <f>L17-L18</f>
        <v>0</v>
      </c>
      <c r="M19" s="263">
        <f>M17-M18</f>
        <v>0</v>
      </c>
      <c r="N19" s="232" t="s">
        <v>98</v>
      </c>
      <c r="O19" s="228"/>
    </row>
    <row r="20" spans="1:15" ht="27" customHeight="1" thickBot="1">
      <c r="A20" s="310"/>
      <c r="B20" s="310"/>
      <c r="C20" s="310"/>
      <c r="D20" s="310"/>
      <c r="E20" s="310"/>
      <c r="F20" s="310"/>
      <c r="G20" s="264" t="s">
        <v>99</v>
      </c>
      <c r="H20" s="435">
        <f>H19/8.5</f>
        <v>0</v>
      </c>
      <c r="I20" s="436"/>
      <c r="J20" s="435">
        <f>J19/8.5</f>
        <v>0</v>
      </c>
      <c r="K20" s="436"/>
      <c r="L20" s="322">
        <f>L19/8.5</f>
        <v>0</v>
      </c>
      <c r="M20" s="322">
        <f>M19/8.5</f>
        <v>0</v>
      </c>
      <c r="N20" s="265"/>
      <c r="O20" s="228"/>
    </row>
    <row r="21" spans="1:15" ht="11.25" customHeight="1">
      <c r="A21" s="310"/>
      <c r="B21" s="310"/>
      <c r="C21" s="310"/>
      <c r="D21" s="310"/>
      <c r="E21" s="310"/>
      <c r="F21" s="310"/>
      <c r="G21" s="183"/>
      <c r="H21" s="183"/>
      <c r="I21" s="228"/>
      <c r="J21" s="228"/>
      <c r="K21" s="228"/>
      <c r="L21" s="228"/>
      <c r="M21" s="228"/>
      <c r="N21" s="228"/>
      <c r="O21" s="228"/>
    </row>
    <row r="22" spans="1:15" ht="38.25" customHeight="1">
      <c r="A22" s="310"/>
      <c r="B22" s="310"/>
      <c r="C22" s="306"/>
      <c r="D22" s="306"/>
      <c r="E22" s="306"/>
      <c r="F22" s="306"/>
      <c r="G22" s="437" t="s">
        <v>100</v>
      </c>
      <c r="H22" s="437"/>
      <c r="I22" s="437"/>
      <c r="J22" s="437"/>
      <c r="K22" s="437"/>
      <c r="L22" s="437"/>
      <c r="M22" s="437"/>
      <c r="N22" s="437"/>
      <c r="O22" s="310"/>
    </row>
    <row r="23" spans="1:15" ht="18.75" customHeight="1" thickBot="1">
      <c r="A23" s="310"/>
      <c r="B23" s="310"/>
      <c r="C23" s="310"/>
      <c r="D23" s="310"/>
      <c r="E23" s="310"/>
      <c r="F23" s="310"/>
      <c r="G23" s="183"/>
      <c r="H23" s="183"/>
      <c r="I23" s="228"/>
      <c r="J23" s="228"/>
      <c r="K23" s="228"/>
      <c r="L23" s="228"/>
      <c r="M23" s="228"/>
      <c r="N23" s="228"/>
      <c r="O23" s="228"/>
    </row>
    <row r="24" spans="1:15" ht="24.75" customHeight="1" thickTop="1" thickBot="1">
      <c r="A24" s="310"/>
      <c r="B24" s="241" t="s">
        <v>26</v>
      </c>
      <c r="C24" s="241"/>
      <c r="D24" s="241"/>
      <c r="E24" s="241"/>
      <c r="F24" s="310"/>
      <c r="G24" s="232" t="s">
        <v>101</v>
      </c>
      <c r="H24" s="424" t="str">
        <f>IF(M14="",IF(L14="",IF(J14="","need min # trials",J14),L14),M14)</f>
        <v>need min # trials</v>
      </c>
      <c r="I24" s="425"/>
      <c r="J24" s="425"/>
      <c r="K24" s="426"/>
      <c r="L24" s="266" t="s">
        <v>102</v>
      </c>
      <c r="M24" s="228"/>
      <c r="N24" s="228"/>
      <c r="O24" s="228"/>
    </row>
    <row r="25" spans="1:15" ht="18.75" customHeight="1" thickTop="1">
      <c r="A25" s="310"/>
      <c r="B25" s="310"/>
      <c r="C25" s="310"/>
      <c r="D25" s="310"/>
      <c r="E25" s="310"/>
      <c r="F25" s="310"/>
      <c r="G25" s="183"/>
      <c r="H25" s="183"/>
      <c r="I25" s="228"/>
      <c r="J25" s="228"/>
      <c r="K25" s="228"/>
      <c r="L25" s="228"/>
      <c r="M25" s="228"/>
      <c r="N25" s="228"/>
      <c r="O25" s="228"/>
    </row>
    <row r="26" spans="1:15" ht="30.75" customHeight="1">
      <c r="A26" s="310"/>
      <c r="B26" s="310"/>
      <c r="C26" s="310"/>
      <c r="D26" s="310"/>
      <c r="E26" s="310"/>
      <c r="F26" s="310" t="s">
        <v>103</v>
      </c>
      <c r="G26" s="1016"/>
      <c r="H26" s="1016"/>
      <c r="I26" s="1016"/>
      <c r="J26" s="1016"/>
      <c r="K26" s="1016"/>
      <c r="L26" s="1016"/>
      <c r="M26" s="1016"/>
      <c r="N26" s="1016"/>
      <c r="O26" s="310"/>
    </row>
    <row r="27" spans="1:15">
      <c r="A27" s="310"/>
      <c r="B27" s="310"/>
      <c r="C27" s="310"/>
      <c r="D27" s="310"/>
      <c r="E27" s="310"/>
      <c r="F27" s="310"/>
      <c r="G27" s="1016"/>
      <c r="H27" s="1016"/>
      <c r="I27" s="1016"/>
      <c r="J27" s="1016"/>
      <c r="K27" s="1016"/>
      <c r="L27" s="1016"/>
      <c r="M27" s="1016"/>
      <c r="N27" s="1016"/>
      <c r="O27" s="310"/>
    </row>
    <row r="28" spans="1:15">
      <c r="A28" s="310"/>
      <c r="B28" s="310"/>
      <c r="C28" s="310"/>
      <c r="D28" s="310"/>
      <c r="E28" s="310"/>
      <c r="F28" s="310"/>
      <c r="G28" s="1016"/>
      <c r="H28" s="1016"/>
      <c r="I28" s="1016"/>
      <c r="J28" s="1016"/>
      <c r="K28" s="1016"/>
      <c r="L28" s="1016"/>
      <c r="M28" s="1016"/>
      <c r="N28" s="1016"/>
      <c r="O28" s="310"/>
    </row>
    <row r="29" spans="1:15">
      <c r="A29" s="310"/>
      <c r="B29" s="310"/>
      <c r="C29" s="310"/>
      <c r="D29" s="310"/>
      <c r="E29" s="310"/>
      <c r="F29" s="310"/>
      <c r="G29" s="1016"/>
      <c r="H29" s="1016"/>
      <c r="I29" s="1016"/>
      <c r="J29" s="1016"/>
      <c r="K29" s="1016"/>
      <c r="L29" s="1016"/>
      <c r="M29" s="1016"/>
      <c r="N29" s="1016"/>
      <c r="O29" s="310"/>
    </row>
    <row r="32" spans="1:15" ht="26.25" customHeight="1">
      <c r="A32" s="239" t="s">
        <v>44</v>
      </c>
      <c r="B32" s="310"/>
      <c r="C32" s="310"/>
      <c r="D32" s="310"/>
      <c r="E32" s="310"/>
      <c r="F32" s="310"/>
      <c r="G32" s="310"/>
      <c r="H32" s="310"/>
      <c r="I32" s="310"/>
      <c r="J32" s="310" t="s">
        <v>104</v>
      </c>
      <c r="K32" s="1016"/>
      <c r="L32" s="1016"/>
      <c r="M32" s="1016"/>
      <c r="N32" s="1016"/>
      <c r="O32" s="310"/>
    </row>
    <row r="33" s="267" customFormat="1"/>
    <row r="34" s="267" customFormat="1"/>
    <row r="35" s="267" customFormat="1"/>
    <row r="36" s="267" customFormat="1"/>
    <row r="37" s="267" customFormat="1"/>
    <row r="38" s="267" customFormat="1"/>
    <row r="39" s="267" customFormat="1"/>
    <row r="40" s="267" customFormat="1"/>
    <row r="41" s="267" customFormat="1"/>
    <row r="42" s="267" customFormat="1"/>
    <row r="43" s="267" customFormat="1"/>
    <row r="44" s="267" customFormat="1"/>
    <row r="45" s="267" customFormat="1"/>
    <row r="46" s="267" customFormat="1"/>
    <row r="47" s="267" customFormat="1"/>
    <row r="48" s="267" customFormat="1"/>
    <row r="49" s="267" customFormat="1"/>
    <row r="50" s="267" customFormat="1"/>
    <row r="51" s="267" customFormat="1"/>
    <row r="52" s="267" customFormat="1"/>
    <row r="53" s="267" customFormat="1"/>
    <row r="54" s="267" customFormat="1"/>
    <row r="55" s="267" customFormat="1"/>
    <row r="56" s="267" customFormat="1"/>
    <row r="57" s="267" customFormat="1"/>
    <row r="58" s="267" customFormat="1"/>
    <row r="59" s="267" customFormat="1"/>
    <row r="60" s="267" customFormat="1"/>
    <row r="61" s="267" customFormat="1"/>
    <row r="62" s="267" customFormat="1"/>
    <row r="63" s="267" customFormat="1"/>
    <row r="64" s="267" customFormat="1"/>
    <row r="65" s="267" customFormat="1"/>
    <row r="66" s="267" customFormat="1"/>
    <row r="67" s="267" customFormat="1"/>
    <row r="68" s="267" customFormat="1"/>
    <row r="69" s="267" customFormat="1"/>
  </sheetData>
  <sheetProtection password="BC24" sheet="1" objects="1" scenarios="1"/>
  <mergeCells count="37">
    <mergeCell ref="G26:N26"/>
    <mergeCell ref="G27:N27"/>
    <mergeCell ref="G28:N28"/>
    <mergeCell ref="G29:N29"/>
    <mergeCell ref="K32:N32"/>
    <mergeCell ref="H24:K24"/>
    <mergeCell ref="H16:I16"/>
    <mergeCell ref="J16:K16"/>
    <mergeCell ref="H17:I17"/>
    <mergeCell ref="J17:K17"/>
    <mergeCell ref="H18:I18"/>
    <mergeCell ref="J18:K18"/>
    <mergeCell ref="H19:I19"/>
    <mergeCell ref="J19:K19"/>
    <mergeCell ref="H20:I20"/>
    <mergeCell ref="J20:K20"/>
    <mergeCell ref="G22:N22"/>
    <mergeCell ref="H13:I13"/>
    <mergeCell ref="J13:K13"/>
    <mergeCell ref="H14:I14"/>
    <mergeCell ref="J14:K14"/>
    <mergeCell ref="H15:I15"/>
    <mergeCell ref="J15:K15"/>
    <mergeCell ref="H12:I12"/>
    <mergeCell ref="J12:K12"/>
    <mergeCell ref="A1:N1"/>
    <mergeCell ref="A2:F2"/>
    <mergeCell ref="I2:L2"/>
    <mergeCell ref="M2:N2"/>
    <mergeCell ref="A3:F3"/>
    <mergeCell ref="I3:L3"/>
    <mergeCell ref="M3:N3"/>
    <mergeCell ref="C7:N7"/>
    <mergeCell ref="H8:I8"/>
    <mergeCell ref="C9:N9"/>
    <mergeCell ref="H11:I11"/>
    <mergeCell ref="J11:K11"/>
  </mergeCells>
  <pageMargins left="0.25" right="0.25" top="0.25" bottom="0.25" header="0" footer="0"/>
  <pageSetup scale="85" orientation="portrait" horizontalDpi="1200" verticalDpi="1200" r:id="rId1"/>
  <headerFooter>
    <oddHeader xml:space="preserve">&amp;RPage 3 of 6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W197"/>
  <sheetViews>
    <sheetView zoomScale="90" zoomScaleNormal="90" zoomScaleSheetLayoutView="80" workbookViewId="0">
      <selection activeCell="J22" sqref="J22:N23"/>
    </sheetView>
  </sheetViews>
  <sheetFormatPr defaultColWidth="9.140625" defaultRowHeight="14.45"/>
  <cols>
    <col min="1" max="1" width="2.5703125" style="173" customWidth="1"/>
    <col min="2" max="2" width="1.85546875" style="173" customWidth="1"/>
    <col min="3" max="3" width="31.85546875" style="173" customWidth="1"/>
    <col min="4" max="4" width="4.5703125" style="173" customWidth="1"/>
    <col min="5" max="5" width="10.28515625" style="173" customWidth="1"/>
    <col min="6" max="6" width="6.140625" style="173" customWidth="1"/>
    <col min="7" max="7" width="6.5703125" style="173" customWidth="1"/>
    <col min="8" max="8" width="4.85546875" style="173" customWidth="1"/>
    <col min="9" max="9" width="8.7109375" style="173" customWidth="1"/>
    <col min="10" max="11" width="5.85546875" style="173" customWidth="1"/>
    <col min="12" max="12" width="5.5703125" style="173" customWidth="1"/>
    <col min="13" max="13" width="4.140625" style="173" customWidth="1"/>
    <col min="14" max="14" width="8" style="173" customWidth="1"/>
    <col min="15" max="75" width="9.140625" style="222"/>
    <col min="76" max="16384" width="9.140625" style="173"/>
  </cols>
  <sheetData>
    <row r="1" spans="1:14" ht="24.75" customHeight="1">
      <c r="A1" s="358" t="s">
        <v>0</v>
      </c>
      <c r="B1" s="358"/>
      <c r="C1" s="358"/>
      <c r="D1" s="358"/>
      <c r="E1" s="358"/>
      <c r="F1" s="358"/>
      <c r="G1" s="358"/>
      <c r="H1" s="358"/>
      <c r="I1" s="358"/>
      <c r="J1" s="358"/>
      <c r="K1" s="358"/>
      <c r="L1" s="358"/>
      <c r="M1" s="358"/>
      <c r="N1" s="358"/>
    </row>
    <row r="2" spans="1:14" ht="21.75" customHeight="1">
      <c r="A2" s="178"/>
      <c r="B2" s="178"/>
      <c r="C2" s="310" t="s">
        <v>6</v>
      </c>
      <c r="D2" s="396">
        <f>'Agg moisture (page 1)'!D9</f>
        <v>0</v>
      </c>
      <c r="E2" s="396"/>
      <c r="F2" s="396"/>
      <c r="G2" s="396"/>
      <c r="H2" s="438" t="s">
        <v>105</v>
      </c>
      <c r="I2" s="438"/>
      <c r="J2" s="359">
        <f>'Agg moisture (page 1)'!D5</f>
        <v>0</v>
      </c>
      <c r="K2" s="359"/>
      <c r="L2" s="359"/>
      <c r="M2" s="359"/>
      <c r="N2" s="359"/>
    </row>
    <row r="3" spans="1:14" ht="21" customHeight="1">
      <c r="A3" s="178"/>
      <c r="B3" s="178"/>
      <c r="C3" s="310" t="s">
        <v>106</v>
      </c>
      <c r="D3" s="396">
        <f>'Agg moisture (page 1)'!D10</f>
        <v>0</v>
      </c>
      <c r="E3" s="396"/>
      <c r="F3" s="396"/>
      <c r="G3" s="396"/>
      <c r="H3" s="438" t="s">
        <v>107</v>
      </c>
      <c r="I3" s="438"/>
      <c r="J3" s="360">
        <f>'Agg moisture (page 1)'!D6</f>
        <v>0</v>
      </c>
      <c r="K3" s="360"/>
      <c r="L3" s="360"/>
      <c r="M3" s="360"/>
      <c r="N3" s="360"/>
    </row>
    <row r="5" spans="1:14" ht="21">
      <c r="A5" s="223" t="s">
        <v>45</v>
      </c>
      <c r="B5" s="224" t="s">
        <v>108</v>
      </c>
      <c r="C5" s="310"/>
      <c r="D5" s="310"/>
      <c r="E5" s="310"/>
      <c r="F5" s="310"/>
      <c r="G5" s="310"/>
      <c r="H5" s="310"/>
      <c r="I5" s="310"/>
      <c r="J5" s="310"/>
      <c r="K5" s="310"/>
      <c r="L5" s="310"/>
      <c r="M5" s="310"/>
      <c r="N5" s="310"/>
    </row>
    <row r="6" spans="1:14" ht="11.25" customHeight="1">
      <c r="A6" s="310"/>
      <c r="B6" s="310"/>
      <c r="C6" s="310"/>
      <c r="D6" s="310"/>
      <c r="E6" s="310"/>
      <c r="F6" s="310"/>
      <c r="G6" s="310"/>
      <c r="H6" s="310"/>
      <c r="I6" s="310"/>
      <c r="J6" s="310"/>
      <c r="K6" s="310"/>
      <c r="L6" s="310"/>
      <c r="M6" s="310"/>
      <c r="N6" s="310"/>
    </row>
    <row r="7" spans="1:14" ht="95.25" customHeight="1">
      <c r="A7" s="310"/>
      <c r="B7" s="347" t="s">
        <v>109</v>
      </c>
      <c r="C7" s="347"/>
      <c r="D7" s="347"/>
      <c r="E7" s="347"/>
      <c r="F7" s="347"/>
      <c r="G7" s="347"/>
      <c r="H7" s="347"/>
      <c r="I7" s="347"/>
      <c r="J7" s="347"/>
      <c r="K7" s="347"/>
      <c r="L7" s="347"/>
      <c r="M7" s="347"/>
      <c r="N7" s="347"/>
    </row>
    <row r="8" spans="1:14" ht="21" customHeight="1">
      <c r="A8" s="310"/>
      <c r="B8" s="387" t="s">
        <v>110</v>
      </c>
      <c r="C8" s="387"/>
      <c r="D8" s="387"/>
      <c r="E8" s="387"/>
      <c r="F8" s="387"/>
      <c r="G8" s="387"/>
      <c r="H8" s="387"/>
      <c r="I8" s="387"/>
      <c r="J8" s="387"/>
      <c r="K8" s="387"/>
      <c r="L8" s="387"/>
      <c r="M8" s="387"/>
      <c r="N8" s="387"/>
    </row>
    <row r="9" spans="1:14" ht="15" customHeight="1">
      <c r="A9" s="310"/>
      <c r="B9" s="310"/>
      <c r="C9" s="234" t="s">
        <v>111</v>
      </c>
      <c r="D9" s="388" t="s">
        <v>62</v>
      </c>
      <c r="E9" s="439">
        <f>'Cement Calibration (Page 2)'!K32</f>
        <v>0</v>
      </c>
      <c r="F9" s="390"/>
      <c r="G9" s="388" t="s">
        <v>62</v>
      </c>
      <c r="H9" s="311"/>
      <c r="I9" s="440">
        <f>E9/2</f>
        <v>0</v>
      </c>
      <c r="J9" s="441"/>
      <c r="K9" s="393" t="s">
        <v>112</v>
      </c>
      <c r="L9" s="355"/>
      <c r="M9" s="355"/>
      <c r="N9" s="355"/>
    </row>
    <row r="10" spans="1:14" ht="15" customHeight="1">
      <c r="A10" s="310"/>
      <c r="B10" s="310"/>
      <c r="C10" s="328">
        <v>2</v>
      </c>
      <c r="D10" s="389"/>
      <c r="E10" s="394">
        <v>2</v>
      </c>
      <c r="F10" s="394"/>
      <c r="G10" s="389"/>
      <c r="H10" s="312"/>
      <c r="I10" s="442"/>
      <c r="J10" s="443"/>
      <c r="K10" s="393"/>
      <c r="L10" s="355"/>
      <c r="M10" s="355"/>
      <c r="N10" s="355"/>
    </row>
    <row r="11" spans="1:14" ht="19.5" customHeight="1">
      <c r="A11" s="310"/>
      <c r="B11" s="306"/>
      <c r="C11" s="446" t="s">
        <v>113</v>
      </c>
      <c r="D11" s="446"/>
      <c r="E11" s="446"/>
      <c r="F11" s="446"/>
      <c r="G11" s="306"/>
      <c r="H11" s="306"/>
      <c r="I11" s="306"/>
      <c r="J11" s="306"/>
      <c r="K11" s="306"/>
      <c r="L11" s="306"/>
      <c r="M11" s="306"/>
      <c r="N11" s="306"/>
    </row>
    <row r="12" spans="1:14" ht="11.25" customHeight="1">
      <c r="A12" s="310"/>
      <c r="B12" s="306"/>
      <c r="C12" s="306"/>
      <c r="D12" s="306"/>
      <c r="E12" s="306"/>
      <c r="F12" s="306"/>
      <c r="G12" s="306"/>
      <c r="H12" s="306"/>
      <c r="I12" s="306"/>
      <c r="J12" s="306"/>
      <c r="K12" s="306"/>
      <c r="L12" s="306"/>
      <c r="M12" s="306"/>
      <c r="N12" s="306"/>
    </row>
    <row r="13" spans="1:14" ht="27" customHeight="1">
      <c r="A13" s="310"/>
      <c r="B13" s="447" t="s">
        <v>114</v>
      </c>
      <c r="C13" s="447"/>
      <c r="D13" s="447"/>
      <c r="E13" s="447"/>
      <c r="F13" s="447"/>
      <c r="G13" s="447"/>
      <c r="H13" s="447"/>
      <c r="I13" s="447"/>
      <c r="J13" s="448">
        <f>IF('Agg moisture (page 1)'!F21="",'Agg moisture (page 1)'!E28,'Agg moisture (page 1)'!F28)</f>
        <v>0</v>
      </c>
      <c r="K13" s="449"/>
      <c r="L13" s="450"/>
      <c r="M13" s="451" t="s">
        <v>115</v>
      </c>
      <c r="N13" s="447"/>
    </row>
    <row r="14" spans="1:14" ht="13.5" customHeight="1">
      <c r="A14" s="310"/>
      <c r="B14" s="306"/>
      <c r="C14" s="306"/>
      <c r="D14" s="306"/>
      <c r="E14" s="306"/>
      <c r="F14" s="306"/>
      <c r="G14" s="306"/>
      <c r="H14" s="306"/>
      <c r="I14" s="306"/>
      <c r="J14" s="306"/>
      <c r="K14" s="306"/>
      <c r="L14" s="306"/>
      <c r="M14" s="306"/>
      <c r="N14" s="306"/>
    </row>
    <row r="15" spans="1:14" ht="19.5" customHeight="1">
      <c r="A15" s="310"/>
      <c r="B15" s="387" t="s">
        <v>116</v>
      </c>
      <c r="C15" s="387"/>
      <c r="D15" s="387"/>
      <c r="E15" s="387"/>
      <c r="F15" s="387"/>
      <c r="G15" s="387"/>
      <c r="H15" s="387"/>
      <c r="I15" s="387"/>
      <c r="J15" s="319"/>
      <c r="K15" s="319"/>
      <c r="L15" s="306"/>
      <c r="M15" s="306"/>
      <c r="N15" s="306"/>
    </row>
    <row r="16" spans="1:14" ht="14.25" customHeight="1">
      <c r="A16" s="310"/>
      <c r="B16" s="306"/>
      <c r="C16" s="306"/>
      <c r="D16" s="306"/>
      <c r="E16" s="306"/>
      <c r="F16" s="306"/>
      <c r="G16" s="306"/>
      <c r="H16" s="306"/>
      <c r="I16" s="306"/>
      <c r="J16" s="306"/>
      <c r="K16" s="306"/>
      <c r="L16" s="306"/>
      <c r="M16" s="306"/>
      <c r="N16" s="306"/>
    </row>
    <row r="17" spans="2:15" ht="15" customHeight="1">
      <c r="B17" s="444" t="s">
        <v>117</v>
      </c>
      <c r="C17" s="444"/>
      <c r="D17" s="388" t="s">
        <v>62</v>
      </c>
      <c r="E17" s="268">
        <f>'Agg moisture (page 1)'!E17/(1+'Agg moisture (page 1)'!E27/100)</f>
        <v>0</v>
      </c>
      <c r="F17" s="269" t="s">
        <v>118</v>
      </c>
      <c r="G17" s="270">
        <f>J13</f>
        <v>0</v>
      </c>
      <c r="H17" s="388" t="s">
        <v>62</v>
      </c>
      <c r="I17" s="440">
        <f>(E17*G17)/100</f>
        <v>0</v>
      </c>
      <c r="J17" s="441"/>
      <c r="K17" s="401" t="s">
        <v>119</v>
      </c>
      <c r="L17" s="400"/>
      <c r="M17" s="400"/>
      <c r="N17" s="400"/>
    </row>
    <row r="18" spans="2:15" ht="15" customHeight="1">
      <c r="B18" s="445">
        <v>100</v>
      </c>
      <c r="C18" s="445"/>
      <c r="D18" s="389"/>
      <c r="E18" s="266"/>
      <c r="F18" s="327">
        <v>100</v>
      </c>
      <c r="G18" s="266"/>
      <c r="H18" s="389"/>
      <c r="I18" s="442"/>
      <c r="J18" s="443"/>
      <c r="K18" s="401"/>
      <c r="L18" s="400"/>
      <c r="M18" s="400"/>
      <c r="N18" s="400"/>
    </row>
    <row r="19" spans="2:15" ht="15" customHeight="1">
      <c r="B19" s="328"/>
      <c r="C19" s="328"/>
      <c r="D19" s="312"/>
      <c r="E19" s="266"/>
      <c r="F19" s="327"/>
      <c r="G19" s="266"/>
      <c r="H19" s="312"/>
      <c r="I19" s="308"/>
      <c r="J19" s="308"/>
      <c r="K19" s="308"/>
      <c r="L19" s="310"/>
      <c r="M19" s="310"/>
      <c r="N19" s="315"/>
    </row>
    <row r="20" spans="2:15" ht="23.25" customHeight="1">
      <c r="B20" s="328"/>
      <c r="C20" s="315" t="s">
        <v>120</v>
      </c>
      <c r="D20" s="315"/>
      <c r="E20" s="270">
        <f>'Agg moisture (page 1)'!E17</f>
        <v>0</v>
      </c>
      <c r="F20" s="311" t="s">
        <v>121</v>
      </c>
      <c r="G20" s="270">
        <f>I17</f>
        <v>0</v>
      </c>
      <c r="H20" s="271"/>
      <c r="I20" s="452">
        <f>E20+G20</f>
        <v>0</v>
      </c>
      <c r="J20" s="453"/>
      <c r="K20" s="401" t="s">
        <v>122</v>
      </c>
      <c r="L20" s="400"/>
      <c r="M20" s="400"/>
      <c r="N20" s="400"/>
    </row>
    <row r="21" spans="2:15" ht="15" customHeight="1">
      <c r="B21" s="328"/>
      <c r="C21" s="328"/>
      <c r="D21" s="312"/>
      <c r="E21" s="266"/>
      <c r="F21" s="327"/>
      <c r="G21" s="266"/>
      <c r="H21" s="312"/>
      <c r="I21" s="308"/>
      <c r="J21" s="308"/>
      <c r="K21" s="308"/>
      <c r="L21" s="310"/>
      <c r="M21" s="310"/>
      <c r="N21" s="315"/>
    </row>
    <row r="22" spans="2:15" ht="12.75" customHeight="1">
      <c r="B22" s="328"/>
      <c r="C22" s="272" t="s">
        <v>123</v>
      </c>
      <c r="D22" s="388" t="s">
        <v>62</v>
      </c>
      <c r="E22" s="454">
        <f>I20</f>
        <v>0</v>
      </c>
      <c r="F22" s="455"/>
      <c r="G22" s="388" t="s">
        <v>62</v>
      </c>
      <c r="H22" s="440">
        <f>E22/14</f>
        <v>0</v>
      </c>
      <c r="I22" s="441"/>
      <c r="J22" s="456" t="s">
        <v>124</v>
      </c>
      <c r="K22" s="456"/>
      <c r="L22" s="456"/>
      <c r="M22" s="456"/>
      <c r="N22" s="456"/>
    </row>
    <row r="23" spans="2:15" ht="12.75" customHeight="1">
      <c r="B23" s="328"/>
      <c r="C23" s="328">
        <v>14</v>
      </c>
      <c r="D23" s="389"/>
      <c r="E23" s="457">
        <v>14</v>
      </c>
      <c r="F23" s="457"/>
      <c r="G23" s="389"/>
      <c r="H23" s="442"/>
      <c r="I23" s="443"/>
      <c r="J23" s="456"/>
      <c r="K23" s="456"/>
      <c r="L23" s="456"/>
      <c r="M23" s="456"/>
      <c r="N23" s="456"/>
    </row>
    <row r="24" spans="2:15" ht="7.5" customHeight="1">
      <c r="B24" s="328"/>
      <c r="C24" s="328"/>
      <c r="D24" s="312"/>
      <c r="E24" s="327"/>
      <c r="F24" s="327"/>
      <c r="G24" s="312"/>
      <c r="H24" s="312"/>
      <c r="I24" s="312"/>
      <c r="J24" s="326"/>
      <c r="K24" s="326"/>
      <c r="L24" s="326"/>
      <c r="M24" s="326"/>
      <c r="N24" s="326"/>
    </row>
    <row r="25" spans="2:15" ht="17.25" customHeight="1">
      <c r="B25" s="387" t="s">
        <v>125</v>
      </c>
      <c r="C25" s="387"/>
      <c r="D25" s="387"/>
      <c r="E25" s="387"/>
      <c r="F25" s="387"/>
      <c r="G25" s="387"/>
      <c r="H25" s="387"/>
      <c r="I25" s="387"/>
      <c r="J25" s="326"/>
      <c r="K25" s="326"/>
      <c r="L25" s="326"/>
      <c r="M25" s="326"/>
      <c r="N25" s="326"/>
    </row>
    <row r="26" spans="2:15" ht="21" customHeight="1">
      <c r="B26" s="319"/>
      <c r="C26" s="458" t="s">
        <v>126</v>
      </c>
      <c r="D26" s="459"/>
      <c r="E26" s="459"/>
      <c r="F26" s="459"/>
      <c r="G26" s="460">
        <v>0.97499999999999998</v>
      </c>
      <c r="H26" s="460"/>
      <c r="I26" s="325" t="s">
        <v>127</v>
      </c>
      <c r="J26" s="273">
        <f>H22</f>
        <v>0</v>
      </c>
      <c r="K26" s="273" t="s">
        <v>62</v>
      </c>
      <c r="L26" s="461">
        <f>G26*J26</f>
        <v>0</v>
      </c>
      <c r="M26" s="462"/>
      <c r="N26" s="274" t="s">
        <v>128</v>
      </c>
    </row>
    <row r="27" spans="2:15" ht="5.25" customHeight="1">
      <c r="B27" s="319"/>
      <c r="C27" s="275"/>
      <c r="D27" s="275"/>
      <c r="E27" s="275"/>
      <c r="F27" s="275"/>
      <c r="G27" s="275"/>
      <c r="H27" s="276"/>
      <c r="I27" s="276"/>
      <c r="J27" s="276"/>
      <c r="K27" s="276"/>
      <c r="L27" s="277"/>
      <c r="M27" s="277"/>
      <c r="N27" s="326"/>
    </row>
    <row r="28" spans="2:15" ht="21" customHeight="1">
      <c r="B28" s="319"/>
      <c r="C28" s="458" t="s">
        <v>129</v>
      </c>
      <c r="D28" s="459"/>
      <c r="E28" s="459"/>
      <c r="F28" s="459"/>
      <c r="G28" s="460">
        <v>1.024</v>
      </c>
      <c r="H28" s="460"/>
      <c r="I28" s="325" t="s">
        <v>127</v>
      </c>
      <c r="J28" s="273">
        <f>H22</f>
        <v>0</v>
      </c>
      <c r="K28" s="273" t="s">
        <v>62</v>
      </c>
      <c r="L28" s="461">
        <f>G28*J28</f>
        <v>0</v>
      </c>
      <c r="M28" s="462"/>
      <c r="N28" s="274" t="s">
        <v>128</v>
      </c>
    </row>
    <row r="29" spans="2:15" ht="10.5" customHeight="1" thickBot="1">
      <c r="B29" s="310"/>
      <c r="C29" s="310"/>
      <c r="D29" s="310"/>
      <c r="E29" s="310"/>
      <c r="F29" s="310"/>
      <c r="G29" s="310"/>
      <c r="H29" s="310"/>
      <c r="I29" s="310"/>
      <c r="J29" s="310"/>
      <c r="K29" s="310"/>
      <c r="L29" s="310"/>
      <c r="M29" s="310"/>
      <c r="N29" s="310"/>
    </row>
    <row r="30" spans="2:15" ht="18.600000000000001" thickBot="1">
      <c r="B30" s="310"/>
      <c r="C30" s="245"/>
      <c r="D30" s="417" t="s">
        <v>85</v>
      </c>
      <c r="E30" s="365"/>
      <c r="F30" s="366" t="s">
        <v>86</v>
      </c>
      <c r="G30" s="365"/>
      <c r="H30" s="366" t="s">
        <v>87</v>
      </c>
      <c r="I30" s="365"/>
      <c r="J30" s="366" t="s">
        <v>88</v>
      </c>
      <c r="K30" s="364"/>
      <c r="L30" s="463"/>
      <c r="M30" s="308"/>
      <c r="N30" s="308"/>
      <c r="O30" s="226"/>
    </row>
    <row r="31" spans="2:15" ht="27" customHeight="1">
      <c r="B31" s="310"/>
      <c r="C31" s="247" t="s">
        <v>130</v>
      </c>
      <c r="D31" s="464"/>
      <c r="E31" s="465"/>
      <c r="F31" s="466"/>
      <c r="G31" s="465"/>
      <c r="H31" s="466"/>
      <c r="I31" s="465"/>
      <c r="J31" s="466"/>
      <c r="K31" s="467"/>
      <c r="L31" s="468"/>
      <c r="M31" s="254" t="s">
        <v>131</v>
      </c>
      <c r="N31" s="278"/>
      <c r="O31" s="226"/>
    </row>
    <row r="32" spans="2:15" ht="27" customHeight="1" thickBot="1">
      <c r="B32" s="310"/>
      <c r="C32" s="250" t="s">
        <v>132</v>
      </c>
      <c r="D32" s="469">
        <f>I9</f>
        <v>0</v>
      </c>
      <c r="E32" s="470"/>
      <c r="F32" s="471">
        <f>I9</f>
        <v>0</v>
      </c>
      <c r="G32" s="470"/>
      <c r="H32" s="471">
        <f>I9</f>
        <v>0</v>
      </c>
      <c r="I32" s="470"/>
      <c r="J32" s="471">
        <f>I9</f>
        <v>0</v>
      </c>
      <c r="K32" s="472"/>
      <c r="L32" s="473"/>
      <c r="M32" s="308"/>
      <c r="N32" s="308"/>
      <c r="O32" s="226"/>
    </row>
    <row r="33" spans="3:19" ht="27" customHeight="1">
      <c r="C33" s="279" t="s">
        <v>133</v>
      </c>
      <c r="D33" s="474"/>
      <c r="E33" s="475"/>
      <c r="F33" s="476"/>
      <c r="G33" s="475"/>
      <c r="H33" s="477"/>
      <c r="I33" s="478"/>
      <c r="J33" s="477"/>
      <c r="K33" s="479"/>
      <c r="L33" s="480"/>
      <c r="M33" s="328"/>
      <c r="N33" s="228"/>
      <c r="O33" s="226"/>
    </row>
    <row r="34" spans="3:19" ht="27" customHeight="1">
      <c r="C34" s="280" t="s">
        <v>96</v>
      </c>
      <c r="D34" s="484"/>
      <c r="E34" s="485"/>
      <c r="F34" s="486"/>
      <c r="G34" s="485"/>
      <c r="H34" s="486"/>
      <c r="I34" s="485"/>
      <c r="J34" s="486"/>
      <c r="K34" s="487"/>
      <c r="L34" s="488"/>
      <c r="M34" s="328"/>
      <c r="N34" s="228"/>
      <c r="O34" s="226"/>
      <c r="S34" s="281"/>
    </row>
    <row r="35" spans="3:19" ht="27" customHeight="1" thickBot="1">
      <c r="C35" s="282" t="s">
        <v>134</v>
      </c>
      <c r="D35" s="489">
        <f>D33-D34</f>
        <v>0</v>
      </c>
      <c r="E35" s="490"/>
      <c r="F35" s="491">
        <f>F33-F34</f>
        <v>0</v>
      </c>
      <c r="G35" s="491"/>
      <c r="H35" s="491">
        <f>H33-H34</f>
        <v>0</v>
      </c>
      <c r="I35" s="491"/>
      <c r="J35" s="491">
        <f>J33-J34</f>
        <v>0</v>
      </c>
      <c r="K35" s="491"/>
      <c r="L35" s="492"/>
      <c r="M35" s="308"/>
      <c r="N35" s="308"/>
      <c r="O35" s="226"/>
    </row>
    <row r="36" spans="3:19" ht="15" customHeight="1" thickBot="1">
      <c r="C36" s="183"/>
      <c r="D36" s="183"/>
      <c r="E36" s="228"/>
      <c r="F36" s="228"/>
      <c r="G36" s="228"/>
      <c r="H36" s="228"/>
      <c r="I36" s="228"/>
      <c r="J36" s="228"/>
      <c r="K36" s="228"/>
      <c r="L36" s="228"/>
      <c r="M36" s="228"/>
      <c r="N36" s="228"/>
      <c r="O36" s="226"/>
    </row>
    <row r="37" spans="3:19" ht="23.25" customHeight="1" thickTop="1" thickBot="1">
      <c r="C37" s="232" t="s">
        <v>135</v>
      </c>
      <c r="D37" s="481" t="str">
        <f>IF(J31="",IF(H31="",IF(F31="","need min # trials",F31),H31),J31)</f>
        <v>need min # trials</v>
      </c>
      <c r="E37" s="482"/>
      <c r="F37" s="483"/>
      <c r="G37" s="266" t="s">
        <v>136</v>
      </c>
      <c r="H37" s="228"/>
      <c r="I37" s="228"/>
      <c r="J37" s="228"/>
      <c r="K37" s="228"/>
      <c r="L37" s="228"/>
      <c r="M37" s="228"/>
      <c r="N37" s="228"/>
      <c r="O37" s="226"/>
    </row>
    <row r="38" spans="3:19" ht="24" customHeight="1" thickTop="1">
      <c r="C38" s="239" t="s">
        <v>44</v>
      </c>
      <c r="D38" s="310"/>
      <c r="E38" s="310"/>
      <c r="F38" s="330" t="s">
        <v>79</v>
      </c>
      <c r="G38" s="1016"/>
      <c r="H38" s="1016"/>
      <c r="I38" s="1016"/>
      <c r="J38" s="1016"/>
      <c r="K38" s="1016"/>
      <c r="L38" s="1016"/>
      <c r="M38" s="1016"/>
      <c r="N38" s="1016"/>
    </row>
    <row r="39" spans="3:19" s="222" customFormat="1"/>
    <row r="40" spans="3:19" s="222" customFormat="1"/>
    <row r="41" spans="3:19" s="222" customFormat="1"/>
    <row r="42" spans="3:19" s="222" customFormat="1"/>
    <row r="43" spans="3:19" s="222" customFormat="1"/>
    <row r="44" spans="3:19" s="222" customFormat="1"/>
    <row r="45" spans="3:19" s="222" customFormat="1"/>
    <row r="46" spans="3:19" s="222" customFormat="1"/>
    <row r="47" spans="3:19" s="222" customFormat="1"/>
    <row r="48" spans="3:19" s="222" customFormat="1"/>
    <row r="49" s="222" customFormat="1"/>
    <row r="50" s="222" customFormat="1"/>
    <row r="51" s="222" customFormat="1"/>
    <row r="52" s="222" customFormat="1"/>
    <row r="53" s="222" customFormat="1"/>
    <row r="54" s="222" customFormat="1"/>
    <row r="55" s="222" customFormat="1"/>
    <row r="56" s="222" customFormat="1"/>
    <row r="57" s="222" customFormat="1"/>
    <row r="58" s="222" customFormat="1"/>
    <row r="59" s="222" customFormat="1"/>
    <row r="60" s="222" customFormat="1"/>
    <row r="61" s="222" customFormat="1"/>
    <row r="62" s="222" customFormat="1"/>
    <row r="63" s="222" customFormat="1"/>
    <row r="64" s="222" customFormat="1"/>
    <row r="65" s="222" customFormat="1"/>
    <row r="66" s="222" customFormat="1"/>
    <row r="67" s="222" customFormat="1"/>
    <row r="68" s="222" customFormat="1"/>
    <row r="69" s="222" customFormat="1"/>
    <row r="70" s="222" customFormat="1"/>
    <row r="71" s="222" customFormat="1"/>
    <row r="72" s="222" customFormat="1"/>
    <row r="73" s="222" customFormat="1"/>
    <row r="74" s="222" customFormat="1"/>
    <row r="75" s="222" customFormat="1"/>
    <row r="76" s="222" customFormat="1"/>
    <row r="77" s="222" customFormat="1"/>
    <row r="78" s="222" customFormat="1"/>
    <row r="79" s="222" customFormat="1"/>
    <row r="80" s="222" customFormat="1"/>
    <row r="81" s="222" customFormat="1"/>
    <row r="82" s="222" customFormat="1"/>
    <row r="83" s="222" customFormat="1"/>
    <row r="84" s="222" customFormat="1"/>
    <row r="85" s="222" customFormat="1"/>
    <row r="86" s="222" customFormat="1"/>
    <row r="87" s="222" customFormat="1"/>
    <row r="88" s="222" customFormat="1"/>
    <row r="89" s="222" customFormat="1"/>
    <row r="90" s="222" customFormat="1"/>
    <row r="91" s="222" customFormat="1"/>
    <row r="92" s="222" customFormat="1"/>
    <row r="93" s="222" customFormat="1"/>
    <row r="94" s="222" customFormat="1"/>
    <row r="95" s="222" customFormat="1"/>
    <row r="96" s="222" customFormat="1"/>
    <row r="97" s="222" customFormat="1"/>
    <row r="98" s="222" customFormat="1"/>
    <row r="99" s="222" customFormat="1"/>
    <row r="100" s="222" customFormat="1"/>
    <row r="101" s="222" customFormat="1"/>
    <row r="102" s="222" customFormat="1"/>
    <row r="103" s="222" customFormat="1"/>
    <row r="104" s="222" customFormat="1"/>
    <row r="105" s="222" customFormat="1"/>
    <row r="106" s="222" customFormat="1"/>
    <row r="107" s="222" customFormat="1"/>
    <row r="108" s="222" customFormat="1"/>
    <row r="109" s="222" customFormat="1"/>
    <row r="110" s="222" customFormat="1"/>
    <row r="111" s="222" customFormat="1"/>
    <row r="112" s="222" customFormat="1"/>
    <row r="113" s="222" customFormat="1"/>
    <row r="114" s="222" customFormat="1"/>
    <row r="115" s="222" customFormat="1"/>
    <row r="116" s="222" customFormat="1"/>
    <row r="117" s="222" customFormat="1"/>
    <row r="118" s="222" customFormat="1"/>
    <row r="119" s="222" customFormat="1"/>
    <row r="120" s="222" customFormat="1"/>
    <row r="121" s="222" customFormat="1"/>
    <row r="122" s="222" customFormat="1"/>
    <row r="123" s="222" customFormat="1"/>
    <row r="124" s="222" customFormat="1"/>
    <row r="125" s="222" customFormat="1"/>
    <row r="126" s="222" customFormat="1"/>
    <row r="127" s="222" customFormat="1"/>
    <row r="128" s="222" customFormat="1"/>
    <row r="129" s="222" customFormat="1"/>
    <row r="130" s="222" customFormat="1"/>
    <row r="131" s="222" customFormat="1"/>
    <row r="132" s="222" customFormat="1"/>
    <row r="133" s="222" customFormat="1"/>
    <row r="134" s="222" customFormat="1"/>
    <row r="135" s="222" customFormat="1"/>
    <row r="136" s="222" customFormat="1"/>
    <row r="137" s="222" customFormat="1"/>
    <row r="138" s="222" customFormat="1"/>
    <row r="139" s="222" customFormat="1"/>
    <row r="140" s="222" customFormat="1"/>
    <row r="141" s="222" customFormat="1"/>
    <row r="142" s="222" customFormat="1"/>
    <row r="143" s="222" customFormat="1"/>
    <row r="144" s="222" customFormat="1"/>
    <row r="145" s="222" customFormat="1"/>
    <row r="146" s="222" customFormat="1"/>
    <row r="147" s="222" customFormat="1"/>
    <row r="148" s="222" customFormat="1"/>
    <row r="149" s="222" customFormat="1"/>
    <row r="150" s="222" customFormat="1"/>
    <row r="151" s="222" customFormat="1"/>
    <row r="152" s="222" customFormat="1"/>
    <row r="153" s="222" customFormat="1"/>
    <row r="154" s="222" customFormat="1"/>
    <row r="155" s="222" customFormat="1"/>
    <row r="156" s="222" customFormat="1"/>
    <row r="157" s="222" customFormat="1"/>
    <row r="158" s="222" customFormat="1"/>
    <row r="159" s="222" customFormat="1"/>
    <row r="160" s="222" customFormat="1"/>
    <row r="161" s="222" customFormat="1"/>
    <row r="162" s="222" customFormat="1"/>
    <row r="163" s="222" customFormat="1"/>
    <row r="164" s="222" customFormat="1"/>
    <row r="165" s="222" customFormat="1"/>
    <row r="166" s="222" customFormat="1"/>
    <row r="167" s="222" customFormat="1"/>
    <row r="168" s="222" customFormat="1"/>
    <row r="169" s="222" customFormat="1"/>
    <row r="170" s="222" customFormat="1"/>
    <row r="171" s="222" customFormat="1"/>
    <row r="172" s="222" customFormat="1"/>
    <row r="173" s="222" customFormat="1"/>
    <row r="174" s="222" customFormat="1"/>
    <row r="175" s="222" customFormat="1"/>
    <row r="176" s="222" customFormat="1"/>
    <row r="177" s="222" customFormat="1"/>
    <row r="178" s="222" customFormat="1"/>
    <row r="179" s="222" customFormat="1"/>
    <row r="180" s="222" customFormat="1"/>
    <row r="181" s="222" customFormat="1"/>
    <row r="182" s="222" customFormat="1"/>
    <row r="183" s="222" customFormat="1"/>
    <row r="184" s="222" customFormat="1"/>
    <row r="185" s="222" customFormat="1"/>
    <row r="186" s="222" customFormat="1"/>
    <row r="187" s="222" customFormat="1"/>
    <row r="188" s="222" customFormat="1"/>
    <row r="189" s="222" customFormat="1"/>
    <row r="190" s="222" customFormat="1"/>
    <row r="191" s="222" customFormat="1"/>
    <row r="192" s="222" customFormat="1"/>
    <row r="193" s="222" customFormat="1"/>
    <row r="194" s="222" customFormat="1"/>
    <row r="195" s="222" customFormat="1"/>
    <row r="196" s="222" customFormat="1"/>
    <row r="197" s="222" customFormat="1"/>
  </sheetData>
  <sheetProtection password="BC24" sheet="1" objects="1" scenarios="1"/>
  <mergeCells count="67">
    <mergeCell ref="D37:F37"/>
    <mergeCell ref="G38:N38"/>
    <mergeCell ref="D34:E34"/>
    <mergeCell ref="F34:G34"/>
    <mergeCell ref="H34:I34"/>
    <mergeCell ref="J34:L34"/>
    <mergeCell ref="D35:E35"/>
    <mergeCell ref="F35:G35"/>
    <mergeCell ref="H35:I35"/>
    <mergeCell ref="J35:L35"/>
    <mergeCell ref="D32:E32"/>
    <mergeCell ref="F32:G32"/>
    <mergeCell ref="H32:I32"/>
    <mergeCell ref="J32:L32"/>
    <mergeCell ref="D33:E33"/>
    <mergeCell ref="F33:G33"/>
    <mergeCell ref="H33:I33"/>
    <mergeCell ref="J33:L33"/>
    <mergeCell ref="D30:E30"/>
    <mergeCell ref="F30:G30"/>
    <mergeCell ref="H30:I30"/>
    <mergeCell ref="J30:L30"/>
    <mergeCell ref="D31:E31"/>
    <mergeCell ref="F31:G31"/>
    <mergeCell ref="H31:I31"/>
    <mergeCell ref="J31:L31"/>
    <mergeCell ref="B25:I25"/>
    <mergeCell ref="C26:F26"/>
    <mergeCell ref="G26:H26"/>
    <mergeCell ref="L26:M26"/>
    <mergeCell ref="C28:F28"/>
    <mergeCell ref="G28:H28"/>
    <mergeCell ref="L28:M28"/>
    <mergeCell ref="I20:J20"/>
    <mergeCell ref="K20:N20"/>
    <mergeCell ref="D22:D23"/>
    <mergeCell ref="E22:F22"/>
    <mergeCell ref="G22:G23"/>
    <mergeCell ref="H22:I23"/>
    <mergeCell ref="J22:N23"/>
    <mergeCell ref="E23:F23"/>
    <mergeCell ref="C11:F11"/>
    <mergeCell ref="B13:I13"/>
    <mergeCell ref="J13:L13"/>
    <mergeCell ref="M13:N13"/>
    <mergeCell ref="B15:I15"/>
    <mergeCell ref="B17:C17"/>
    <mergeCell ref="D17:D18"/>
    <mergeCell ref="H17:H18"/>
    <mergeCell ref="I17:J18"/>
    <mergeCell ref="K17:N18"/>
    <mergeCell ref="B18:C18"/>
    <mergeCell ref="B7:N7"/>
    <mergeCell ref="B8:N8"/>
    <mergeCell ref="D9:D10"/>
    <mergeCell ref="E9:F9"/>
    <mergeCell ref="G9:G10"/>
    <mergeCell ref="I9:J10"/>
    <mergeCell ref="K9:N10"/>
    <mergeCell ref="E10:F10"/>
    <mergeCell ref="A1:N1"/>
    <mergeCell ref="D2:G2"/>
    <mergeCell ref="H2:I2"/>
    <mergeCell ref="J2:N2"/>
    <mergeCell ref="D3:G3"/>
    <mergeCell ref="H3:I3"/>
    <mergeCell ref="J3:N3"/>
  </mergeCells>
  <pageMargins left="0.25" right="0.25" top="0.25" bottom="0.25" header="0" footer="0"/>
  <pageSetup scale="90" orientation="portrait" horizontalDpi="1200" verticalDpi="1200" r:id="rId1"/>
  <headerFooter>
    <oddHeader>&amp;RPage 4 of 6</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W197"/>
  <sheetViews>
    <sheetView zoomScale="90" zoomScaleNormal="90" zoomScaleSheetLayoutView="80" workbookViewId="0">
      <selection activeCell="J22" sqref="J22:N23"/>
    </sheetView>
  </sheetViews>
  <sheetFormatPr defaultColWidth="9.140625" defaultRowHeight="14.45"/>
  <cols>
    <col min="1" max="1" width="2.5703125" style="173" customWidth="1"/>
    <col min="2" max="2" width="1.85546875" style="173" customWidth="1"/>
    <col min="3" max="3" width="31.85546875" style="173" customWidth="1"/>
    <col min="4" max="4" width="4.5703125" style="173" customWidth="1"/>
    <col min="5" max="5" width="10.28515625" style="173" customWidth="1"/>
    <col min="6" max="6" width="6.140625" style="173" customWidth="1"/>
    <col min="7" max="7" width="6.5703125" style="173" customWidth="1"/>
    <col min="8" max="8" width="4.85546875" style="173" customWidth="1"/>
    <col min="9" max="9" width="8.7109375" style="173" customWidth="1"/>
    <col min="10" max="11" width="5.85546875" style="173" customWidth="1"/>
    <col min="12" max="12" width="5.5703125" style="173" customWidth="1"/>
    <col min="13" max="13" width="4.140625" style="173" customWidth="1"/>
    <col min="14" max="14" width="8" style="173" customWidth="1"/>
    <col min="15" max="75" width="9.140625" style="222"/>
    <col min="76" max="16384" width="9.140625" style="173"/>
  </cols>
  <sheetData>
    <row r="1" spans="1:14" ht="24.75" customHeight="1">
      <c r="A1" s="358" t="s">
        <v>0</v>
      </c>
      <c r="B1" s="358"/>
      <c r="C1" s="358"/>
      <c r="D1" s="358"/>
      <c r="E1" s="358"/>
      <c r="F1" s="358"/>
      <c r="G1" s="358"/>
      <c r="H1" s="358"/>
      <c r="I1" s="358"/>
      <c r="J1" s="358"/>
      <c r="K1" s="358"/>
      <c r="L1" s="358"/>
      <c r="M1" s="358"/>
      <c r="N1" s="358"/>
    </row>
    <row r="2" spans="1:14" ht="21.75" customHeight="1">
      <c r="A2" s="178"/>
      <c r="B2" s="178"/>
      <c r="C2" s="310" t="s">
        <v>6</v>
      </c>
      <c r="D2" s="396">
        <f>'Agg moisture (page 1)'!D9</f>
        <v>0</v>
      </c>
      <c r="E2" s="396"/>
      <c r="F2" s="396"/>
      <c r="G2" s="396"/>
      <c r="H2" s="493" t="s">
        <v>105</v>
      </c>
      <c r="I2" s="493"/>
      <c r="J2" s="359">
        <f>'Agg moisture (page 1)'!D5</f>
        <v>0</v>
      </c>
      <c r="K2" s="359"/>
      <c r="L2" s="359"/>
      <c r="M2" s="359"/>
      <c r="N2" s="359"/>
    </row>
    <row r="3" spans="1:14" ht="21" customHeight="1">
      <c r="A3" s="178"/>
      <c r="B3" s="178"/>
      <c r="C3" s="310" t="s">
        <v>106</v>
      </c>
      <c r="D3" s="396">
        <f>'Agg moisture (page 1)'!D10</f>
        <v>0</v>
      </c>
      <c r="E3" s="396"/>
      <c r="F3" s="396"/>
      <c r="G3" s="396"/>
      <c r="H3" s="493" t="s">
        <v>107</v>
      </c>
      <c r="I3" s="493"/>
      <c r="J3" s="360">
        <f>'Agg moisture (page 1)'!D6</f>
        <v>0</v>
      </c>
      <c r="K3" s="360"/>
      <c r="L3" s="360"/>
      <c r="M3" s="360"/>
      <c r="N3" s="360"/>
    </row>
    <row r="5" spans="1:14" ht="21">
      <c r="A5" s="223" t="s">
        <v>45</v>
      </c>
      <c r="B5" s="224" t="s">
        <v>137</v>
      </c>
      <c r="C5" s="310"/>
      <c r="D5" s="310"/>
      <c r="E5" s="310"/>
      <c r="F5" s="310"/>
      <c r="G5" s="310"/>
      <c r="H5" s="310"/>
      <c r="I5" s="310"/>
      <c r="J5" s="310"/>
      <c r="K5" s="310"/>
      <c r="L5" s="310"/>
      <c r="M5" s="310"/>
      <c r="N5" s="310"/>
    </row>
    <row r="6" spans="1:14" ht="11.25" customHeight="1">
      <c r="A6" s="310"/>
      <c r="B6" s="310"/>
      <c r="C6" s="310"/>
      <c r="D6" s="310"/>
      <c r="E6" s="310"/>
      <c r="F6" s="310"/>
      <c r="G6" s="310"/>
      <c r="H6" s="310"/>
      <c r="I6" s="310"/>
      <c r="J6" s="310"/>
      <c r="K6" s="310"/>
      <c r="L6" s="310"/>
      <c r="M6" s="310"/>
      <c r="N6" s="310"/>
    </row>
    <row r="7" spans="1:14" ht="95.25" customHeight="1">
      <c r="A7" s="310"/>
      <c r="B7" s="347" t="s">
        <v>138</v>
      </c>
      <c r="C7" s="347"/>
      <c r="D7" s="347"/>
      <c r="E7" s="347"/>
      <c r="F7" s="347"/>
      <c r="G7" s="347"/>
      <c r="H7" s="347"/>
      <c r="I7" s="347"/>
      <c r="J7" s="347"/>
      <c r="K7" s="347"/>
      <c r="L7" s="347"/>
      <c r="M7" s="347"/>
      <c r="N7" s="347"/>
    </row>
    <row r="8" spans="1:14" ht="21" customHeight="1">
      <c r="A8" s="310"/>
      <c r="B8" s="387" t="s">
        <v>110</v>
      </c>
      <c r="C8" s="387"/>
      <c r="D8" s="387"/>
      <c r="E8" s="387"/>
      <c r="F8" s="387"/>
      <c r="G8" s="387"/>
      <c r="H8" s="387"/>
      <c r="I8" s="387"/>
      <c r="J8" s="387"/>
      <c r="K8" s="387"/>
      <c r="L8" s="387"/>
      <c r="M8" s="387"/>
      <c r="N8" s="387"/>
    </row>
    <row r="9" spans="1:14" ht="15" customHeight="1">
      <c r="A9" s="310"/>
      <c r="B9" s="310"/>
      <c r="C9" s="234" t="s">
        <v>111</v>
      </c>
      <c r="D9" s="388" t="s">
        <v>62</v>
      </c>
      <c r="E9" s="439">
        <f>'Cement Calibration (Page 2)'!K32</f>
        <v>0</v>
      </c>
      <c r="F9" s="390"/>
      <c r="G9" s="388" t="s">
        <v>62</v>
      </c>
      <c r="H9" s="311"/>
      <c r="I9" s="440">
        <f>E9/2</f>
        <v>0</v>
      </c>
      <c r="J9" s="441"/>
      <c r="K9" s="393" t="s">
        <v>139</v>
      </c>
      <c r="L9" s="355"/>
      <c r="M9" s="355"/>
      <c r="N9" s="355"/>
    </row>
    <row r="10" spans="1:14" ht="15" customHeight="1">
      <c r="A10" s="310"/>
      <c r="B10" s="310"/>
      <c r="C10" s="328">
        <v>2</v>
      </c>
      <c r="D10" s="389"/>
      <c r="E10" s="394">
        <v>2</v>
      </c>
      <c r="F10" s="394"/>
      <c r="G10" s="389"/>
      <c r="H10" s="312"/>
      <c r="I10" s="442"/>
      <c r="J10" s="443"/>
      <c r="K10" s="393"/>
      <c r="L10" s="355"/>
      <c r="M10" s="355"/>
      <c r="N10" s="355"/>
    </row>
    <row r="11" spans="1:14" ht="19.5" customHeight="1">
      <c r="A11" s="310"/>
      <c r="B11" s="306"/>
      <c r="C11" s="446" t="s">
        <v>113</v>
      </c>
      <c r="D11" s="446"/>
      <c r="E11" s="446"/>
      <c r="F11" s="446"/>
      <c r="G11" s="306"/>
      <c r="H11" s="306"/>
      <c r="I11" s="306"/>
      <c r="J11" s="306"/>
      <c r="K11" s="306"/>
      <c r="L11" s="306"/>
      <c r="M11" s="306"/>
      <c r="N11" s="306"/>
    </row>
    <row r="12" spans="1:14" ht="11.25" customHeight="1">
      <c r="A12" s="310"/>
      <c r="B12" s="306"/>
      <c r="C12" s="306"/>
      <c r="D12" s="306"/>
      <c r="E12" s="306"/>
      <c r="F12" s="306"/>
      <c r="G12" s="306"/>
      <c r="H12" s="306"/>
      <c r="I12" s="306"/>
      <c r="J12" s="306"/>
      <c r="K12" s="306"/>
      <c r="L12" s="306"/>
      <c r="M12" s="306"/>
      <c r="N12" s="306"/>
    </row>
    <row r="13" spans="1:14" ht="27" customHeight="1">
      <c r="A13" s="310"/>
      <c r="B13" s="447" t="s">
        <v>140</v>
      </c>
      <c r="C13" s="447"/>
      <c r="D13" s="447"/>
      <c r="E13" s="447"/>
      <c r="F13" s="447"/>
      <c r="G13" s="447"/>
      <c r="H13" s="447"/>
      <c r="I13" s="447"/>
      <c r="J13" s="448">
        <f>IF('Agg moisture (page 1)'!H21="",'Agg moisture (page 1)'!G28,'Agg moisture (page 1)'!H28)</f>
        <v>0</v>
      </c>
      <c r="K13" s="449"/>
      <c r="L13" s="450"/>
      <c r="M13" s="451" t="s">
        <v>141</v>
      </c>
      <c r="N13" s="447"/>
    </row>
    <row r="14" spans="1:14" ht="13.5" customHeight="1">
      <c r="A14" s="310"/>
      <c r="B14" s="306"/>
      <c r="C14" s="306"/>
      <c r="D14" s="306"/>
      <c r="E14" s="306"/>
      <c r="F14" s="306"/>
      <c r="G14" s="306"/>
      <c r="H14" s="306"/>
      <c r="I14" s="306"/>
      <c r="J14" s="306"/>
      <c r="K14" s="306"/>
      <c r="L14" s="306"/>
      <c r="M14" s="306"/>
      <c r="N14" s="306"/>
    </row>
    <row r="15" spans="1:14" ht="19.5" customHeight="1">
      <c r="A15" s="310"/>
      <c r="B15" s="387" t="s">
        <v>142</v>
      </c>
      <c r="C15" s="387"/>
      <c r="D15" s="387"/>
      <c r="E15" s="387"/>
      <c r="F15" s="387"/>
      <c r="G15" s="387"/>
      <c r="H15" s="387"/>
      <c r="I15" s="387"/>
      <c r="J15" s="319"/>
      <c r="K15" s="319"/>
      <c r="L15" s="306"/>
      <c r="M15" s="306"/>
      <c r="N15" s="306"/>
    </row>
    <row r="16" spans="1:14" ht="14.25" customHeight="1">
      <c r="A16" s="310"/>
      <c r="B16" s="306"/>
      <c r="C16" s="306"/>
      <c r="D16" s="306"/>
      <c r="E16" s="306"/>
      <c r="F16" s="306"/>
      <c r="G16" s="306"/>
      <c r="H16" s="306"/>
      <c r="I16" s="306"/>
      <c r="J16" s="306"/>
      <c r="K16" s="306"/>
      <c r="L16" s="306"/>
      <c r="M16" s="306"/>
      <c r="N16" s="306"/>
    </row>
    <row r="17" spans="2:15" ht="15" customHeight="1">
      <c r="B17" s="444" t="s">
        <v>143</v>
      </c>
      <c r="C17" s="444"/>
      <c r="D17" s="388" t="s">
        <v>62</v>
      </c>
      <c r="E17" s="268">
        <f>'Agg moisture (page 1)'!E18/(1+'Agg moisture (page 1)'!G27/100)</f>
        <v>0</v>
      </c>
      <c r="F17" s="269" t="s">
        <v>118</v>
      </c>
      <c r="G17" s="270">
        <f>J13</f>
        <v>0</v>
      </c>
      <c r="H17" s="388" t="s">
        <v>62</v>
      </c>
      <c r="I17" s="440">
        <f>(E17*G17)/100</f>
        <v>0</v>
      </c>
      <c r="J17" s="441"/>
      <c r="K17" s="401" t="s">
        <v>144</v>
      </c>
      <c r="L17" s="400"/>
      <c r="M17" s="400"/>
      <c r="N17" s="400"/>
    </row>
    <row r="18" spans="2:15" ht="15" customHeight="1">
      <c r="B18" s="445">
        <v>100</v>
      </c>
      <c r="C18" s="445"/>
      <c r="D18" s="389"/>
      <c r="E18" s="266"/>
      <c r="F18" s="327">
        <v>100</v>
      </c>
      <c r="G18" s="266"/>
      <c r="H18" s="389"/>
      <c r="I18" s="442"/>
      <c r="J18" s="443"/>
      <c r="K18" s="401"/>
      <c r="L18" s="400"/>
      <c r="M18" s="400"/>
      <c r="N18" s="400"/>
    </row>
    <row r="19" spans="2:15" ht="15" customHeight="1">
      <c r="B19" s="328"/>
      <c r="C19" s="328"/>
      <c r="D19" s="312"/>
      <c r="E19" s="266"/>
      <c r="F19" s="327"/>
      <c r="G19" s="266"/>
      <c r="H19" s="312"/>
      <c r="I19" s="308"/>
      <c r="J19" s="308"/>
      <c r="K19" s="308"/>
      <c r="L19" s="310"/>
      <c r="M19" s="310"/>
      <c r="N19" s="315"/>
    </row>
    <row r="20" spans="2:15" ht="23.25" customHeight="1">
      <c r="B20" s="328"/>
      <c r="C20" s="315" t="s">
        <v>145</v>
      </c>
      <c r="D20" s="315"/>
      <c r="E20" s="270">
        <f>'Agg moisture (page 1)'!E18</f>
        <v>0</v>
      </c>
      <c r="F20" s="311" t="s">
        <v>121</v>
      </c>
      <c r="G20" s="270">
        <f>I17</f>
        <v>0</v>
      </c>
      <c r="H20" s="271"/>
      <c r="I20" s="452">
        <f>E20+G20</f>
        <v>0</v>
      </c>
      <c r="J20" s="453"/>
      <c r="K20" s="401" t="s">
        <v>146</v>
      </c>
      <c r="L20" s="400"/>
      <c r="M20" s="400"/>
      <c r="N20" s="400"/>
    </row>
    <row r="21" spans="2:15" ht="15" customHeight="1">
      <c r="B21" s="328"/>
      <c r="C21" s="328"/>
      <c r="D21" s="312"/>
      <c r="E21" s="266"/>
      <c r="F21" s="327"/>
      <c r="G21" s="266"/>
      <c r="H21" s="312"/>
      <c r="I21" s="308"/>
      <c r="J21" s="308"/>
      <c r="K21" s="308"/>
      <c r="L21" s="310"/>
      <c r="M21" s="310"/>
      <c r="N21" s="315"/>
    </row>
    <row r="22" spans="2:15" ht="12.75" customHeight="1">
      <c r="B22" s="328"/>
      <c r="C22" s="272" t="s">
        <v>147</v>
      </c>
      <c r="D22" s="388" t="s">
        <v>62</v>
      </c>
      <c r="E22" s="454">
        <f>I20</f>
        <v>0</v>
      </c>
      <c r="F22" s="455"/>
      <c r="G22" s="388" t="s">
        <v>62</v>
      </c>
      <c r="H22" s="440">
        <f>E22/14</f>
        <v>0</v>
      </c>
      <c r="I22" s="441"/>
      <c r="J22" s="456" t="s">
        <v>148</v>
      </c>
      <c r="K22" s="456"/>
      <c r="L22" s="456"/>
      <c r="M22" s="456"/>
      <c r="N22" s="456"/>
    </row>
    <row r="23" spans="2:15" ht="12.75" customHeight="1">
      <c r="B23" s="328"/>
      <c r="C23" s="328">
        <v>14</v>
      </c>
      <c r="D23" s="389"/>
      <c r="E23" s="457">
        <v>14</v>
      </c>
      <c r="F23" s="457"/>
      <c r="G23" s="389"/>
      <c r="H23" s="442"/>
      <c r="I23" s="443"/>
      <c r="J23" s="456"/>
      <c r="K23" s="456"/>
      <c r="L23" s="456"/>
      <c r="M23" s="456"/>
      <c r="N23" s="456"/>
    </row>
    <row r="24" spans="2:15" ht="7.5" customHeight="1">
      <c r="B24" s="328"/>
      <c r="C24" s="328"/>
      <c r="D24" s="312"/>
      <c r="E24" s="327"/>
      <c r="F24" s="327"/>
      <c r="G24" s="312"/>
      <c r="H24" s="312"/>
      <c r="I24" s="312"/>
      <c r="J24" s="326"/>
      <c r="K24" s="326"/>
      <c r="L24" s="326"/>
      <c r="M24" s="326"/>
      <c r="N24" s="326"/>
    </row>
    <row r="25" spans="2:15" ht="17.25" customHeight="1">
      <c r="B25" s="387" t="s">
        <v>149</v>
      </c>
      <c r="C25" s="387"/>
      <c r="D25" s="387"/>
      <c r="E25" s="387"/>
      <c r="F25" s="387"/>
      <c r="G25" s="387"/>
      <c r="H25" s="387"/>
      <c r="I25" s="387"/>
      <c r="J25" s="326"/>
      <c r="K25" s="326"/>
      <c r="L25" s="326"/>
      <c r="M25" s="326"/>
      <c r="N25" s="326"/>
    </row>
    <row r="26" spans="2:15" ht="21" customHeight="1">
      <c r="B26" s="319"/>
      <c r="C26" s="458" t="s">
        <v>150</v>
      </c>
      <c r="D26" s="459"/>
      <c r="E26" s="459"/>
      <c r="F26" s="459"/>
      <c r="G26" s="460">
        <v>0.97499999999999998</v>
      </c>
      <c r="H26" s="460"/>
      <c r="I26" s="325" t="s">
        <v>127</v>
      </c>
      <c r="J26" s="273">
        <f>H22</f>
        <v>0</v>
      </c>
      <c r="K26" s="273" t="s">
        <v>62</v>
      </c>
      <c r="L26" s="461">
        <f>G26*J26</f>
        <v>0</v>
      </c>
      <c r="M26" s="462"/>
      <c r="N26" s="274" t="s">
        <v>128</v>
      </c>
    </row>
    <row r="27" spans="2:15" ht="5.25" customHeight="1">
      <c r="B27" s="319"/>
      <c r="C27" s="275"/>
      <c r="D27" s="275"/>
      <c r="E27" s="275"/>
      <c r="F27" s="275"/>
      <c r="G27" s="275"/>
      <c r="H27" s="276"/>
      <c r="I27" s="276"/>
      <c r="J27" s="276"/>
      <c r="K27" s="276"/>
      <c r="L27" s="277"/>
      <c r="M27" s="277"/>
      <c r="N27" s="326"/>
    </row>
    <row r="28" spans="2:15" ht="21" customHeight="1">
      <c r="B28" s="319"/>
      <c r="C28" s="458" t="s">
        <v>151</v>
      </c>
      <c r="D28" s="459"/>
      <c r="E28" s="459"/>
      <c r="F28" s="459"/>
      <c r="G28" s="460">
        <v>1.024</v>
      </c>
      <c r="H28" s="460"/>
      <c r="I28" s="325" t="s">
        <v>127</v>
      </c>
      <c r="J28" s="273">
        <f>H22</f>
        <v>0</v>
      </c>
      <c r="K28" s="273" t="s">
        <v>62</v>
      </c>
      <c r="L28" s="461">
        <f>G28*J28</f>
        <v>0</v>
      </c>
      <c r="M28" s="462"/>
      <c r="N28" s="274" t="s">
        <v>128</v>
      </c>
    </row>
    <row r="29" spans="2:15" ht="10.5" customHeight="1" thickBot="1">
      <c r="B29" s="310"/>
      <c r="C29" s="310"/>
      <c r="D29" s="310"/>
      <c r="E29" s="310"/>
      <c r="F29" s="310"/>
      <c r="G29" s="310"/>
      <c r="H29" s="310"/>
      <c r="I29" s="310"/>
      <c r="J29" s="310"/>
      <c r="K29" s="310"/>
      <c r="L29" s="310"/>
      <c r="M29" s="310"/>
      <c r="N29" s="310"/>
    </row>
    <row r="30" spans="2:15" ht="18.600000000000001" thickBot="1">
      <c r="B30" s="310"/>
      <c r="C30" s="245"/>
      <c r="D30" s="417" t="s">
        <v>85</v>
      </c>
      <c r="E30" s="365"/>
      <c r="F30" s="366" t="s">
        <v>86</v>
      </c>
      <c r="G30" s="365"/>
      <c r="H30" s="366" t="s">
        <v>87</v>
      </c>
      <c r="I30" s="365"/>
      <c r="J30" s="366" t="s">
        <v>88</v>
      </c>
      <c r="K30" s="364"/>
      <c r="L30" s="463"/>
      <c r="M30" s="308"/>
      <c r="N30" s="308"/>
      <c r="O30" s="226"/>
    </row>
    <row r="31" spans="2:15" ht="27" customHeight="1">
      <c r="B31" s="310"/>
      <c r="C31" s="247" t="s">
        <v>152</v>
      </c>
      <c r="D31" s="464"/>
      <c r="E31" s="465"/>
      <c r="F31" s="466"/>
      <c r="G31" s="465"/>
      <c r="H31" s="466"/>
      <c r="I31" s="465"/>
      <c r="J31" s="466"/>
      <c r="K31" s="467"/>
      <c r="L31" s="468"/>
      <c r="M31" s="254" t="s">
        <v>153</v>
      </c>
      <c r="N31" s="278"/>
      <c r="O31" s="226"/>
    </row>
    <row r="32" spans="2:15" ht="27" customHeight="1" thickBot="1">
      <c r="B32" s="310"/>
      <c r="C32" s="250" t="s">
        <v>154</v>
      </c>
      <c r="D32" s="469">
        <f>I9</f>
        <v>0</v>
      </c>
      <c r="E32" s="470"/>
      <c r="F32" s="471">
        <f>I9</f>
        <v>0</v>
      </c>
      <c r="G32" s="470"/>
      <c r="H32" s="471">
        <f>I9</f>
        <v>0</v>
      </c>
      <c r="I32" s="470"/>
      <c r="J32" s="471">
        <f>I9</f>
        <v>0</v>
      </c>
      <c r="K32" s="472"/>
      <c r="L32" s="473"/>
      <c r="M32" s="308"/>
      <c r="N32" s="308"/>
      <c r="O32" s="226"/>
    </row>
    <row r="33" spans="3:19" ht="27" customHeight="1">
      <c r="C33" s="279" t="s">
        <v>155</v>
      </c>
      <c r="D33" s="474"/>
      <c r="E33" s="475"/>
      <c r="F33" s="476"/>
      <c r="G33" s="475"/>
      <c r="H33" s="477"/>
      <c r="I33" s="478"/>
      <c r="J33" s="477"/>
      <c r="K33" s="479"/>
      <c r="L33" s="480"/>
      <c r="M33" s="328"/>
      <c r="N33" s="228"/>
      <c r="O33" s="226"/>
    </row>
    <row r="34" spans="3:19" ht="27" customHeight="1">
      <c r="C34" s="280" t="s">
        <v>96</v>
      </c>
      <c r="D34" s="484"/>
      <c r="E34" s="485"/>
      <c r="F34" s="486"/>
      <c r="G34" s="485"/>
      <c r="H34" s="486"/>
      <c r="I34" s="485"/>
      <c r="J34" s="486"/>
      <c r="K34" s="487"/>
      <c r="L34" s="488"/>
      <c r="M34" s="328"/>
      <c r="N34" s="228"/>
      <c r="O34" s="226"/>
      <c r="S34" s="281"/>
    </row>
    <row r="35" spans="3:19" ht="27" customHeight="1" thickBot="1">
      <c r="C35" s="282" t="s">
        <v>156</v>
      </c>
      <c r="D35" s="489">
        <f>D33-D34</f>
        <v>0</v>
      </c>
      <c r="E35" s="490"/>
      <c r="F35" s="494">
        <f>F33-F34</f>
        <v>0</v>
      </c>
      <c r="G35" s="495"/>
      <c r="H35" s="490">
        <f>H33-H34</f>
        <v>0</v>
      </c>
      <c r="I35" s="490"/>
      <c r="J35" s="494">
        <f>J33-J34</f>
        <v>0</v>
      </c>
      <c r="K35" s="496"/>
      <c r="L35" s="497"/>
      <c r="M35" s="308"/>
      <c r="N35" s="308"/>
      <c r="O35" s="226"/>
    </row>
    <row r="36" spans="3:19" ht="15" customHeight="1" thickBot="1">
      <c r="C36" s="183"/>
      <c r="D36" s="183"/>
      <c r="E36" s="228"/>
      <c r="F36" s="228"/>
      <c r="G36" s="228"/>
      <c r="H36" s="228"/>
      <c r="I36" s="228"/>
      <c r="J36" s="228"/>
      <c r="K36" s="228"/>
      <c r="L36" s="228"/>
      <c r="M36" s="228"/>
      <c r="N36" s="228"/>
      <c r="O36" s="226"/>
    </row>
    <row r="37" spans="3:19" ht="23.25" customHeight="1" thickTop="1" thickBot="1">
      <c r="C37" s="232" t="s">
        <v>157</v>
      </c>
      <c r="D37" s="424" t="str">
        <f>IF(J31="",IF(H31="",IF(F31="","need min # trials",F31),H31),J31)</f>
        <v>need min # trials</v>
      </c>
      <c r="E37" s="425"/>
      <c r="F37" s="426"/>
      <c r="G37" s="266" t="s">
        <v>158</v>
      </c>
      <c r="H37" s="228"/>
      <c r="I37" s="228"/>
      <c r="J37" s="228"/>
      <c r="K37" s="228"/>
      <c r="L37" s="228"/>
      <c r="M37" s="228"/>
      <c r="N37" s="228"/>
      <c r="O37" s="226"/>
    </row>
    <row r="38" spans="3:19" ht="24" customHeight="1" thickTop="1">
      <c r="C38" s="239" t="s">
        <v>44</v>
      </c>
      <c r="D38" s="310"/>
      <c r="E38" s="310"/>
      <c r="F38" s="330" t="s">
        <v>79</v>
      </c>
      <c r="G38" s="1016"/>
      <c r="H38" s="1016"/>
      <c r="I38" s="1016"/>
      <c r="J38" s="1016"/>
      <c r="K38" s="1016"/>
      <c r="L38" s="1016"/>
      <c r="M38" s="1016"/>
      <c r="N38" s="1016"/>
    </row>
    <row r="39" spans="3:19" s="222" customFormat="1"/>
    <row r="40" spans="3:19" s="222" customFormat="1"/>
    <row r="41" spans="3:19" s="222" customFormat="1"/>
    <row r="42" spans="3:19" s="222" customFormat="1"/>
    <row r="43" spans="3:19" s="222" customFormat="1"/>
    <row r="44" spans="3:19" s="222" customFormat="1"/>
    <row r="45" spans="3:19" s="222" customFormat="1"/>
    <row r="46" spans="3:19" s="222" customFormat="1"/>
    <row r="47" spans="3:19" s="222" customFormat="1"/>
    <row r="48" spans="3:19" s="222" customFormat="1"/>
    <row r="49" s="222" customFormat="1"/>
    <row r="50" s="222" customFormat="1"/>
    <row r="51" s="222" customFormat="1"/>
    <row r="52" s="222" customFormat="1"/>
    <row r="53" s="222" customFormat="1"/>
    <row r="54" s="222" customFormat="1"/>
    <row r="55" s="222" customFormat="1"/>
    <row r="56" s="222" customFormat="1"/>
    <row r="57" s="222" customFormat="1"/>
    <row r="58" s="222" customFormat="1"/>
    <row r="59" s="222" customFormat="1"/>
    <row r="60" s="222" customFormat="1"/>
    <row r="61" s="222" customFormat="1"/>
    <row r="62" s="222" customFormat="1"/>
    <row r="63" s="222" customFormat="1"/>
    <row r="64" s="222" customFormat="1"/>
    <row r="65" s="222" customFormat="1"/>
    <row r="66" s="222" customFormat="1"/>
    <row r="67" s="222" customFormat="1"/>
    <row r="68" s="222" customFormat="1"/>
    <row r="69" s="222" customFormat="1"/>
    <row r="70" s="222" customFormat="1"/>
    <row r="71" s="222" customFormat="1"/>
    <row r="72" s="222" customFormat="1"/>
    <row r="73" s="222" customFormat="1"/>
    <row r="74" s="222" customFormat="1"/>
    <row r="75" s="222" customFormat="1"/>
    <row r="76" s="222" customFormat="1"/>
    <row r="77" s="222" customFormat="1"/>
    <row r="78" s="222" customFormat="1"/>
    <row r="79" s="222" customFormat="1"/>
    <row r="80" s="222" customFormat="1"/>
    <row r="81" s="222" customFormat="1"/>
    <row r="82" s="222" customFormat="1"/>
    <row r="83" s="222" customFormat="1"/>
    <row r="84" s="222" customFormat="1"/>
    <row r="85" s="222" customFormat="1"/>
    <row r="86" s="222" customFormat="1"/>
    <row r="87" s="222" customFormat="1"/>
    <row r="88" s="222" customFormat="1"/>
    <row r="89" s="222" customFormat="1"/>
    <row r="90" s="222" customFormat="1"/>
    <row r="91" s="222" customFormat="1"/>
    <row r="92" s="222" customFormat="1"/>
    <row r="93" s="222" customFormat="1"/>
    <row r="94" s="222" customFormat="1"/>
    <row r="95" s="222" customFormat="1"/>
    <row r="96" s="222" customFormat="1"/>
    <row r="97" s="222" customFormat="1"/>
    <row r="98" s="222" customFormat="1"/>
    <row r="99" s="222" customFormat="1"/>
    <row r="100" s="222" customFormat="1"/>
    <row r="101" s="222" customFormat="1"/>
    <row r="102" s="222" customFormat="1"/>
    <row r="103" s="222" customFormat="1"/>
    <row r="104" s="222" customFormat="1"/>
    <row r="105" s="222" customFormat="1"/>
    <row r="106" s="222" customFormat="1"/>
    <row r="107" s="222" customFormat="1"/>
    <row r="108" s="222" customFormat="1"/>
    <row r="109" s="222" customFormat="1"/>
    <row r="110" s="222" customFormat="1"/>
    <row r="111" s="222" customFormat="1"/>
    <row r="112" s="222" customFormat="1"/>
    <row r="113" s="222" customFormat="1"/>
    <row r="114" s="222" customFormat="1"/>
    <row r="115" s="222" customFormat="1"/>
    <row r="116" s="222" customFormat="1"/>
    <row r="117" s="222" customFormat="1"/>
    <row r="118" s="222" customFormat="1"/>
    <row r="119" s="222" customFormat="1"/>
    <row r="120" s="222" customFormat="1"/>
    <row r="121" s="222" customFormat="1"/>
    <row r="122" s="222" customFormat="1"/>
    <row r="123" s="222" customFormat="1"/>
    <row r="124" s="222" customFormat="1"/>
    <row r="125" s="222" customFormat="1"/>
    <row r="126" s="222" customFormat="1"/>
    <row r="127" s="222" customFormat="1"/>
    <row r="128" s="222" customFormat="1"/>
    <row r="129" s="222" customFormat="1"/>
    <row r="130" s="222" customFormat="1"/>
    <row r="131" s="222" customFormat="1"/>
    <row r="132" s="222" customFormat="1"/>
    <row r="133" s="222" customFormat="1"/>
    <row r="134" s="222" customFormat="1"/>
    <row r="135" s="222" customFormat="1"/>
    <row r="136" s="222" customFormat="1"/>
    <row r="137" s="222" customFormat="1"/>
    <row r="138" s="222" customFormat="1"/>
    <row r="139" s="222" customFormat="1"/>
    <row r="140" s="222" customFormat="1"/>
    <row r="141" s="222" customFormat="1"/>
    <row r="142" s="222" customFormat="1"/>
    <row r="143" s="222" customFormat="1"/>
    <row r="144" s="222" customFormat="1"/>
    <row r="145" s="222" customFormat="1"/>
    <row r="146" s="222" customFormat="1"/>
    <row r="147" s="222" customFormat="1"/>
    <row r="148" s="222" customFormat="1"/>
    <row r="149" s="222" customFormat="1"/>
    <row r="150" s="222" customFormat="1"/>
    <row r="151" s="222" customFormat="1"/>
    <row r="152" s="222" customFormat="1"/>
    <row r="153" s="222" customFormat="1"/>
    <row r="154" s="222" customFormat="1"/>
    <row r="155" s="222" customFormat="1"/>
    <row r="156" s="222" customFormat="1"/>
    <row r="157" s="222" customFormat="1"/>
    <row r="158" s="222" customFormat="1"/>
    <row r="159" s="222" customFormat="1"/>
    <row r="160" s="222" customFormat="1"/>
    <row r="161" s="222" customFormat="1"/>
    <row r="162" s="222" customFormat="1"/>
    <row r="163" s="222" customFormat="1"/>
    <row r="164" s="222" customFormat="1"/>
    <row r="165" s="222" customFormat="1"/>
    <row r="166" s="222" customFormat="1"/>
    <row r="167" s="222" customFormat="1"/>
    <row r="168" s="222" customFormat="1"/>
    <row r="169" s="222" customFormat="1"/>
    <row r="170" s="222" customFormat="1"/>
    <row r="171" s="222" customFormat="1"/>
    <row r="172" s="222" customFormat="1"/>
    <row r="173" s="222" customFormat="1"/>
    <row r="174" s="222" customFormat="1"/>
    <row r="175" s="222" customFormat="1"/>
    <row r="176" s="222" customFormat="1"/>
    <row r="177" s="222" customFormat="1"/>
    <row r="178" s="222" customFormat="1"/>
    <row r="179" s="222" customFormat="1"/>
    <row r="180" s="222" customFormat="1"/>
    <row r="181" s="222" customFormat="1"/>
    <row r="182" s="222" customFormat="1"/>
    <row r="183" s="222" customFormat="1"/>
    <row r="184" s="222" customFormat="1"/>
    <row r="185" s="222" customFormat="1"/>
    <row r="186" s="222" customFormat="1"/>
    <row r="187" s="222" customFormat="1"/>
    <row r="188" s="222" customFormat="1"/>
    <row r="189" s="222" customFormat="1"/>
    <row r="190" s="222" customFormat="1"/>
    <row r="191" s="222" customFormat="1"/>
    <row r="192" s="222" customFormat="1"/>
    <row r="193" s="222" customFormat="1"/>
    <row r="194" s="222" customFormat="1"/>
    <row r="195" s="222" customFormat="1"/>
    <row r="196" s="222" customFormat="1"/>
    <row r="197" s="222" customFormat="1"/>
  </sheetData>
  <sheetProtection password="BC24" sheet="1" objects="1" scenarios="1"/>
  <mergeCells count="67">
    <mergeCell ref="D37:F37"/>
    <mergeCell ref="G38:N38"/>
    <mergeCell ref="D34:E34"/>
    <mergeCell ref="F34:G34"/>
    <mergeCell ref="H34:I34"/>
    <mergeCell ref="J34:L34"/>
    <mergeCell ref="D35:E35"/>
    <mergeCell ref="F35:G35"/>
    <mergeCell ref="H35:I35"/>
    <mergeCell ref="J35:L35"/>
    <mergeCell ref="D32:E32"/>
    <mergeCell ref="F32:G32"/>
    <mergeCell ref="H32:I32"/>
    <mergeCell ref="J32:L32"/>
    <mergeCell ref="D33:E33"/>
    <mergeCell ref="F33:G33"/>
    <mergeCell ref="H33:I33"/>
    <mergeCell ref="J33:L33"/>
    <mergeCell ref="D30:E30"/>
    <mergeCell ref="F30:G30"/>
    <mergeCell ref="H30:I30"/>
    <mergeCell ref="J30:L30"/>
    <mergeCell ref="D31:E31"/>
    <mergeCell ref="F31:G31"/>
    <mergeCell ref="H31:I31"/>
    <mergeCell ref="J31:L31"/>
    <mergeCell ref="B25:I25"/>
    <mergeCell ref="C26:F26"/>
    <mergeCell ref="G26:H26"/>
    <mergeCell ref="L26:M26"/>
    <mergeCell ref="C28:F28"/>
    <mergeCell ref="G28:H28"/>
    <mergeCell ref="L28:M28"/>
    <mergeCell ref="I20:J20"/>
    <mergeCell ref="K20:N20"/>
    <mergeCell ref="D22:D23"/>
    <mergeCell ref="E22:F22"/>
    <mergeCell ref="G22:G23"/>
    <mergeCell ref="H22:I23"/>
    <mergeCell ref="J22:N23"/>
    <mergeCell ref="E23:F23"/>
    <mergeCell ref="C11:F11"/>
    <mergeCell ref="B13:I13"/>
    <mergeCell ref="J13:L13"/>
    <mergeCell ref="M13:N13"/>
    <mergeCell ref="B15:I15"/>
    <mergeCell ref="B17:C17"/>
    <mergeCell ref="D17:D18"/>
    <mergeCell ref="H17:H18"/>
    <mergeCell ref="I17:J18"/>
    <mergeCell ref="K17:N18"/>
    <mergeCell ref="B18:C18"/>
    <mergeCell ref="B7:N7"/>
    <mergeCell ref="B8:N8"/>
    <mergeCell ref="D9:D10"/>
    <mergeCell ref="E9:F9"/>
    <mergeCell ref="G9:G10"/>
    <mergeCell ref="I9:J10"/>
    <mergeCell ref="K9:N10"/>
    <mergeCell ref="E10:F10"/>
    <mergeCell ref="A1:N1"/>
    <mergeCell ref="D2:G2"/>
    <mergeCell ref="H2:I2"/>
    <mergeCell ref="J2:N2"/>
    <mergeCell ref="D3:G3"/>
    <mergeCell ref="H3:I3"/>
    <mergeCell ref="J3:N3"/>
  </mergeCells>
  <pageMargins left="0.25" right="0.25" top="0.25" bottom="0.25" header="0" footer="0"/>
  <pageSetup scale="90" orientation="portrait" horizontalDpi="1200" verticalDpi="1200" r:id="rId1"/>
  <headerFooter>
    <oddHeader>&amp;RPage 5 of 6</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159"/>
  <sheetViews>
    <sheetView zoomScaleNormal="100" zoomScaleSheetLayoutView="100" workbookViewId="0">
      <selection activeCell="K23" sqref="K23"/>
    </sheetView>
  </sheetViews>
  <sheetFormatPr defaultColWidth="9.140625" defaultRowHeight="14.45"/>
  <cols>
    <col min="1" max="1" width="2.5703125" style="173" customWidth="1"/>
    <col min="2" max="2" width="29.7109375" style="173" customWidth="1"/>
    <col min="3" max="3" width="7.28515625" style="173" customWidth="1"/>
    <col min="4" max="4" width="6.5703125" style="173" customWidth="1"/>
    <col min="5" max="5" width="6.140625" style="173" customWidth="1"/>
    <col min="6" max="6" width="3.85546875" style="173" customWidth="1"/>
    <col min="7" max="8" width="14" style="173" customWidth="1"/>
    <col min="9" max="9" width="11.5703125" style="173" customWidth="1"/>
    <col min="10" max="16384" width="9.140625" style="173"/>
  </cols>
  <sheetData>
    <row r="1" spans="1:34" ht="24.75" customHeight="1">
      <c r="A1" s="358" t="s">
        <v>0</v>
      </c>
      <c r="B1" s="358"/>
      <c r="C1" s="358"/>
      <c r="D1" s="358"/>
      <c r="E1" s="358"/>
      <c r="F1" s="358"/>
      <c r="G1" s="358"/>
      <c r="H1" s="358"/>
      <c r="I1" s="358"/>
      <c r="J1" s="310"/>
      <c r="K1" s="222"/>
      <c r="L1" s="222"/>
      <c r="M1" s="222"/>
      <c r="N1" s="222"/>
      <c r="O1" s="222"/>
      <c r="P1" s="222"/>
      <c r="Q1" s="222"/>
      <c r="R1" s="222"/>
      <c r="S1" s="222"/>
      <c r="T1" s="222"/>
      <c r="U1" s="222"/>
      <c r="V1" s="222"/>
      <c r="W1" s="222"/>
      <c r="X1" s="222"/>
      <c r="Y1" s="222"/>
      <c r="Z1" s="222"/>
      <c r="AA1" s="222"/>
      <c r="AB1" s="222"/>
      <c r="AC1" s="222"/>
      <c r="AD1" s="222"/>
      <c r="AE1" s="222"/>
      <c r="AF1" s="222"/>
      <c r="AG1" s="222"/>
      <c r="AH1" s="222"/>
    </row>
    <row r="2" spans="1:34" ht="36.75" customHeight="1">
      <c r="A2" s="178"/>
      <c r="B2" s="330" t="s">
        <v>6</v>
      </c>
      <c r="C2" s="396">
        <f>'Agg moisture (page 1)'!D9</f>
        <v>0</v>
      </c>
      <c r="D2" s="396"/>
      <c r="E2" s="396"/>
      <c r="F2" s="396"/>
      <c r="G2" s="493" t="s">
        <v>2</v>
      </c>
      <c r="H2" s="493"/>
      <c r="I2" s="359">
        <f>'Agg moisture (page 1)'!D5</f>
        <v>0</v>
      </c>
      <c r="J2" s="359"/>
      <c r="K2" s="222"/>
      <c r="L2" s="222"/>
      <c r="M2" s="222"/>
      <c r="N2" s="222"/>
      <c r="O2" s="222"/>
      <c r="P2" s="222"/>
      <c r="Q2" s="222"/>
      <c r="R2" s="222"/>
      <c r="S2" s="222"/>
      <c r="T2" s="222"/>
      <c r="U2" s="222"/>
      <c r="V2" s="222"/>
      <c r="W2" s="222"/>
      <c r="X2" s="222"/>
      <c r="Y2" s="222"/>
      <c r="Z2" s="222"/>
      <c r="AA2" s="222"/>
      <c r="AB2" s="222"/>
      <c r="AC2" s="222"/>
      <c r="AD2" s="222"/>
      <c r="AE2" s="222"/>
      <c r="AF2" s="222"/>
      <c r="AG2" s="222"/>
      <c r="AH2" s="222"/>
    </row>
    <row r="3" spans="1:34" ht="21" customHeight="1">
      <c r="A3" s="178"/>
      <c r="B3" s="330" t="s">
        <v>7</v>
      </c>
      <c r="C3" s="396">
        <f>'Agg moisture (page 1)'!D10</f>
        <v>0</v>
      </c>
      <c r="D3" s="396"/>
      <c r="E3" s="396"/>
      <c r="F3" s="396"/>
      <c r="G3" s="493" t="s">
        <v>3</v>
      </c>
      <c r="H3" s="493"/>
      <c r="I3" s="360">
        <f>'Agg moisture (page 1)'!D6</f>
        <v>0</v>
      </c>
      <c r="J3" s="360"/>
      <c r="K3" s="222"/>
      <c r="L3" s="222"/>
      <c r="M3" s="222"/>
      <c r="N3" s="222"/>
      <c r="O3" s="222"/>
      <c r="P3" s="222"/>
      <c r="Q3" s="222"/>
      <c r="R3" s="222"/>
      <c r="S3" s="222"/>
      <c r="T3" s="222"/>
      <c r="U3" s="222"/>
      <c r="V3" s="222"/>
      <c r="W3" s="222"/>
      <c r="X3" s="222"/>
      <c r="Y3" s="222"/>
      <c r="Z3" s="222"/>
      <c r="AA3" s="222"/>
      <c r="AB3" s="222"/>
      <c r="AC3" s="222"/>
      <c r="AD3" s="222"/>
      <c r="AE3" s="222"/>
      <c r="AF3" s="222"/>
      <c r="AG3" s="222"/>
      <c r="AH3" s="222"/>
    </row>
    <row r="4" spans="1:34" ht="21" customHeight="1">
      <c r="A4" s="178"/>
      <c r="B4" s="310"/>
      <c r="C4" s="310"/>
      <c r="D4" s="310"/>
      <c r="E4" s="310"/>
      <c r="F4" s="310"/>
      <c r="G4" s="178"/>
      <c r="H4" s="310"/>
      <c r="I4" s="178"/>
      <c r="J4" s="310"/>
      <c r="K4" s="222"/>
      <c r="L4" s="222"/>
      <c r="M4" s="222"/>
      <c r="N4" s="222"/>
      <c r="O4" s="222"/>
      <c r="P4" s="222"/>
      <c r="Q4" s="222"/>
      <c r="R4" s="222"/>
      <c r="S4" s="222"/>
      <c r="T4" s="222"/>
      <c r="U4" s="222"/>
      <c r="V4" s="222"/>
      <c r="W4" s="222"/>
      <c r="X4" s="222"/>
      <c r="Y4" s="222"/>
      <c r="Z4" s="222"/>
      <c r="AA4" s="222"/>
      <c r="AB4" s="222"/>
      <c r="AC4" s="222"/>
      <c r="AD4" s="222"/>
      <c r="AE4" s="222"/>
      <c r="AF4" s="222"/>
      <c r="AG4" s="222"/>
      <c r="AH4" s="222"/>
    </row>
    <row r="5" spans="1:34" ht="21" customHeight="1" thickBot="1">
      <c r="A5" s="178"/>
      <c r="B5" s="310"/>
      <c r="C5" s="310"/>
      <c r="D5" s="310"/>
      <c r="E5" s="310"/>
      <c r="F5" s="310"/>
      <c r="G5" s="178"/>
      <c r="H5" s="310"/>
      <c r="I5" s="178"/>
      <c r="J5" s="310"/>
      <c r="K5" s="222"/>
      <c r="L5" s="222"/>
      <c r="M5" s="222"/>
      <c r="N5" s="222"/>
      <c r="O5" s="222"/>
      <c r="P5" s="222"/>
      <c r="Q5" s="222"/>
      <c r="R5" s="222"/>
      <c r="S5" s="222"/>
      <c r="T5" s="222"/>
      <c r="U5" s="222"/>
      <c r="V5" s="222"/>
      <c r="W5" s="222"/>
      <c r="X5" s="222"/>
      <c r="Y5" s="222"/>
      <c r="Z5" s="222"/>
      <c r="AA5" s="222"/>
      <c r="AB5" s="222"/>
      <c r="AC5" s="222"/>
      <c r="AD5" s="222"/>
      <c r="AE5" s="222"/>
      <c r="AF5" s="222"/>
      <c r="AG5" s="222"/>
      <c r="AH5" s="222"/>
    </row>
    <row r="6" spans="1:34" ht="21" customHeight="1" thickBot="1">
      <c r="A6" s="178"/>
      <c r="B6" s="265" t="s">
        <v>159</v>
      </c>
      <c r="C6" s="228" t="s">
        <v>160</v>
      </c>
      <c r="D6" s="310"/>
      <c r="E6" s="498">
        <f>'Cement Calibration (Page 2)'!K23</f>
        <v>0</v>
      </c>
      <c r="F6" s="499"/>
      <c r="G6" s="178"/>
      <c r="H6" s="310"/>
      <c r="I6" s="178"/>
      <c r="J6" s="310"/>
      <c r="K6" s="222"/>
      <c r="L6" s="222"/>
      <c r="M6" s="222"/>
      <c r="N6" s="222"/>
      <c r="O6" s="222"/>
      <c r="P6" s="222"/>
      <c r="Q6" s="222"/>
      <c r="R6" s="222"/>
      <c r="S6" s="222"/>
      <c r="T6" s="222"/>
      <c r="U6" s="222"/>
      <c r="V6" s="222"/>
      <c r="W6" s="222"/>
      <c r="X6" s="222"/>
      <c r="Y6" s="222"/>
      <c r="Z6" s="222"/>
      <c r="AA6" s="222"/>
      <c r="AB6" s="222"/>
      <c r="AC6" s="222"/>
      <c r="AD6" s="222"/>
      <c r="AE6" s="222"/>
      <c r="AF6" s="222"/>
      <c r="AG6" s="222"/>
      <c r="AH6" s="222"/>
    </row>
    <row r="7" spans="1:34" ht="21" customHeight="1" thickBot="1">
      <c r="A7" s="178"/>
      <c r="B7" s="265"/>
      <c r="C7" s="228"/>
      <c r="D7" s="310"/>
      <c r="E7" s="325"/>
      <c r="F7" s="325"/>
      <c r="G7" s="178"/>
      <c r="H7" s="310"/>
      <c r="I7" s="178"/>
      <c r="J7" s="310"/>
      <c r="K7" s="222"/>
      <c r="L7" s="222"/>
      <c r="M7" s="222"/>
      <c r="N7" s="222"/>
      <c r="O7" s="222"/>
      <c r="P7" s="222"/>
      <c r="Q7" s="222"/>
      <c r="R7" s="222"/>
      <c r="S7" s="222"/>
      <c r="T7" s="222"/>
      <c r="U7" s="222"/>
      <c r="V7" s="222"/>
      <c r="W7" s="222"/>
      <c r="X7" s="222"/>
      <c r="Y7" s="222"/>
      <c r="Z7" s="222"/>
      <c r="AA7" s="222"/>
      <c r="AB7" s="222"/>
      <c r="AC7" s="222"/>
      <c r="AD7" s="222"/>
      <c r="AE7" s="222"/>
      <c r="AF7" s="222"/>
      <c r="AG7" s="222"/>
      <c r="AH7" s="222"/>
    </row>
    <row r="8" spans="1:34" ht="21" customHeight="1" thickBot="1">
      <c r="A8" s="178"/>
      <c r="B8" s="265" t="s">
        <v>161</v>
      </c>
      <c r="C8" s="228" t="s">
        <v>162</v>
      </c>
      <c r="D8" s="310"/>
      <c r="E8" s="500" t="str">
        <f>'Latex Calibration (Page 3)'!H24</f>
        <v>need min # trials</v>
      </c>
      <c r="F8" s="499"/>
      <c r="G8" s="178"/>
      <c r="H8" s="310"/>
      <c r="I8" s="178"/>
      <c r="J8" s="310"/>
      <c r="K8" s="222"/>
      <c r="L8" s="222"/>
      <c r="M8" s="222"/>
      <c r="N8" s="222"/>
      <c r="O8" s="222"/>
      <c r="P8" s="222"/>
      <c r="Q8" s="222"/>
      <c r="R8" s="222"/>
      <c r="S8" s="222"/>
      <c r="T8" s="222"/>
      <c r="U8" s="222"/>
      <c r="V8" s="222"/>
      <c r="W8" s="222"/>
      <c r="X8" s="222"/>
      <c r="Y8" s="222"/>
      <c r="Z8" s="222"/>
      <c r="AA8" s="222"/>
      <c r="AB8" s="222"/>
      <c r="AC8" s="222"/>
      <c r="AD8" s="222"/>
      <c r="AE8" s="222"/>
      <c r="AF8" s="222"/>
      <c r="AG8" s="222"/>
      <c r="AH8" s="222"/>
    </row>
    <row r="9" spans="1:34" ht="21" customHeight="1" thickBot="1">
      <c r="A9" s="178"/>
      <c r="B9" s="265"/>
      <c r="C9" s="228"/>
      <c r="D9" s="310"/>
      <c r="E9" s="325"/>
      <c r="F9" s="325"/>
      <c r="G9" s="178"/>
      <c r="H9" s="310"/>
      <c r="I9" s="178"/>
      <c r="J9" s="310"/>
      <c r="K9" s="222"/>
      <c r="L9" s="222"/>
      <c r="M9" s="222"/>
      <c r="N9" s="222"/>
      <c r="O9" s="222"/>
      <c r="P9" s="222"/>
      <c r="Q9" s="222"/>
      <c r="R9" s="222"/>
      <c r="S9" s="222"/>
      <c r="T9" s="222"/>
      <c r="U9" s="222"/>
      <c r="V9" s="222"/>
      <c r="W9" s="222"/>
      <c r="X9" s="222"/>
      <c r="Y9" s="222"/>
      <c r="Z9" s="222"/>
      <c r="AA9" s="222"/>
      <c r="AB9" s="222"/>
      <c r="AC9" s="222"/>
      <c r="AD9" s="222"/>
      <c r="AE9" s="222"/>
      <c r="AF9" s="222"/>
      <c r="AG9" s="222"/>
      <c r="AH9" s="222"/>
    </row>
    <row r="10" spans="1:34" ht="21" customHeight="1" thickBot="1">
      <c r="A10" s="178"/>
      <c r="B10" s="265" t="s">
        <v>163</v>
      </c>
      <c r="C10" s="228" t="s">
        <v>164</v>
      </c>
      <c r="D10" s="310"/>
      <c r="E10" s="500" t="str">
        <f>'Sand Calibration (Page 4)'!D37</f>
        <v>need min # trials</v>
      </c>
      <c r="F10" s="499"/>
      <c r="G10" s="178"/>
      <c r="H10" s="310"/>
      <c r="I10" s="178"/>
      <c r="J10" s="310"/>
      <c r="K10" s="222"/>
      <c r="L10" s="222"/>
      <c r="M10" s="222"/>
      <c r="N10" s="222"/>
      <c r="O10" s="222"/>
      <c r="P10" s="222"/>
      <c r="Q10" s="222"/>
      <c r="R10" s="222"/>
      <c r="S10" s="222"/>
      <c r="T10" s="222"/>
      <c r="U10" s="222"/>
      <c r="V10" s="222"/>
      <c r="W10" s="222"/>
      <c r="X10" s="222"/>
      <c r="Y10" s="222"/>
      <c r="Z10" s="222"/>
      <c r="AA10" s="222"/>
      <c r="AB10" s="222"/>
      <c r="AC10" s="222"/>
      <c r="AD10" s="222"/>
      <c r="AE10" s="222"/>
      <c r="AF10" s="222"/>
      <c r="AG10" s="222"/>
      <c r="AH10" s="222"/>
    </row>
    <row r="11" spans="1:34" ht="21" customHeight="1" thickBot="1">
      <c r="A11" s="178"/>
      <c r="B11" s="265"/>
      <c r="C11" s="228"/>
      <c r="D11" s="310"/>
      <c r="E11" s="325"/>
      <c r="F11" s="325"/>
      <c r="G11" s="178"/>
      <c r="H11" s="310"/>
      <c r="I11" s="178"/>
      <c r="J11" s="310"/>
      <c r="K11" s="222"/>
      <c r="L11" s="222"/>
      <c r="M11" s="222"/>
      <c r="N11" s="222"/>
      <c r="O11" s="222"/>
      <c r="P11" s="222"/>
      <c r="Q11" s="222"/>
      <c r="R11" s="222"/>
      <c r="S11" s="222"/>
      <c r="T11" s="222"/>
      <c r="U11" s="222"/>
      <c r="V11" s="222"/>
      <c r="W11" s="222"/>
      <c r="X11" s="222"/>
      <c r="Y11" s="222"/>
      <c r="Z11" s="222"/>
      <c r="AA11" s="222"/>
      <c r="AB11" s="222"/>
      <c r="AC11" s="222"/>
      <c r="AD11" s="222"/>
      <c r="AE11" s="222"/>
      <c r="AF11" s="222"/>
      <c r="AG11" s="222"/>
      <c r="AH11" s="222"/>
    </row>
    <row r="12" spans="1:34" ht="21" customHeight="1" thickBot="1">
      <c r="A12" s="178"/>
      <c r="B12" s="265" t="s">
        <v>165</v>
      </c>
      <c r="C12" s="228" t="s">
        <v>166</v>
      </c>
      <c r="D12" s="310"/>
      <c r="E12" s="500" t="str">
        <f>'Stone Calibration (Page 5)'!D37</f>
        <v>need min # trials</v>
      </c>
      <c r="F12" s="499"/>
      <c r="G12" s="178"/>
      <c r="H12" s="310"/>
      <c r="I12" s="178"/>
      <c r="J12" s="310"/>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row>
    <row r="13" spans="1:34" ht="21" customHeight="1">
      <c r="A13" s="178"/>
      <c r="B13" s="310"/>
      <c r="C13" s="310"/>
      <c r="D13" s="310"/>
      <c r="E13" s="310"/>
      <c r="F13" s="310"/>
      <c r="G13" s="178"/>
      <c r="H13" s="310"/>
      <c r="I13" s="178"/>
      <c r="J13" s="310"/>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row>
    <row r="14" spans="1:34" ht="21" customHeight="1">
      <c r="A14" s="178"/>
      <c r="B14" s="310"/>
      <c r="C14" s="310"/>
      <c r="D14" s="310"/>
      <c r="E14" s="310"/>
      <c r="F14" s="310"/>
      <c r="G14" s="178"/>
      <c r="H14" s="310"/>
      <c r="I14" s="178"/>
      <c r="J14" s="310"/>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row>
    <row r="15" spans="1:34" ht="21" customHeight="1">
      <c r="A15" s="178"/>
      <c r="B15" s="310"/>
      <c r="C15" s="310"/>
      <c r="D15" s="310"/>
      <c r="E15" s="310"/>
      <c r="F15" s="310"/>
      <c r="G15" s="178"/>
      <c r="H15" s="310"/>
      <c r="I15" s="178"/>
      <c r="J15" s="310"/>
      <c r="K15" s="222"/>
      <c r="L15" s="222"/>
      <c r="M15" s="222"/>
      <c r="N15" s="222"/>
      <c r="O15" s="222"/>
      <c r="P15" s="222"/>
      <c r="Q15" s="222"/>
      <c r="R15" s="222"/>
      <c r="S15" s="222"/>
      <c r="T15" s="222"/>
      <c r="U15" s="222"/>
      <c r="V15" s="222"/>
      <c r="W15" s="222"/>
      <c r="X15" s="222"/>
      <c r="Y15" s="222"/>
      <c r="Z15" s="222"/>
      <c r="AA15" s="222"/>
      <c r="AB15" s="222"/>
      <c r="AC15" s="222"/>
      <c r="AD15" s="222"/>
      <c r="AE15" s="222"/>
      <c r="AF15" s="222"/>
      <c r="AG15" s="222"/>
      <c r="AH15" s="222"/>
    </row>
    <row r="16" spans="1:34" ht="21" customHeight="1">
      <c r="A16" s="178"/>
      <c r="B16" s="310"/>
      <c r="C16" s="310"/>
      <c r="D16" s="310"/>
      <c r="E16" s="310"/>
      <c r="F16" s="310"/>
      <c r="G16" s="178"/>
      <c r="H16" s="310"/>
      <c r="I16" s="178"/>
      <c r="J16" s="310"/>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row>
    <row r="17" spans="1:34" ht="21" customHeight="1">
      <c r="A17" s="178"/>
      <c r="B17" s="310"/>
      <c r="C17" s="310"/>
      <c r="D17" s="310"/>
      <c r="E17" s="310"/>
      <c r="F17" s="310"/>
      <c r="G17" s="178"/>
      <c r="H17" s="310"/>
      <c r="I17" s="178"/>
      <c r="J17" s="310"/>
      <c r="K17" s="222"/>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2"/>
    </row>
    <row r="18" spans="1:34" ht="21" customHeight="1">
      <c r="A18" s="178"/>
      <c r="B18" s="310"/>
      <c r="C18" s="310"/>
      <c r="D18" s="310"/>
      <c r="E18" s="310"/>
      <c r="F18" s="310"/>
      <c r="G18" s="178"/>
      <c r="H18" s="310"/>
      <c r="I18" s="178"/>
      <c r="J18" s="310"/>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row>
    <row r="19" spans="1:34" ht="21" customHeight="1">
      <c r="A19" s="178"/>
      <c r="B19" s="310"/>
      <c r="C19" s="310"/>
      <c r="D19" s="310"/>
      <c r="E19" s="310"/>
      <c r="F19" s="310"/>
      <c r="G19" s="178"/>
      <c r="H19" s="310"/>
      <c r="I19" s="178"/>
      <c r="J19" s="310"/>
      <c r="K19" s="222"/>
      <c r="L19" s="222"/>
      <c r="M19" s="222"/>
      <c r="N19" s="222"/>
      <c r="O19" s="222"/>
      <c r="P19" s="222"/>
      <c r="Q19" s="222"/>
      <c r="R19" s="222"/>
      <c r="S19" s="222"/>
      <c r="T19" s="222"/>
      <c r="U19" s="222"/>
      <c r="V19" s="222"/>
      <c r="W19" s="222"/>
      <c r="X19" s="222"/>
      <c r="Y19" s="222"/>
      <c r="Z19" s="222"/>
      <c r="AA19" s="222"/>
      <c r="AB19" s="222"/>
      <c r="AC19" s="222"/>
      <c r="AD19" s="222"/>
      <c r="AE19" s="222"/>
      <c r="AF19" s="222"/>
      <c r="AG19" s="222"/>
      <c r="AH19" s="222"/>
    </row>
    <row r="20" spans="1:34" ht="21" customHeight="1">
      <c r="A20" s="178"/>
      <c r="B20" s="310"/>
      <c r="C20" s="310"/>
      <c r="D20" s="310"/>
      <c r="E20" s="310"/>
      <c r="F20" s="310"/>
      <c r="G20" s="178"/>
      <c r="H20" s="310"/>
      <c r="I20" s="178"/>
      <c r="J20" s="310"/>
      <c r="K20" s="222"/>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2"/>
    </row>
    <row r="21" spans="1:34" ht="21" customHeight="1">
      <c r="A21" s="178"/>
      <c r="B21" s="310"/>
      <c r="C21" s="310"/>
      <c r="D21" s="310"/>
      <c r="E21" s="310"/>
      <c r="F21" s="310"/>
      <c r="G21" s="178"/>
      <c r="H21" s="310"/>
      <c r="I21" s="178"/>
      <c r="J21" s="310"/>
      <c r="K21" s="222"/>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row>
    <row r="22" spans="1:34" ht="1.5" customHeight="1">
      <c r="A22" s="310"/>
      <c r="B22" s="310"/>
      <c r="C22" s="310"/>
      <c r="D22" s="310"/>
      <c r="E22" s="310"/>
      <c r="F22" s="310"/>
      <c r="G22" s="310"/>
      <c r="H22" s="310"/>
      <c r="I22" s="310"/>
      <c r="J22" s="310"/>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row>
    <row r="23" spans="1:34" ht="20.100000000000001" customHeight="1">
      <c r="A23" s="310"/>
      <c r="B23" s="329" t="s">
        <v>78</v>
      </c>
      <c r="C23" s="1016"/>
      <c r="D23" s="1016"/>
      <c r="E23" s="1016"/>
      <c r="F23" s="1016"/>
      <c r="G23" s="1016"/>
      <c r="H23" s="1016"/>
      <c r="I23" s="1016"/>
      <c r="J23" s="1016"/>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row>
    <row r="24" spans="1:34" ht="20.100000000000001" customHeight="1">
      <c r="A24" s="310"/>
      <c r="B24" s="1016"/>
      <c r="C24" s="1016"/>
      <c r="D24" s="1016"/>
      <c r="E24" s="1016"/>
      <c r="F24" s="1016"/>
      <c r="G24" s="1016"/>
      <c r="H24" s="1016"/>
      <c r="I24" s="1016"/>
      <c r="J24" s="1016"/>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row>
    <row r="25" spans="1:34" ht="20.100000000000001" customHeight="1">
      <c r="A25" s="310"/>
      <c r="B25" s="1016"/>
      <c r="C25" s="1016"/>
      <c r="D25" s="1016"/>
      <c r="E25" s="1016"/>
      <c r="F25" s="1016"/>
      <c r="G25" s="1016"/>
      <c r="H25" s="1016"/>
      <c r="I25" s="1016"/>
      <c r="J25" s="1016"/>
      <c r="K25" s="222"/>
      <c r="L25" s="222"/>
      <c r="M25" s="222"/>
      <c r="N25" s="222"/>
      <c r="O25" s="222"/>
      <c r="P25" s="222"/>
      <c r="Q25" s="222"/>
      <c r="R25" s="222"/>
      <c r="S25" s="222"/>
      <c r="T25" s="222"/>
      <c r="U25" s="222"/>
      <c r="V25" s="222"/>
      <c r="W25" s="222"/>
      <c r="X25" s="222"/>
      <c r="Y25" s="222"/>
      <c r="Z25" s="222"/>
      <c r="AA25" s="222"/>
      <c r="AB25" s="222"/>
      <c r="AC25" s="222"/>
      <c r="AD25" s="222"/>
      <c r="AE25" s="222"/>
      <c r="AF25" s="222"/>
      <c r="AG25" s="222"/>
      <c r="AH25" s="222"/>
    </row>
    <row r="26" spans="1:34" ht="20.100000000000001" customHeight="1">
      <c r="A26" s="310"/>
      <c r="B26" s="1016"/>
      <c r="C26" s="1016"/>
      <c r="D26" s="1016"/>
      <c r="E26" s="1016"/>
      <c r="F26" s="1016"/>
      <c r="G26" s="1016"/>
      <c r="H26" s="1016"/>
      <c r="I26" s="1016"/>
      <c r="J26" s="1016"/>
      <c r="K26" s="222"/>
      <c r="L26" s="222"/>
      <c r="M26" s="222"/>
      <c r="N26" s="222"/>
      <c r="O26" s="222"/>
      <c r="P26" s="222"/>
      <c r="Q26" s="222"/>
      <c r="R26" s="222"/>
      <c r="S26" s="222"/>
      <c r="T26" s="222"/>
      <c r="U26" s="222"/>
      <c r="V26" s="222"/>
      <c r="W26" s="222"/>
      <c r="X26" s="222"/>
      <c r="Y26" s="222"/>
      <c r="Z26" s="222"/>
      <c r="AA26" s="222"/>
      <c r="AB26" s="222"/>
      <c r="AC26" s="222"/>
      <c r="AD26" s="222"/>
      <c r="AE26" s="222"/>
      <c r="AF26" s="222"/>
      <c r="AG26" s="222"/>
      <c r="AH26" s="222"/>
    </row>
    <row r="27" spans="1:34" ht="20.100000000000001" customHeight="1">
      <c r="A27" s="310"/>
      <c r="B27" s="1016"/>
      <c r="C27" s="1016"/>
      <c r="D27" s="1016"/>
      <c r="E27" s="1016"/>
      <c r="F27" s="1016"/>
      <c r="G27" s="1016"/>
      <c r="H27" s="1016"/>
      <c r="I27" s="1016"/>
      <c r="J27" s="1016"/>
      <c r="K27" s="222"/>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row>
    <row r="28" spans="1:34" ht="20.100000000000001" customHeight="1">
      <c r="A28" s="310"/>
      <c r="B28" s="1016"/>
      <c r="C28" s="1016"/>
      <c r="D28" s="1016"/>
      <c r="E28" s="1016"/>
      <c r="F28" s="1016"/>
      <c r="G28" s="1016"/>
      <c r="H28" s="1016"/>
      <c r="I28" s="1016"/>
      <c r="J28" s="1016"/>
      <c r="K28" s="222"/>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222"/>
    </row>
    <row r="29" spans="1:34" ht="20.100000000000001" customHeight="1">
      <c r="A29" s="310"/>
      <c r="B29" s="1016"/>
      <c r="C29" s="1016"/>
      <c r="D29" s="1016"/>
      <c r="E29" s="1016"/>
      <c r="F29" s="1016"/>
      <c r="G29" s="1016"/>
      <c r="H29" s="1016"/>
      <c r="I29" s="1016"/>
      <c r="J29" s="1016"/>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row>
    <row r="30" spans="1:34">
      <c r="A30" s="310"/>
      <c r="B30" s="310"/>
      <c r="C30" s="310"/>
      <c r="D30" s="310"/>
      <c r="E30" s="310"/>
      <c r="F30" s="310"/>
      <c r="G30" s="310"/>
      <c r="H30" s="310"/>
      <c r="I30" s="310"/>
      <c r="J30" s="310"/>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row>
    <row r="31" spans="1:34" ht="11.25" customHeight="1">
      <c r="A31" s="310"/>
      <c r="B31" s="310"/>
      <c r="C31" s="310"/>
      <c r="D31" s="310"/>
      <c r="E31" s="310"/>
      <c r="F31" s="310"/>
      <c r="G31" s="310"/>
      <c r="H31" s="310"/>
      <c r="I31" s="310"/>
      <c r="J31" s="310"/>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row>
    <row r="32" spans="1:34">
      <c r="A32" s="310"/>
      <c r="B32" s="310"/>
      <c r="C32" s="310"/>
      <c r="D32" s="310"/>
      <c r="E32" s="310"/>
      <c r="F32" s="310"/>
      <c r="G32" s="310"/>
      <c r="H32" s="310"/>
      <c r="I32" s="310"/>
      <c r="J32" s="310"/>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row>
    <row r="33" spans="2:34" ht="23.25" customHeight="1">
      <c r="B33" s="310"/>
      <c r="C33" s="310"/>
      <c r="D33" s="310"/>
      <c r="E33" s="310" t="s">
        <v>104</v>
      </c>
      <c r="F33" s="1016"/>
      <c r="G33" s="1016"/>
      <c r="H33" s="1016"/>
      <c r="I33" s="1016"/>
      <c r="J33" s="1016"/>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row>
    <row r="34" spans="2:34">
      <c r="B34" s="310"/>
      <c r="C34" s="310"/>
      <c r="D34" s="310"/>
      <c r="E34" s="310"/>
      <c r="F34" s="310"/>
      <c r="G34" s="310"/>
      <c r="H34" s="310"/>
      <c r="I34" s="310"/>
      <c r="J34" s="310"/>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row>
    <row r="35" spans="2:34">
      <c r="B35" s="310"/>
      <c r="C35" s="310"/>
      <c r="D35" s="310"/>
      <c r="E35" s="310"/>
      <c r="F35" s="310"/>
      <c r="G35" s="310"/>
      <c r="H35" s="310"/>
      <c r="I35" s="310"/>
      <c r="J35" s="310"/>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row>
    <row r="36" spans="2:34">
      <c r="B36" s="310"/>
      <c r="C36" s="310"/>
      <c r="D36" s="310"/>
      <c r="E36" s="310"/>
      <c r="F36" s="310"/>
      <c r="G36" s="310"/>
      <c r="H36" s="310"/>
      <c r="I36" s="310"/>
      <c r="J36" s="310"/>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row>
    <row r="37" spans="2:34">
      <c r="B37" s="310"/>
      <c r="C37" s="310"/>
      <c r="D37" s="310"/>
      <c r="E37" s="310"/>
      <c r="F37" s="310"/>
      <c r="G37" s="310"/>
      <c r="H37" s="310"/>
      <c r="I37" s="310"/>
      <c r="J37" s="310"/>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row>
    <row r="38" spans="2:34">
      <c r="B38" s="310"/>
      <c r="C38" s="310"/>
      <c r="D38" s="310"/>
      <c r="E38" s="310"/>
      <c r="F38" s="310"/>
      <c r="G38" s="310"/>
      <c r="H38" s="310"/>
      <c r="I38" s="310"/>
      <c r="J38" s="310"/>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row>
    <row r="39" spans="2:34">
      <c r="B39" s="310"/>
      <c r="C39" s="310"/>
      <c r="D39" s="310"/>
      <c r="E39" s="310"/>
      <c r="F39" s="310"/>
      <c r="G39" s="310"/>
      <c r="H39" s="310"/>
      <c r="I39" s="310"/>
      <c r="J39" s="310"/>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row>
    <row r="40" spans="2:34">
      <c r="B40" s="310"/>
      <c r="C40" s="310"/>
      <c r="D40" s="310"/>
      <c r="E40" s="310"/>
      <c r="F40" s="310"/>
      <c r="G40" s="310"/>
      <c r="H40" s="310"/>
      <c r="I40" s="310"/>
      <c r="J40" s="310"/>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row>
    <row r="41" spans="2:34">
      <c r="B41" s="239" t="s">
        <v>44</v>
      </c>
      <c r="C41" s="310"/>
      <c r="D41" s="310"/>
      <c r="E41" s="310"/>
      <c r="F41" s="310"/>
      <c r="G41" s="310"/>
      <c r="H41" s="310"/>
      <c r="I41" s="310"/>
      <c r="J41" s="310"/>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row>
    <row r="42" spans="2:34">
      <c r="B42" s="310"/>
      <c r="C42" s="310"/>
      <c r="D42" s="310"/>
      <c r="E42" s="310"/>
      <c r="F42" s="310"/>
      <c r="G42" s="310"/>
      <c r="H42" s="310"/>
      <c r="I42" s="310"/>
      <c r="J42" s="310"/>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row>
    <row r="43" spans="2:34" s="222" customFormat="1"/>
    <row r="44" spans="2:34" s="222" customFormat="1"/>
    <row r="45" spans="2:34" s="222" customFormat="1"/>
    <row r="46" spans="2:34" s="222" customFormat="1"/>
    <row r="47" spans="2:34" s="222" customFormat="1"/>
    <row r="48" spans="2:34" s="222" customFormat="1"/>
    <row r="49" s="222" customFormat="1"/>
    <row r="50" s="222" customFormat="1"/>
    <row r="51" s="222" customFormat="1"/>
    <row r="52" s="222" customFormat="1"/>
    <row r="53" s="222" customFormat="1"/>
    <row r="54" s="222" customFormat="1"/>
    <row r="55" s="222" customFormat="1"/>
    <row r="56" s="222" customFormat="1"/>
    <row r="57" s="222" customFormat="1"/>
    <row r="58" s="222" customFormat="1"/>
    <row r="59" s="222" customFormat="1"/>
    <row r="60" s="222" customFormat="1"/>
    <row r="61" s="222" customFormat="1"/>
    <row r="62" s="222" customFormat="1"/>
    <row r="63" s="222" customFormat="1"/>
    <row r="64" s="222" customFormat="1"/>
    <row r="65" s="222" customFormat="1"/>
    <row r="66" s="222" customFormat="1"/>
    <row r="67" s="222" customFormat="1"/>
    <row r="68" s="222" customFormat="1"/>
    <row r="69" s="222" customFormat="1"/>
    <row r="70" s="222" customFormat="1"/>
    <row r="71" s="222" customFormat="1"/>
    <row r="72" s="222" customFormat="1"/>
    <row r="73" s="222" customFormat="1"/>
    <row r="74" s="222" customFormat="1"/>
    <row r="75" s="222" customFormat="1"/>
    <row r="76" s="222" customFormat="1"/>
    <row r="77" s="222" customFormat="1"/>
    <row r="78" s="222" customFormat="1"/>
    <row r="79" s="222" customFormat="1"/>
    <row r="80" s="222" customFormat="1"/>
    <row r="81" s="222" customFormat="1"/>
    <row r="82" s="222" customFormat="1"/>
    <row r="83" s="222" customFormat="1"/>
    <row r="84" s="222" customFormat="1"/>
    <row r="85" s="222" customFormat="1"/>
    <row r="86" s="222" customFormat="1"/>
    <row r="87" s="222" customFormat="1"/>
    <row r="88" s="222" customFormat="1"/>
    <row r="89" s="222" customFormat="1"/>
    <row r="90" s="222" customFormat="1"/>
    <row r="91" s="222" customFormat="1"/>
    <row r="92" s="222" customFormat="1"/>
    <row r="93" s="222" customFormat="1"/>
    <row r="94" s="222" customFormat="1"/>
    <row r="95" s="222" customFormat="1"/>
    <row r="96" s="222" customFormat="1"/>
    <row r="97" s="222" customFormat="1"/>
    <row r="98" s="222" customFormat="1"/>
    <row r="99" s="222" customFormat="1"/>
    <row r="100" s="222" customFormat="1"/>
    <row r="101" s="222" customFormat="1"/>
    <row r="102" s="222" customFormat="1"/>
    <row r="103" s="222" customFormat="1"/>
    <row r="104" s="222" customFormat="1"/>
    <row r="105" s="222" customFormat="1"/>
    <row r="106" s="222" customFormat="1"/>
    <row r="107" s="222" customFormat="1"/>
    <row r="108" s="222" customFormat="1"/>
    <row r="109" s="222" customFormat="1"/>
    <row r="110" s="222" customFormat="1"/>
    <row r="111" s="222" customFormat="1"/>
    <row r="112" s="222" customFormat="1"/>
    <row r="113" s="222" customFormat="1"/>
    <row r="114" s="222" customFormat="1"/>
    <row r="115" s="222" customFormat="1"/>
    <row r="116" s="222" customFormat="1"/>
    <row r="117" s="222" customFormat="1"/>
    <row r="118" s="222" customFormat="1"/>
    <row r="119" s="222" customFormat="1"/>
    <row r="120" s="222" customFormat="1"/>
    <row r="121" s="222" customFormat="1"/>
    <row r="122" s="222" customFormat="1"/>
    <row r="123" s="222" customFormat="1"/>
    <row r="124" s="222" customFormat="1"/>
    <row r="125" s="222" customFormat="1"/>
    <row r="126" s="222" customFormat="1"/>
    <row r="127" s="222" customFormat="1"/>
    <row r="128" s="222" customFormat="1"/>
    <row r="129" s="222" customFormat="1"/>
    <row r="130" s="222" customFormat="1"/>
    <row r="131" s="222" customFormat="1"/>
    <row r="132" s="222" customFormat="1"/>
    <row r="133" s="222" customFormat="1"/>
    <row r="134" s="222" customFormat="1"/>
    <row r="135" s="222" customFormat="1"/>
    <row r="136" s="222" customFormat="1"/>
    <row r="137" s="222" customFormat="1"/>
    <row r="138" s="222" customFormat="1"/>
    <row r="139" s="222" customFormat="1"/>
    <row r="140" s="222" customFormat="1"/>
    <row r="141" s="222" customFormat="1"/>
    <row r="142" s="222" customFormat="1"/>
    <row r="143" s="222" customFormat="1"/>
    <row r="144" s="222" customFormat="1"/>
    <row r="145" spans="11:34" s="222" customFormat="1"/>
    <row r="146" spans="11:34" s="222" customFormat="1"/>
    <row r="147" spans="11:34" s="222" customFormat="1"/>
    <row r="148" spans="11:34" s="222" customFormat="1"/>
    <row r="149" spans="11:34" s="222" customFormat="1"/>
    <row r="150" spans="11:34" s="222" customFormat="1"/>
    <row r="151" spans="11:34" s="222" customFormat="1"/>
    <row r="152" spans="11:34">
      <c r="K152" s="222"/>
      <c r="L152" s="222"/>
      <c r="M152" s="222"/>
      <c r="N152" s="222"/>
      <c r="O152" s="222"/>
      <c r="P152" s="222"/>
      <c r="Q152" s="222"/>
      <c r="R152" s="222"/>
      <c r="S152" s="222"/>
      <c r="T152" s="222"/>
      <c r="U152" s="222"/>
      <c r="V152" s="222"/>
      <c r="W152" s="222"/>
      <c r="X152" s="222"/>
      <c r="Y152" s="222"/>
      <c r="Z152" s="222"/>
      <c r="AA152" s="222"/>
      <c r="AB152" s="222"/>
      <c r="AC152" s="222"/>
      <c r="AD152" s="222"/>
      <c r="AE152" s="222"/>
      <c r="AF152" s="222"/>
      <c r="AG152" s="222"/>
      <c r="AH152" s="222"/>
    </row>
    <row r="153" spans="11:34">
      <c r="K153" s="222"/>
      <c r="L153" s="222"/>
      <c r="M153" s="222"/>
      <c r="N153" s="222"/>
      <c r="O153" s="222"/>
      <c r="P153" s="222"/>
      <c r="Q153" s="222"/>
      <c r="R153" s="222"/>
      <c r="S153" s="222"/>
      <c r="T153" s="222"/>
      <c r="U153" s="222"/>
      <c r="V153" s="222"/>
      <c r="W153" s="222"/>
      <c r="X153" s="222"/>
      <c r="Y153" s="222"/>
      <c r="Z153" s="222"/>
      <c r="AA153" s="222"/>
      <c r="AB153" s="222"/>
      <c r="AC153" s="222"/>
      <c r="AD153" s="222"/>
      <c r="AE153" s="222"/>
      <c r="AF153" s="222"/>
      <c r="AG153" s="222"/>
      <c r="AH153" s="222"/>
    </row>
    <row r="154" spans="11:34">
      <c r="K154" s="222"/>
      <c r="L154" s="222"/>
      <c r="M154" s="222"/>
      <c r="N154" s="222"/>
      <c r="O154" s="222"/>
      <c r="P154" s="222"/>
      <c r="Q154" s="222"/>
      <c r="R154" s="222"/>
      <c r="S154" s="222"/>
      <c r="T154" s="222"/>
      <c r="U154" s="222"/>
      <c r="V154" s="222"/>
      <c r="W154" s="222"/>
      <c r="X154" s="222"/>
      <c r="Y154" s="222"/>
      <c r="Z154" s="222"/>
      <c r="AA154" s="222"/>
      <c r="AB154" s="222"/>
      <c r="AC154" s="222"/>
      <c r="AD154" s="222"/>
      <c r="AE154" s="222"/>
      <c r="AF154" s="222"/>
      <c r="AG154" s="222"/>
      <c r="AH154" s="222"/>
    </row>
    <row r="155" spans="11:34">
      <c r="K155" s="222"/>
      <c r="L155" s="222"/>
      <c r="M155" s="222"/>
      <c r="N155" s="222"/>
      <c r="O155" s="222"/>
      <c r="P155" s="222"/>
      <c r="Q155" s="222"/>
      <c r="R155" s="222"/>
      <c r="S155" s="222"/>
      <c r="T155" s="222"/>
      <c r="U155" s="222"/>
      <c r="V155" s="222"/>
      <c r="W155" s="222"/>
      <c r="X155" s="222"/>
      <c r="Y155" s="222"/>
      <c r="Z155" s="222"/>
      <c r="AA155" s="222"/>
      <c r="AB155" s="222"/>
      <c r="AC155" s="222"/>
      <c r="AD155" s="222"/>
      <c r="AE155" s="222"/>
      <c r="AF155" s="222"/>
      <c r="AG155" s="222"/>
      <c r="AH155" s="222"/>
    </row>
    <row r="156" spans="11:34">
      <c r="K156" s="222"/>
      <c r="L156" s="222"/>
      <c r="M156" s="222"/>
      <c r="N156" s="222"/>
      <c r="O156" s="222"/>
      <c r="P156" s="222"/>
      <c r="Q156" s="222"/>
      <c r="R156" s="222"/>
      <c r="S156" s="222"/>
      <c r="T156" s="222"/>
      <c r="U156" s="222"/>
      <c r="V156" s="222"/>
      <c r="W156" s="222"/>
      <c r="X156" s="222"/>
      <c r="Y156" s="222"/>
      <c r="Z156" s="222"/>
      <c r="AA156" s="222"/>
      <c r="AB156" s="222"/>
      <c r="AC156" s="222"/>
      <c r="AD156" s="222"/>
      <c r="AE156" s="222"/>
      <c r="AF156" s="222"/>
      <c r="AG156" s="222"/>
      <c r="AH156" s="222"/>
    </row>
    <row r="157" spans="11:34">
      <c r="K157" s="222"/>
      <c r="L157" s="222"/>
      <c r="M157" s="222"/>
      <c r="N157" s="222"/>
      <c r="O157" s="222"/>
      <c r="P157" s="222"/>
      <c r="Q157" s="222"/>
      <c r="R157" s="222"/>
      <c r="S157" s="222"/>
      <c r="T157" s="222"/>
      <c r="U157" s="222"/>
      <c r="V157" s="222"/>
      <c r="W157" s="222"/>
      <c r="X157" s="222"/>
      <c r="Y157" s="222"/>
      <c r="Z157" s="222"/>
      <c r="AA157" s="222"/>
      <c r="AB157" s="222"/>
      <c r="AC157" s="222"/>
      <c r="AD157" s="222"/>
      <c r="AE157" s="222"/>
      <c r="AF157" s="222"/>
      <c r="AG157" s="222"/>
      <c r="AH157" s="222"/>
    </row>
    <row r="158" spans="11:34">
      <c r="K158" s="222"/>
      <c r="L158" s="222"/>
      <c r="M158" s="222"/>
      <c r="N158" s="222"/>
      <c r="O158" s="222"/>
      <c r="P158" s="222"/>
      <c r="Q158" s="222"/>
      <c r="R158" s="222"/>
      <c r="S158" s="222"/>
      <c r="T158" s="222"/>
      <c r="U158" s="222"/>
      <c r="V158" s="222"/>
      <c r="W158" s="222"/>
      <c r="X158" s="222"/>
      <c r="Y158" s="222"/>
      <c r="Z158" s="222"/>
      <c r="AA158" s="222"/>
      <c r="AB158" s="222"/>
      <c r="AC158" s="222"/>
      <c r="AD158" s="222"/>
      <c r="AE158" s="222"/>
      <c r="AF158" s="222"/>
      <c r="AG158" s="222"/>
      <c r="AH158" s="222"/>
    </row>
    <row r="159" spans="11:34">
      <c r="K159" s="222"/>
      <c r="L159" s="222"/>
      <c r="M159" s="222"/>
      <c r="N159" s="222"/>
      <c r="O159" s="222"/>
      <c r="P159" s="222"/>
      <c r="Q159" s="222"/>
      <c r="R159" s="222"/>
      <c r="S159" s="222"/>
      <c r="T159" s="222"/>
      <c r="U159" s="222"/>
      <c r="V159" s="222"/>
      <c r="W159" s="222"/>
      <c r="X159" s="222"/>
      <c r="Y159" s="222"/>
      <c r="Z159" s="222"/>
      <c r="AA159" s="222"/>
      <c r="AB159" s="222"/>
      <c r="AC159" s="222"/>
      <c r="AD159" s="222"/>
      <c r="AE159" s="222"/>
      <c r="AF159" s="222"/>
      <c r="AG159" s="222"/>
      <c r="AH159" s="222"/>
    </row>
  </sheetData>
  <sheetProtection password="BC24" sheet="1" objects="1" scenarios="1"/>
  <mergeCells count="19">
    <mergeCell ref="F33:J33"/>
    <mergeCell ref="E6:F6"/>
    <mergeCell ref="E8:F8"/>
    <mergeCell ref="E10:F10"/>
    <mergeCell ref="E12:F12"/>
    <mergeCell ref="C23:J23"/>
    <mergeCell ref="B24:J24"/>
    <mergeCell ref="B25:J25"/>
    <mergeCell ref="B26:J26"/>
    <mergeCell ref="B27:J27"/>
    <mergeCell ref="B28:J28"/>
    <mergeCell ref="B29:J29"/>
    <mergeCell ref="A1:I1"/>
    <mergeCell ref="C2:F2"/>
    <mergeCell ref="G2:H2"/>
    <mergeCell ref="I2:J2"/>
    <mergeCell ref="C3:F3"/>
    <mergeCell ref="G3:H3"/>
    <mergeCell ref="I3:J3"/>
  </mergeCells>
  <pageMargins left="0.25" right="0.25" top="0.25" bottom="0.25" header="0" footer="0"/>
  <pageSetup scale="97" orientation="portrait" horizontalDpi="1200" verticalDpi="1200" r:id="rId1"/>
  <headerFooter>
    <oddHeader>&amp;RPage 6 of 6</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CN200"/>
  <sheetViews>
    <sheetView workbookViewId="0">
      <selection activeCell="A63" sqref="A63:AC63"/>
    </sheetView>
  </sheetViews>
  <sheetFormatPr defaultRowHeight="13.15"/>
  <cols>
    <col min="1" max="2" width="3.140625" customWidth="1"/>
    <col min="3" max="3" width="5.85546875" customWidth="1"/>
    <col min="4" max="4" width="3.140625" customWidth="1"/>
    <col min="5" max="5" width="3.42578125" customWidth="1"/>
    <col min="6" max="7" width="3.140625" customWidth="1"/>
    <col min="8" max="8" width="3.28515625" customWidth="1"/>
    <col min="9" max="9" width="2.42578125" customWidth="1"/>
    <col min="10" max="22" width="3.140625" customWidth="1"/>
    <col min="23" max="23" width="5.7109375" customWidth="1"/>
    <col min="24" max="24" width="1.28515625" hidden="1" customWidth="1"/>
    <col min="25" max="27" width="3.140625" customWidth="1"/>
    <col min="28" max="28" width="2.42578125" customWidth="1"/>
    <col min="29" max="29" width="5.5703125" customWidth="1"/>
    <col min="30" max="32" width="3.140625" style="155" customWidth="1"/>
    <col min="33" max="92" width="9.140625" style="155"/>
  </cols>
  <sheetData>
    <row r="1" spans="1:92" ht="20.45">
      <c r="A1" s="690" t="s">
        <v>167</v>
      </c>
      <c r="B1" s="690"/>
      <c r="C1" s="690"/>
      <c r="D1" s="690"/>
      <c r="E1" s="690"/>
      <c r="F1" s="690"/>
      <c r="G1" s="690"/>
      <c r="H1" s="690"/>
      <c r="I1" s="690"/>
      <c r="J1" s="690"/>
      <c r="K1" s="690"/>
      <c r="L1" s="690"/>
      <c r="M1" s="690"/>
      <c r="N1" s="690"/>
      <c r="O1" s="690"/>
      <c r="P1" s="690"/>
      <c r="Q1" s="690"/>
      <c r="R1" s="690"/>
      <c r="S1" s="690"/>
      <c r="T1" s="690"/>
      <c r="U1" s="690"/>
      <c r="V1" s="690"/>
      <c r="W1" s="690"/>
      <c r="X1" s="690"/>
      <c r="Y1" s="690"/>
      <c r="Z1" s="690"/>
      <c r="AA1" s="690"/>
      <c r="AB1" s="690"/>
      <c r="AC1" s="690"/>
    </row>
    <row r="2" spans="1:92">
      <c r="A2" t="s">
        <v>168</v>
      </c>
      <c r="C2" s="697"/>
      <c r="D2" s="659"/>
      <c r="E2" s="659"/>
      <c r="G2" t="s">
        <v>169</v>
      </c>
      <c r="J2" s="695">
        <f>'MIX DESIGN'!G5</f>
        <v>0</v>
      </c>
      <c r="K2" s="563"/>
      <c r="L2" s="563"/>
      <c r="M2" t="s">
        <v>170</v>
      </c>
      <c r="P2" s="695">
        <f>'MIX DESIGN'!G4</f>
        <v>0</v>
      </c>
      <c r="Q2" s="563"/>
      <c r="R2" s="563"/>
      <c r="S2" s="563"/>
      <c r="T2" s="563"/>
      <c r="U2" s="563"/>
      <c r="V2" s="563"/>
      <c r="W2" s="563"/>
      <c r="X2" s="563"/>
      <c r="Y2" s="563"/>
      <c r="Z2" s="563"/>
      <c r="AA2" s="563"/>
      <c r="AB2" s="563"/>
    </row>
    <row r="3" spans="1:92">
      <c r="A3" t="s">
        <v>171</v>
      </c>
      <c r="J3" s="579"/>
      <c r="K3" s="579"/>
      <c r="L3" s="579"/>
      <c r="M3" s="579"/>
      <c r="N3" s="579"/>
      <c r="O3" s="579"/>
      <c r="P3" s="579"/>
      <c r="Q3" s="579"/>
      <c r="R3" s="579"/>
      <c r="S3" s="579"/>
      <c r="T3" s="579"/>
      <c r="U3" s="579"/>
      <c r="V3" s="579"/>
      <c r="W3" s="579"/>
      <c r="X3" s="579"/>
      <c r="Y3" s="579"/>
      <c r="Z3" s="579"/>
      <c r="AA3" s="579"/>
      <c r="AB3" s="579"/>
    </row>
    <row r="4" spans="1:92">
      <c r="A4" t="s">
        <v>172</v>
      </c>
      <c r="F4" s="687">
        <f>'MIX DESIGN'!G7</f>
        <v>0</v>
      </c>
      <c r="G4" s="687"/>
      <c r="H4" s="687"/>
      <c r="I4" s="687"/>
      <c r="J4" s="687"/>
      <c r="K4" s="687"/>
      <c r="L4" s="687"/>
      <c r="M4" s="687"/>
    </row>
    <row r="5" spans="1:92">
      <c r="A5" s="143" t="s">
        <v>173</v>
      </c>
      <c r="W5" s="579"/>
      <c r="X5" s="579"/>
      <c r="Y5" s="579"/>
      <c r="Z5" s="579"/>
      <c r="AA5" s="579"/>
      <c r="AB5" s="579"/>
    </row>
    <row r="6" spans="1:92">
      <c r="A6" s="579"/>
      <c r="B6" s="579"/>
      <c r="C6" s="579"/>
      <c r="D6" s="579"/>
      <c r="E6" s="579"/>
      <c r="F6" s="579"/>
      <c r="G6" s="579"/>
      <c r="H6" s="579"/>
      <c r="I6" s="579"/>
      <c r="J6" s="579"/>
      <c r="K6" s="579"/>
      <c r="L6" s="579"/>
      <c r="M6" s="579"/>
      <c r="N6" s="579"/>
      <c r="O6" s="579"/>
      <c r="P6" s="579"/>
      <c r="Q6" s="579"/>
      <c r="R6" s="579"/>
      <c r="S6" s="579"/>
      <c r="T6" s="579"/>
      <c r="U6" s="579"/>
      <c r="V6" s="579"/>
      <c r="W6" s="579"/>
      <c r="X6" s="579"/>
      <c r="Y6" s="579"/>
      <c r="Z6" s="579"/>
      <c r="AA6" s="579"/>
      <c r="AB6" s="579"/>
    </row>
    <row r="7" spans="1:92">
      <c r="A7" t="s">
        <v>174</v>
      </c>
      <c r="P7" s="694"/>
      <c r="Q7" s="694"/>
      <c r="R7" s="694"/>
      <c r="S7" s="694"/>
      <c r="T7" s="694"/>
      <c r="U7" s="694"/>
      <c r="V7" s="694"/>
      <c r="W7" s="694"/>
      <c r="X7" s="694"/>
      <c r="Y7" s="694"/>
      <c r="Z7" s="694"/>
      <c r="AA7" s="694"/>
      <c r="AB7" s="694"/>
    </row>
    <row r="8" spans="1:92">
      <c r="A8" s="579"/>
      <c r="B8" s="579"/>
      <c r="C8" s="579"/>
      <c r="D8" s="579"/>
      <c r="E8" s="579"/>
      <c r="F8" s="579"/>
      <c r="G8" s="579"/>
      <c r="H8" s="579"/>
      <c r="I8" s="579"/>
      <c r="J8" s="579"/>
      <c r="K8" s="579"/>
      <c r="L8" s="579"/>
      <c r="M8" s="579"/>
      <c r="N8" s="579"/>
      <c r="O8" s="579"/>
      <c r="P8" s="579"/>
      <c r="Q8" s="579"/>
      <c r="R8" s="579"/>
      <c r="S8" s="579"/>
      <c r="T8" s="579"/>
      <c r="U8" s="579"/>
      <c r="V8" s="579"/>
      <c r="W8" s="579"/>
      <c r="X8" s="579"/>
      <c r="Y8" s="579"/>
      <c r="Z8" s="579"/>
      <c r="AA8" s="579"/>
      <c r="AB8" s="579"/>
    </row>
    <row r="10" spans="1:92" ht="15.6">
      <c r="A10" s="553" t="s">
        <v>175</v>
      </c>
      <c r="B10" s="554"/>
      <c r="C10" s="554"/>
      <c r="D10" s="554"/>
      <c r="E10" s="554"/>
      <c r="F10" s="554"/>
      <c r="G10" s="554"/>
      <c r="H10" s="554"/>
      <c r="I10" s="554"/>
      <c r="J10" s="554"/>
      <c r="K10" s="554"/>
      <c r="L10" s="554"/>
      <c r="M10" s="554"/>
      <c r="N10" s="554"/>
      <c r="O10" s="554"/>
      <c r="P10" s="554"/>
      <c r="Q10" s="554"/>
      <c r="R10" s="554"/>
      <c r="S10" s="554"/>
      <c r="T10" s="554"/>
      <c r="U10" s="554"/>
      <c r="V10" s="1017"/>
      <c r="W10" s="1017"/>
      <c r="X10" s="1017"/>
      <c r="Y10" s="1017"/>
      <c r="Z10" s="1017"/>
      <c r="AA10" s="1017"/>
      <c r="AB10" s="1017"/>
    </row>
    <row r="11" spans="1:92" s="7" customFormat="1" ht="15.75" customHeight="1">
      <c r="A11" s="689"/>
      <c r="B11" s="556"/>
      <c r="C11" s="556"/>
      <c r="D11" s="556"/>
      <c r="E11" s="556"/>
      <c r="F11" s="556"/>
      <c r="G11" s="557"/>
      <c r="H11" s="284"/>
      <c r="I11" s="285"/>
      <c r="J11" s="286"/>
      <c r="K11" s="558" t="s">
        <v>176</v>
      </c>
      <c r="L11" s="556"/>
      <c r="M11" s="556"/>
      <c r="N11" s="557"/>
      <c r="O11" s="558"/>
      <c r="P11" s="556"/>
      <c r="Q11" s="557"/>
      <c r="R11" s="558" t="s">
        <v>176</v>
      </c>
      <c r="S11" s="556"/>
      <c r="T11" s="556"/>
      <c r="U11" s="557"/>
      <c r="V11" s="556" t="s">
        <v>177</v>
      </c>
      <c r="W11" s="556"/>
      <c r="X11" s="557"/>
      <c r="Y11" s="558" t="s">
        <v>176</v>
      </c>
      <c r="Z11" s="556"/>
      <c r="AA11" s="556"/>
      <c r="AB11" s="559"/>
      <c r="AC11" s="5"/>
      <c r="AD11" s="287"/>
      <c r="AE11" s="287"/>
      <c r="AF11" s="287"/>
      <c r="AG11" s="287"/>
      <c r="AH11" s="287"/>
      <c r="AI11" s="287"/>
      <c r="AJ11" s="287"/>
      <c r="AK11" s="287"/>
      <c r="AL11" s="287"/>
      <c r="AM11" s="287"/>
      <c r="AN11" s="287"/>
      <c r="AO11" s="287"/>
      <c r="AP11" s="287"/>
      <c r="AQ11" s="287"/>
      <c r="AR11" s="287"/>
      <c r="AS11" s="287"/>
      <c r="AT11" s="287"/>
      <c r="AU11" s="287"/>
      <c r="AV11" s="287"/>
      <c r="AW11" s="287"/>
      <c r="AX11" s="287"/>
      <c r="AY11" s="287"/>
      <c r="AZ11" s="287"/>
      <c r="BA11" s="287"/>
      <c r="BB11" s="287"/>
      <c r="BC11" s="287"/>
      <c r="BD11" s="287"/>
      <c r="BE11" s="287"/>
      <c r="BF11" s="287"/>
      <c r="BG11" s="287"/>
      <c r="BH11" s="287"/>
      <c r="BI11" s="287"/>
      <c r="BJ11" s="287"/>
      <c r="BK11" s="287"/>
      <c r="BL11" s="287"/>
      <c r="BM11" s="287"/>
      <c r="BN11" s="287"/>
      <c r="BO11" s="287"/>
      <c r="BP11" s="287"/>
      <c r="BQ11" s="287"/>
      <c r="BR11" s="287"/>
      <c r="BS11" s="287"/>
      <c r="BT11" s="287"/>
      <c r="BU11" s="287"/>
      <c r="BV11" s="287"/>
      <c r="BW11" s="287"/>
      <c r="BX11" s="287"/>
      <c r="BY11" s="287"/>
      <c r="BZ11" s="287"/>
      <c r="CA11" s="287"/>
      <c r="CB11" s="287"/>
      <c r="CC11" s="287"/>
      <c r="CD11" s="287"/>
      <c r="CE11" s="287"/>
      <c r="CF11" s="287"/>
      <c r="CG11" s="287"/>
      <c r="CH11" s="287"/>
      <c r="CI11" s="287"/>
      <c r="CJ11" s="287"/>
      <c r="CK11" s="287"/>
      <c r="CL11" s="287"/>
      <c r="CM11" s="287"/>
      <c r="CN11" s="287"/>
    </row>
    <row r="12" spans="1:92" s="7" customFormat="1">
      <c r="A12" s="541" t="s">
        <v>178</v>
      </c>
      <c r="B12" s="528"/>
      <c r="C12" s="528"/>
      <c r="D12" s="528"/>
      <c r="E12" s="528"/>
      <c r="F12" s="528"/>
      <c r="G12" s="529"/>
      <c r="H12" s="527" t="s">
        <v>179</v>
      </c>
      <c r="I12" s="528"/>
      <c r="J12" s="529"/>
      <c r="K12" s="560" t="s">
        <v>180</v>
      </c>
      <c r="L12" s="561"/>
      <c r="M12" s="561"/>
      <c r="N12" s="589"/>
      <c r="O12" s="527" t="s">
        <v>177</v>
      </c>
      <c r="P12" s="528"/>
      <c r="Q12" s="529"/>
      <c r="R12" s="560" t="s">
        <v>181</v>
      </c>
      <c r="S12" s="561"/>
      <c r="T12" s="561"/>
      <c r="U12" s="589"/>
      <c r="V12" s="528" t="s">
        <v>182</v>
      </c>
      <c r="W12" s="528"/>
      <c r="X12" s="529"/>
      <c r="Y12" s="560" t="s">
        <v>181</v>
      </c>
      <c r="Z12" s="561"/>
      <c r="AA12" s="561"/>
      <c r="AB12" s="562"/>
      <c r="AC12" s="5"/>
      <c r="AD12" s="287"/>
      <c r="AE12" s="287"/>
      <c r="AF12" s="287"/>
      <c r="AG12" s="287"/>
      <c r="AH12" s="287"/>
      <c r="AI12" s="287"/>
      <c r="AJ12" s="287"/>
      <c r="AK12" s="287"/>
      <c r="AL12" s="287"/>
      <c r="AM12" s="287"/>
      <c r="AN12" s="287"/>
      <c r="AO12" s="287"/>
      <c r="AP12" s="287"/>
      <c r="AQ12" s="287"/>
      <c r="AR12" s="287"/>
      <c r="AS12" s="287"/>
      <c r="AT12" s="287"/>
      <c r="AU12" s="287"/>
      <c r="AV12" s="287"/>
      <c r="AW12" s="287"/>
      <c r="AX12" s="287"/>
      <c r="AY12" s="287"/>
      <c r="AZ12" s="287"/>
      <c r="BA12" s="287"/>
      <c r="BB12" s="287"/>
      <c r="BC12" s="287"/>
      <c r="BD12" s="287"/>
      <c r="BE12" s="287"/>
      <c r="BF12" s="287"/>
      <c r="BG12" s="287"/>
      <c r="BH12" s="287"/>
      <c r="BI12" s="287"/>
      <c r="BJ12" s="287"/>
      <c r="BK12" s="287"/>
      <c r="BL12" s="287"/>
      <c r="BM12" s="287"/>
      <c r="BN12" s="287"/>
      <c r="BO12" s="287"/>
      <c r="BP12" s="287"/>
      <c r="BQ12" s="287"/>
      <c r="BR12" s="287"/>
      <c r="BS12" s="287"/>
      <c r="BT12" s="287"/>
      <c r="BU12" s="287"/>
      <c r="BV12" s="287"/>
      <c r="BW12" s="287"/>
      <c r="BX12" s="287"/>
      <c r="BY12" s="287"/>
      <c r="BZ12" s="287"/>
      <c r="CA12" s="287"/>
      <c r="CB12" s="287"/>
      <c r="CC12" s="287"/>
      <c r="CD12" s="287"/>
      <c r="CE12" s="287"/>
      <c r="CF12" s="287"/>
      <c r="CG12" s="287"/>
      <c r="CH12" s="287"/>
      <c r="CI12" s="287"/>
      <c r="CJ12" s="287"/>
      <c r="CK12" s="287"/>
      <c r="CL12" s="287"/>
      <c r="CM12" s="287"/>
      <c r="CN12" s="287"/>
    </row>
    <row r="13" spans="1:92">
      <c r="A13" s="581"/>
      <c r="B13" s="563"/>
      <c r="C13" s="563"/>
      <c r="D13" s="563"/>
      <c r="E13" s="563"/>
      <c r="F13" s="563"/>
      <c r="G13" s="564"/>
      <c r="H13" s="565" t="s">
        <v>183</v>
      </c>
      <c r="I13" s="563"/>
      <c r="J13" s="564"/>
      <c r="K13" s="565" t="s">
        <v>184</v>
      </c>
      <c r="L13" s="563"/>
      <c r="M13" s="563"/>
      <c r="N13" s="564"/>
      <c r="O13" s="565" t="s">
        <v>183</v>
      </c>
      <c r="P13" s="563"/>
      <c r="Q13" s="564"/>
      <c r="R13" s="565" t="s">
        <v>184</v>
      </c>
      <c r="S13" s="563"/>
      <c r="T13" s="563"/>
      <c r="U13" s="564"/>
      <c r="V13" s="563" t="s">
        <v>183</v>
      </c>
      <c r="W13" s="563"/>
      <c r="X13" s="564"/>
      <c r="Y13" s="565" t="s">
        <v>182</v>
      </c>
      <c r="Z13" s="563"/>
      <c r="AA13" s="563"/>
      <c r="AB13" s="566"/>
    </row>
    <row r="14" spans="1:92" ht="12.6" customHeight="1">
      <c r="A14" s="539" t="s">
        <v>185</v>
      </c>
      <c r="B14" s="502"/>
      <c r="C14" s="502"/>
      <c r="D14" s="502"/>
      <c r="E14" s="502"/>
      <c r="F14" s="502"/>
      <c r="G14" s="510"/>
      <c r="H14" s="542">
        <f>'MIX DESIGN'!H31</f>
        <v>0</v>
      </c>
      <c r="I14" s="570"/>
      <c r="J14" s="571"/>
      <c r="K14" s="501"/>
      <c r="L14" s="502"/>
      <c r="M14" s="502"/>
      <c r="N14" s="510"/>
      <c r="O14" s="542">
        <f>H14</f>
        <v>0</v>
      </c>
      <c r="P14" s="502"/>
      <c r="Q14" s="510"/>
      <c r="R14" s="501" t="s">
        <v>186</v>
      </c>
      <c r="S14" s="502"/>
      <c r="T14" s="502"/>
      <c r="U14" s="510"/>
      <c r="V14" s="542">
        <f>O14</f>
        <v>0</v>
      </c>
      <c r="W14" s="502"/>
      <c r="X14" s="510"/>
      <c r="Y14" s="501" t="s">
        <v>186</v>
      </c>
      <c r="Z14" s="502"/>
      <c r="AA14" s="502"/>
      <c r="AB14" s="503"/>
    </row>
    <row r="15" spans="1:92" ht="12.6" customHeight="1">
      <c r="A15" s="539" t="s">
        <v>187</v>
      </c>
      <c r="B15" s="502"/>
      <c r="C15" s="502"/>
      <c r="D15" s="502"/>
      <c r="E15" s="502"/>
      <c r="F15" s="502"/>
      <c r="G15" s="510"/>
      <c r="H15" s="514">
        <f>'MIX DESIGN'!K31</f>
        <v>1.37</v>
      </c>
      <c r="I15" s="502"/>
      <c r="J15" s="510"/>
      <c r="K15" s="501"/>
      <c r="L15" s="502"/>
      <c r="M15" s="502"/>
      <c r="N15" s="510"/>
      <c r="O15" s="514">
        <f>H15</f>
        <v>1.37</v>
      </c>
      <c r="P15" s="502"/>
      <c r="Q15" s="510"/>
      <c r="R15" s="501" t="s">
        <v>186</v>
      </c>
      <c r="S15" s="502"/>
      <c r="T15" s="502"/>
      <c r="U15" s="510"/>
      <c r="V15" s="514">
        <f>O15</f>
        <v>1.37</v>
      </c>
      <c r="W15" s="502"/>
      <c r="X15" s="510"/>
      <c r="Y15" s="501" t="s">
        <v>186</v>
      </c>
      <c r="Z15" s="502"/>
      <c r="AA15" s="502"/>
      <c r="AB15" s="503"/>
    </row>
    <row r="16" spans="1:92" ht="12.6" customHeight="1">
      <c r="A16" s="539" t="s">
        <v>188</v>
      </c>
      <c r="B16" s="502"/>
      <c r="C16" s="502"/>
      <c r="D16" s="502"/>
      <c r="E16" s="502"/>
      <c r="F16" s="502"/>
      <c r="G16" s="510"/>
      <c r="H16" s="514">
        <f>IFERROR(M33,"")</f>
        <v>0</v>
      </c>
      <c r="I16" s="537"/>
      <c r="J16" s="538"/>
      <c r="K16" s="534"/>
      <c r="L16" s="535"/>
      <c r="M16" s="535"/>
      <c r="N16" s="536"/>
      <c r="O16" s="514">
        <f>IFERROR(S33,"")</f>
        <v>0</v>
      </c>
      <c r="P16" s="537"/>
      <c r="Q16" s="538"/>
      <c r="R16" s="534"/>
      <c r="S16" s="535"/>
      <c r="T16" s="535"/>
      <c r="U16" s="536"/>
      <c r="V16" s="537">
        <f>IFERROR(Y33,"")</f>
        <v>0</v>
      </c>
      <c r="W16" s="537"/>
      <c r="X16" s="538"/>
      <c r="Y16" s="534"/>
      <c r="Z16" s="535"/>
      <c r="AA16" s="535"/>
      <c r="AB16" s="555"/>
    </row>
    <row r="17" spans="1:30" ht="12.6" customHeight="1">
      <c r="A17" s="540" t="s">
        <v>189</v>
      </c>
      <c r="B17" s="502"/>
      <c r="C17" s="502"/>
      <c r="D17" s="502"/>
      <c r="E17" s="502"/>
      <c r="F17" s="502"/>
      <c r="G17" s="510"/>
      <c r="H17" s="542">
        <f>'MIX DESIGN'!H32</f>
        <v>0</v>
      </c>
      <c r="I17" s="570"/>
      <c r="J17" s="571"/>
      <c r="K17" s="501"/>
      <c r="L17" s="502"/>
      <c r="M17" s="502"/>
      <c r="N17" s="510"/>
      <c r="O17" s="542">
        <f>H17</f>
        <v>0</v>
      </c>
      <c r="P17" s="502"/>
      <c r="Q17" s="510"/>
      <c r="R17" s="501" t="s">
        <v>186</v>
      </c>
      <c r="S17" s="502"/>
      <c r="T17" s="502"/>
      <c r="U17" s="510"/>
      <c r="V17" s="542">
        <f>O17</f>
        <v>0</v>
      </c>
      <c r="W17" s="502"/>
      <c r="X17" s="510"/>
      <c r="Y17" s="501" t="s">
        <v>186</v>
      </c>
      <c r="Z17" s="502"/>
      <c r="AA17" s="502"/>
      <c r="AB17" s="503"/>
    </row>
    <row r="18" spans="1:30" ht="12.6" customHeight="1">
      <c r="A18" s="540" t="s">
        <v>190</v>
      </c>
      <c r="B18" s="502"/>
      <c r="C18" s="502"/>
      <c r="D18" s="502"/>
      <c r="E18" s="502"/>
      <c r="F18" s="502"/>
      <c r="G18" s="510"/>
      <c r="H18" s="514">
        <f>'MIX DESIGN'!K32</f>
        <v>0</v>
      </c>
      <c r="I18" s="537"/>
      <c r="J18" s="538"/>
      <c r="K18" s="501"/>
      <c r="L18" s="502"/>
      <c r="M18" s="502"/>
      <c r="N18" s="510"/>
      <c r="O18" s="514">
        <f>H18</f>
        <v>0</v>
      </c>
      <c r="P18" s="502"/>
      <c r="Q18" s="510"/>
      <c r="R18" s="501" t="s">
        <v>186</v>
      </c>
      <c r="S18" s="502"/>
      <c r="T18" s="502"/>
      <c r="U18" s="510"/>
      <c r="V18" s="514">
        <f>O18</f>
        <v>0</v>
      </c>
      <c r="W18" s="502"/>
      <c r="X18" s="510"/>
      <c r="Y18" s="501" t="s">
        <v>186</v>
      </c>
      <c r="Z18" s="502"/>
      <c r="AA18" s="502"/>
      <c r="AB18" s="503"/>
    </row>
    <row r="19" spans="1:30" ht="10.5" customHeight="1">
      <c r="A19" s="540" t="s">
        <v>191</v>
      </c>
      <c r="B19" s="502"/>
      <c r="C19" s="502"/>
      <c r="D19" s="502"/>
      <c r="E19" s="502"/>
      <c r="F19" s="502"/>
      <c r="G19" s="510"/>
      <c r="H19" s="514">
        <f>IFERROR(O33,"")</f>
        <v>0</v>
      </c>
      <c r="I19" s="537"/>
      <c r="J19" s="538"/>
      <c r="K19" s="534"/>
      <c r="L19" s="535"/>
      <c r="M19" s="535"/>
      <c r="N19" s="536"/>
      <c r="O19" s="514">
        <f>IFERROR(U33,"")</f>
        <v>0</v>
      </c>
      <c r="P19" s="537"/>
      <c r="Q19" s="538"/>
      <c r="R19" s="534"/>
      <c r="S19" s="535"/>
      <c r="T19" s="535"/>
      <c r="U19" s="536"/>
      <c r="V19" s="537">
        <f>IFERROR(AA33,"")</f>
        <v>0</v>
      </c>
      <c r="W19" s="537"/>
      <c r="X19" s="538"/>
      <c r="Y19" s="534"/>
      <c r="Z19" s="535"/>
      <c r="AA19" s="535"/>
      <c r="AB19" s="555"/>
    </row>
    <row r="20" spans="1:30" ht="15.75" hidden="1" customHeight="1">
      <c r="A20" s="540" t="s">
        <v>192</v>
      </c>
      <c r="B20" s="502"/>
      <c r="C20" s="502"/>
      <c r="D20" s="502"/>
      <c r="E20" s="502"/>
      <c r="F20" s="502"/>
      <c r="G20" s="510"/>
      <c r="H20" s="542">
        <f>'MIX DESIGN'!H33</f>
        <v>0</v>
      </c>
      <c r="I20" s="570"/>
      <c r="J20" s="571"/>
      <c r="K20" s="501"/>
      <c r="L20" s="502"/>
      <c r="M20" s="502"/>
      <c r="N20" s="510"/>
      <c r="O20" s="542">
        <f>H20</f>
        <v>0</v>
      </c>
      <c r="P20" s="502"/>
      <c r="Q20" s="510"/>
      <c r="R20" s="501" t="s">
        <v>186</v>
      </c>
      <c r="S20" s="502"/>
      <c r="T20" s="502"/>
      <c r="U20" s="510"/>
      <c r="V20" s="542">
        <f>O20</f>
        <v>0</v>
      </c>
      <c r="W20" s="502"/>
      <c r="X20" s="510"/>
      <c r="Y20" s="501" t="s">
        <v>186</v>
      </c>
      <c r="Z20" s="502"/>
      <c r="AA20" s="502"/>
      <c r="AB20" s="503"/>
    </row>
    <row r="21" spans="1:30" ht="18" hidden="1" customHeight="1">
      <c r="A21" s="540" t="s">
        <v>193</v>
      </c>
      <c r="B21" s="502"/>
      <c r="C21" s="502"/>
      <c r="D21" s="502"/>
      <c r="E21" s="502"/>
      <c r="F21" s="502"/>
      <c r="G21" s="510"/>
      <c r="H21" s="514">
        <f>'MIX DESIGN'!K33</f>
        <v>0</v>
      </c>
      <c r="I21" s="537"/>
      <c r="J21" s="538"/>
      <c r="K21" s="501"/>
      <c r="L21" s="502"/>
      <c r="M21" s="502"/>
      <c r="N21" s="510"/>
      <c r="O21" s="514">
        <f>H21</f>
        <v>0</v>
      </c>
      <c r="P21" s="502"/>
      <c r="Q21" s="510"/>
      <c r="R21" s="501" t="s">
        <v>186</v>
      </c>
      <c r="S21" s="502"/>
      <c r="T21" s="502"/>
      <c r="U21" s="510"/>
      <c r="V21" s="514">
        <f>O21</f>
        <v>0</v>
      </c>
      <c r="W21" s="502"/>
      <c r="X21" s="510"/>
      <c r="Y21" s="501" t="s">
        <v>186</v>
      </c>
      <c r="Z21" s="502"/>
      <c r="AA21" s="502"/>
      <c r="AB21" s="503"/>
    </row>
    <row r="22" spans="1:30" ht="21" hidden="1" customHeight="1">
      <c r="A22" s="540" t="s">
        <v>194</v>
      </c>
      <c r="B22" s="502"/>
      <c r="C22" s="502"/>
      <c r="D22" s="502"/>
      <c r="E22" s="502"/>
      <c r="F22" s="502"/>
      <c r="G22" s="510"/>
      <c r="H22" s="514">
        <f>IFERROR(Q33,"")</f>
        <v>0</v>
      </c>
      <c r="I22" s="537"/>
      <c r="J22" s="538"/>
      <c r="K22" s="511"/>
      <c r="L22" s="512"/>
      <c r="M22" s="512"/>
      <c r="N22" s="513"/>
      <c r="O22" s="514">
        <f>IFERROR(W33,"")</f>
        <v>0</v>
      </c>
      <c r="P22" s="537"/>
      <c r="Q22" s="538"/>
      <c r="R22" s="511"/>
      <c r="S22" s="512"/>
      <c r="T22" s="512"/>
      <c r="U22" s="513"/>
      <c r="V22" s="537">
        <f>IFERROR(AC33,"")</f>
        <v>0</v>
      </c>
      <c r="W22" s="537"/>
      <c r="X22" s="538"/>
      <c r="Y22" s="511"/>
      <c r="Z22" s="512"/>
      <c r="AA22" s="512"/>
      <c r="AB22" s="710"/>
    </row>
    <row r="23" spans="1:30" ht="12.6" customHeight="1" thickBot="1">
      <c r="A23" s="704" t="s">
        <v>195</v>
      </c>
      <c r="B23" s="603"/>
      <c r="C23" s="603"/>
      <c r="D23" s="603"/>
      <c r="E23" s="603"/>
      <c r="F23" s="603"/>
      <c r="G23" s="615"/>
      <c r="H23" s="507"/>
      <c r="I23" s="508"/>
      <c r="J23" s="509"/>
      <c r="K23" s="519"/>
      <c r="L23" s="520"/>
      <c r="M23" s="520"/>
      <c r="N23" s="521"/>
      <c r="O23" s="507"/>
      <c r="P23" s="508"/>
      <c r="Q23" s="509"/>
      <c r="R23" s="519"/>
      <c r="S23" s="520"/>
      <c r="T23" s="520"/>
      <c r="U23" s="521"/>
      <c r="V23" s="508"/>
      <c r="W23" s="508"/>
      <c r="X23" s="509"/>
      <c r="Y23" s="519"/>
      <c r="Z23" s="520"/>
      <c r="AA23" s="520"/>
      <c r="AB23" s="670"/>
    </row>
    <row r="24" spans="1:30" ht="12.6" customHeight="1" thickBot="1">
      <c r="A24" s="296"/>
      <c r="B24" s="296"/>
      <c r="C24" s="296"/>
      <c r="D24" s="296"/>
      <c r="E24" s="296"/>
      <c r="F24" s="296"/>
      <c r="G24" s="296"/>
      <c r="H24" s="144"/>
      <c r="I24" s="144"/>
      <c r="J24" s="144"/>
      <c r="K24" s="22"/>
      <c r="L24" s="22"/>
      <c r="M24" s="22"/>
      <c r="N24" s="22"/>
      <c r="O24" s="144"/>
      <c r="P24" s="144"/>
      <c r="Q24" s="144"/>
      <c r="R24" s="22"/>
      <c r="S24" s="22"/>
      <c r="T24" s="22"/>
      <c r="U24" s="22"/>
      <c r="V24" s="144"/>
      <c r="W24" s="144"/>
      <c r="X24" s="144"/>
      <c r="Y24" s="22"/>
      <c r="Z24" s="22"/>
      <c r="AA24" s="22"/>
      <c r="AB24" s="22"/>
    </row>
    <row r="25" spans="1:30" ht="12.6" customHeight="1">
      <c r="A25" s="546" t="s">
        <v>196</v>
      </c>
      <c r="B25" s="1018"/>
      <c r="C25" s="1018"/>
      <c r="D25" s="1018"/>
      <c r="E25" s="1018"/>
      <c r="F25" s="1018"/>
      <c r="G25" s="1018"/>
      <c r="H25" s="1018"/>
      <c r="I25" s="1018"/>
      <c r="J25" s="1018"/>
      <c r="K25" s="1018"/>
      <c r="L25" s="1018"/>
      <c r="M25" s="1018"/>
      <c r="N25" s="1018"/>
      <c r="O25" s="1018"/>
      <c r="P25" s="1018"/>
      <c r="Q25" s="1018"/>
      <c r="R25" s="1018"/>
      <c r="S25" s="1018"/>
      <c r="T25" s="1018"/>
      <c r="U25" s="1018"/>
      <c r="V25" s="1018"/>
      <c r="W25" s="1018"/>
      <c r="X25" s="1018"/>
      <c r="Y25" s="1018"/>
      <c r="Z25" s="1018"/>
      <c r="AA25" s="1018"/>
      <c r="AB25" s="1018"/>
      <c r="AC25" s="171"/>
    </row>
    <row r="26" spans="1:30" ht="12.6" customHeight="1">
      <c r="A26" s="1019"/>
      <c r="B26" s="548" t="s">
        <v>197</v>
      </c>
      <c r="C26" s="549"/>
      <c r="D26" s="549"/>
      <c r="E26" s="549"/>
      <c r="F26" s="549"/>
      <c r="G26" s="549"/>
      <c r="H26" s="549"/>
      <c r="I26" s="549"/>
      <c r="J26" s="548" t="s">
        <v>198</v>
      </c>
      <c r="K26" s="548"/>
      <c r="L26" s="548"/>
      <c r="M26" s="522" t="s">
        <v>179</v>
      </c>
      <c r="N26" s="502"/>
      <c r="O26" s="502"/>
      <c r="P26" s="510"/>
      <c r="Q26" s="295"/>
      <c r="R26" s="297"/>
      <c r="S26" s="522" t="s">
        <v>199</v>
      </c>
      <c r="T26" s="502"/>
      <c r="U26" s="502"/>
      <c r="V26" s="510"/>
      <c r="W26" s="295"/>
      <c r="X26" s="297"/>
      <c r="Y26" s="522" t="s">
        <v>200</v>
      </c>
      <c r="Z26" s="502"/>
      <c r="AA26" s="502"/>
      <c r="AB26" s="510"/>
      <c r="AC26" s="295"/>
    </row>
    <row r="27" spans="1:30" ht="12.6" customHeight="1">
      <c r="A27" s="1020"/>
      <c r="B27" s="550"/>
      <c r="C27" s="550"/>
      <c r="D27" s="550"/>
      <c r="E27" s="550"/>
      <c r="F27" s="550"/>
      <c r="G27" s="550"/>
      <c r="H27" s="550"/>
      <c r="I27" s="550"/>
      <c r="J27" s="700"/>
      <c r="K27" s="700"/>
      <c r="L27" s="700"/>
      <c r="M27" s="522" t="s">
        <v>201</v>
      </c>
      <c r="N27" s="510"/>
      <c r="O27" s="522" t="s">
        <v>202</v>
      </c>
      <c r="P27" s="510"/>
      <c r="Q27" s="333"/>
      <c r="R27" s="334"/>
      <c r="S27" s="547" t="s">
        <v>201</v>
      </c>
      <c r="T27" s="510"/>
      <c r="U27" s="522" t="s">
        <v>202</v>
      </c>
      <c r="V27" s="510"/>
      <c r="W27" s="333"/>
      <c r="X27" s="334"/>
      <c r="Y27" s="522" t="s">
        <v>201</v>
      </c>
      <c r="Z27" s="510"/>
      <c r="AA27" s="522" t="s">
        <v>202</v>
      </c>
      <c r="AB27" s="510"/>
      <c r="AC27" s="333"/>
    </row>
    <row r="28" spans="1:30" ht="12.6" customHeight="1">
      <c r="A28" s="152" t="s">
        <v>203</v>
      </c>
      <c r="B28" s="517" t="s">
        <v>204</v>
      </c>
      <c r="C28" s="518"/>
      <c r="D28" s="518"/>
      <c r="E28" s="518"/>
      <c r="F28" s="518"/>
      <c r="G28" s="518"/>
      <c r="H28" s="518"/>
      <c r="I28" s="518"/>
      <c r="J28" s="711" t="s">
        <v>205</v>
      </c>
      <c r="K28" s="712"/>
      <c r="L28" s="713"/>
      <c r="M28" s="525"/>
      <c r="N28" s="526"/>
      <c r="O28" s="525"/>
      <c r="P28" s="526"/>
      <c r="Q28" s="336"/>
      <c r="R28" s="297"/>
      <c r="S28" s="707"/>
      <c r="T28" s="526"/>
      <c r="U28" s="525"/>
      <c r="V28" s="526"/>
      <c r="W28" s="336"/>
      <c r="X28" s="166"/>
      <c r="Y28" s="525"/>
      <c r="Z28" s="526"/>
      <c r="AA28" s="525"/>
      <c r="AB28" s="526"/>
      <c r="AC28" s="336"/>
      <c r="AD28" s="156"/>
    </row>
    <row r="29" spans="1:30" ht="12.6" customHeight="1">
      <c r="A29" s="152" t="s">
        <v>206</v>
      </c>
      <c r="B29" s="517" t="s">
        <v>207</v>
      </c>
      <c r="C29" s="518"/>
      <c r="D29" s="518"/>
      <c r="E29" s="518"/>
      <c r="F29" s="518"/>
      <c r="G29" s="518"/>
      <c r="H29" s="518"/>
      <c r="I29" s="518"/>
      <c r="J29" s="711" t="s">
        <v>205</v>
      </c>
      <c r="K29" s="712"/>
      <c r="L29" s="713"/>
      <c r="M29" s="525"/>
      <c r="N29" s="526"/>
      <c r="O29" s="525"/>
      <c r="P29" s="526"/>
      <c r="Q29" s="336"/>
      <c r="R29" s="297"/>
      <c r="S29" s="707"/>
      <c r="T29" s="526"/>
      <c r="U29" s="525"/>
      <c r="V29" s="526"/>
      <c r="W29" s="336"/>
      <c r="X29" s="166"/>
      <c r="Y29" s="525"/>
      <c r="Z29" s="526"/>
      <c r="AA29" s="525"/>
      <c r="AB29" s="526"/>
      <c r="AC29" s="336"/>
      <c r="AD29" s="156"/>
    </row>
    <row r="30" spans="1:30" ht="12.6" customHeight="1">
      <c r="A30" s="152" t="s">
        <v>208</v>
      </c>
      <c r="B30" s="517" t="s">
        <v>209</v>
      </c>
      <c r="C30" s="518"/>
      <c r="D30" s="518"/>
      <c r="E30" s="518"/>
      <c r="F30" s="518"/>
      <c r="G30" s="518"/>
      <c r="H30" s="518"/>
      <c r="I30" s="145"/>
      <c r="J30" s="711" t="s">
        <v>210</v>
      </c>
      <c r="K30" s="712"/>
      <c r="L30" s="713"/>
      <c r="M30" s="524" t="str">
        <f>IF(M28-M29=0,"",M28-M29)</f>
        <v/>
      </c>
      <c r="N30" s="502"/>
      <c r="O30" s="524" t="str">
        <f>IF(O28-O29=0,"",O28-O29)</f>
        <v/>
      </c>
      <c r="P30" s="502"/>
      <c r="Q30" s="336"/>
      <c r="R30" s="297"/>
      <c r="S30" s="523" t="str">
        <f>IF(S28-S29=0,"",S28-S29)</f>
        <v/>
      </c>
      <c r="T30" s="502"/>
      <c r="U30" s="524" t="str">
        <f>IF(U28-U29=0,"",U28-U29)</f>
        <v/>
      </c>
      <c r="V30" s="502"/>
      <c r="W30" s="336"/>
      <c r="X30" s="297"/>
      <c r="Y30" s="524" t="str">
        <f>IF(Y28-Y29=0,"",Y28-Y29)</f>
        <v/>
      </c>
      <c r="Z30" s="502"/>
      <c r="AA30" s="524" t="str">
        <f>IF(AA28-AA29=0,"",AA28-AA29)</f>
        <v/>
      </c>
      <c r="AB30" s="502"/>
      <c r="AC30" s="336"/>
    </row>
    <row r="31" spans="1:30" ht="12.6" customHeight="1">
      <c r="A31" s="152" t="s">
        <v>211</v>
      </c>
      <c r="B31" s="517" t="s">
        <v>212</v>
      </c>
      <c r="C31" s="518"/>
      <c r="D31" s="518"/>
      <c r="E31" s="518"/>
      <c r="F31" s="518"/>
      <c r="G31" s="146"/>
      <c r="H31" s="146"/>
      <c r="I31" s="146"/>
      <c r="J31" s="711" t="s">
        <v>205</v>
      </c>
      <c r="K31" s="712"/>
      <c r="L31" s="713"/>
      <c r="M31" s="525"/>
      <c r="N31" s="526"/>
      <c r="O31" s="525"/>
      <c r="P31" s="526"/>
      <c r="Q31" s="336"/>
      <c r="R31" s="297"/>
      <c r="S31" s="707"/>
      <c r="T31" s="526"/>
      <c r="U31" s="525"/>
      <c r="V31" s="526"/>
      <c r="W31" s="336"/>
      <c r="X31" s="166"/>
      <c r="Y31" s="525"/>
      <c r="Z31" s="526"/>
      <c r="AA31" s="525"/>
      <c r="AB31" s="526"/>
      <c r="AC31" s="336"/>
      <c r="AD31" s="156"/>
    </row>
    <row r="32" spans="1:30" ht="12.6" customHeight="1">
      <c r="A32" s="152" t="s">
        <v>213</v>
      </c>
      <c r="B32" s="517" t="s">
        <v>214</v>
      </c>
      <c r="C32" s="518"/>
      <c r="D32" s="518"/>
      <c r="E32" s="518"/>
      <c r="F32" s="518"/>
      <c r="G32" s="518"/>
      <c r="H32" s="518"/>
      <c r="I32" s="146"/>
      <c r="J32" s="711" t="s">
        <v>215</v>
      </c>
      <c r="K32" s="712"/>
      <c r="L32" s="713"/>
      <c r="M32" s="524" t="str">
        <f>IF(M29-M31=0,"",M29-M31)</f>
        <v/>
      </c>
      <c r="N32" s="502"/>
      <c r="O32" s="524" t="str">
        <f>IF(O29-O31=0,"",O29-O31)</f>
        <v/>
      </c>
      <c r="P32" s="502"/>
      <c r="Q32" s="336"/>
      <c r="R32" s="297"/>
      <c r="S32" s="523" t="str">
        <f>IF(S29-S31=0,"",S29-S31)</f>
        <v/>
      </c>
      <c r="T32" s="502"/>
      <c r="U32" s="524" t="str">
        <f>IF(U29-U31=0,"",U29-U31)</f>
        <v/>
      </c>
      <c r="V32" s="502"/>
      <c r="W32" s="336"/>
      <c r="X32" s="297"/>
      <c r="Y32" s="524" t="str">
        <f>IF(Y29-Y31=0,"",Y29-Y31)</f>
        <v/>
      </c>
      <c r="Z32" s="502"/>
      <c r="AA32" s="524" t="str">
        <f>IF(AA29-AA31=0,"",AA29-AA31)</f>
        <v/>
      </c>
      <c r="AB32" s="502"/>
      <c r="AC32" s="336"/>
    </row>
    <row r="33" spans="1:30" ht="12.6" customHeight="1" thickBot="1">
      <c r="A33" s="153" t="s">
        <v>216</v>
      </c>
      <c r="B33" s="515" t="s">
        <v>217</v>
      </c>
      <c r="C33" s="516"/>
      <c r="D33" s="516"/>
      <c r="E33" s="516"/>
      <c r="F33" s="516"/>
      <c r="G33" s="516"/>
      <c r="H33" s="154"/>
      <c r="I33" s="154"/>
      <c r="J33" s="698" t="s">
        <v>218</v>
      </c>
      <c r="K33" s="699"/>
      <c r="L33" s="699"/>
      <c r="M33" s="530">
        <f>IFERROR((M30/M32)*100,0)</f>
        <v>0</v>
      </c>
      <c r="N33" s="531"/>
      <c r="O33" s="530">
        <f>IFERROR((O30/O32)*100,0)</f>
        <v>0</v>
      </c>
      <c r="P33" s="531"/>
      <c r="Q33" s="336"/>
      <c r="R33" s="170"/>
      <c r="S33" s="726">
        <f>IFERROR((S30/S32)*100,0)</f>
        <v>0</v>
      </c>
      <c r="T33" s="531"/>
      <c r="U33" s="530">
        <f>IFERROR((U30/U32)*100,0)</f>
        <v>0</v>
      </c>
      <c r="V33" s="531"/>
      <c r="W33" s="336"/>
      <c r="X33" s="297"/>
      <c r="Y33" s="530">
        <f>IFERROR((Y30/Y32)*100,0)</f>
        <v>0</v>
      </c>
      <c r="Z33" s="531"/>
      <c r="AA33" s="530">
        <f>IFERROR((AA30/AA32)*100,0)</f>
        <v>0</v>
      </c>
      <c r="AB33" s="531"/>
      <c r="AC33" s="336"/>
      <c r="AD33" s="157"/>
    </row>
    <row r="34" spans="1:30" ht="12.6" customHeight="1">
      <c r="A34" s="147"/>
      <c r="B34" s="148"/>
      <c r="C34" s="149"/>
      <c r="D34" s="149"/>
      <c r="E34" s="149"/>
      <c r="F34" s="149"/>
      <c r="G34" s="149"/>
      <c r="H34" s="148"/>
      <c r="I34" s="148"/>
      <c r="J34" s="150"/>
      <c r="K34" s="302"/>
      <c r="L34" s="302"/>
      <c r="M34" s="151"/>
      <c r="N34" s="296"/>
      <c r="O34" s="296"/>
      <c r="P34" s="151"/>
      <c r="Q34" s="151"/>
      <c r="R34" s="151"/>
      <c r="S34" s="151"/>
      <c r="T34" s="151"/>
      <c r="U34" s="151"/>
      <c r="V34" s="151"/>
      <c r="W34" s="296"/>
      <c r="X34" s="296"/>
      <c r="Y34" s="151"/>
      <c r="Z34" s="296"/>
      <c r="AA34" s="296"/>
      <c r="AB34" s="151"/>
      <c r="AC34" s="296"/>
    </row>
    <row r="35" spans="1:30" ht="12.6" customHeight="1">
      <c r="A35" s="724" t="s">
        <v>219</v>
      </c>
      <c r="B35" s="725"/>
      <c r="C35" s="725"/>
      <c r="D35" s="725"/>
      <c r="E35" s="725"/>
      <c r="F35" s="725"/>
      <c r="G35" s="725"/>
      <c r="H35" s="725"/>
      <c r="I35" s="725"/>
      <c r="J35" s="725"/>
      <c r="K35" s="725"/>
      <c r="L35" s="725"/>
      <c r="M35" s="725"/>
      <c r="N35" s="725"/>
      <c r="O35" s="725"/>
      <c r="P35" s="725"/>
      <c r="Q35" s="725"/>
      <c r="R35" s="725"/>
      <c r="S35" s="725"/>
      <c r="T35" s="725"/>
      <c r="U35" s="725"/>
      <c r="V35" s="725"/>
      <c r="W35" s="725"/>
      <c r="X35" s="725"/>
      <c r="Y35" s="725"/>
      <c r="Z35" s="725"/>
      <c r="AA35" s="725"/>
      <c r="AB35" s="725"/>
      <c r="AC35" s="725"/>
    </row>
    <row r="36" spans="1:30" ht="12.6" customHeight="1">
      <c r="A36" s="147"/>
      <c r="B36" s="148"/>
      <c r="C36" s="149"/>
      <c r="D36" s="149"/>
      <c r="E36" s="149"/>
      <c r="F36" s="149"/>
      <c r="G36" s="716" t="s">
        <v>179</v>
      </c>
      <c r="H36" s="533"/>
      <c r="I36" s="533"/>
      <c r="J36" s="533"/>
      <c r="K36" s="333"/>
      <c r="L36" s="334"/>
      <c r="M36" s="716" t="s">
        <v>199</v>
      </c>
      <c r="N36" s="533"/>
      <c r="O36" s="533"/>
      <c r="P36" s="533"/>
      <c r="Q36" s="335"/>
      <c r="R36" s="334"/>
      <c r="S36" s="708" t="s">
        <v>200</v>
      </c>
      <c r="T36" s="709"/>
      <c r="U36" s="709"/>
      <c r="V36" s="709"/>
      <c r="W36" s="333"/>
      <c r="X36" s="151"/>
      <c r="Y36" s="296"/>
      <c r="Z36" s="296"/>
      <c r="AA36" s="151"/>
      <c r="AB36" s="296"/>
    </row>
    <row r="37" spans="1:30" ht="12.6" customHeight="1">
      <c r="A37" s="147"/>
      <c r="B37" s="551" t="s">
        <v>220</v>
      </c>
      <c r="C37" s="552"/>
      <c r="D37" s="552"/>
      <c r="E37" s="552"/>
      <c r="F37" s="552"/>
      <c r="G37" s="714"/>
      <c r="H37" s="715"/>
      <c r="I37" s="715"/>
      <c r="J37" s="715"/>
      <c r="K37" s="167"/>
      <c r="L37" s="168"/>
      <c r="M37" s="714"/>
      <c r="N37" s="715"/>
      <c r="O37" s="715"/>
      <c r="P37" s="715"/>
      <c r="Q37" s="169"/>
      <c r="R37" s="168"/>
      <c r="S37" s="714"/>
      <c r="T37" s="715"/>
      <c r="U37" s="715"/>
      <c r="V37" s="715"/>
      <c r="W37" s="167"/>
      <c r="X37" s="151"/>
      <c r="Y37" s="296"/>
      <c r="Z37" s="296"/>
      <c r="AA37" s="151"/>
      <c r="AB37" s="296"/>
    </row>
    <row r="38" spans="1:30" ht="12.6" customHeight="1">
      <c r="A38" s="147"/>
      <c r="B38" s="551" t="s">
        <v>221</v>
      </c>
      <c r="C38" s="552"/>
      <c r="D38" s="552"/>
      <c r="E38" s="552"/>
      <c r="F38" s="736"/>
      <c r="G38" s="716" t="s">
        <v>201</v>
      </c>
      <c r="H38" s="533"/>
      <c r="I38" s="716" t="s">
        <v>222</v>
      </c>
      <c r="J38" s="533"/>
      <c r="K38" s="734"/>
      <c r="L38" s="737"/>
      <c r="M38" s="716" t="s">
        <v>201</v>
      </c>
      <c r="N38" s="533"/>
      <c r="O38" s="716" t="s">
        <v>222</v>
      </c>
      <c r="P38" s="533"/>
      <c r="Q38" s="335"/>
      <c r="R38" s="334"/>
      <c r="S38" s="716" t="s">
        <v>201</v>
      </c>
      <c r="T38" s="533"/>
      <c r="U38" s="716" t="s">
        <v>222</v>
      </c>
      <c r="V38" s="533"/>
      <c r="W38" s="734"/>
      <c r="X38" s="735"/>
      <c r="Y38" s="296"/>
      <c r="Z38" s="296"/>
      <c r="AA38" s="151"/>
      <c r="AB38" s="296"/>
    </row>
    <row r="39" spans="1:30" ht="12.6" customHeight="1">
      <c r="A39" s="147"/>
      <c r="B39" s="551" t="s">
        <v>223</v>
      </c>
      <c r="C39" s="552"/>
      <c r="D39" s="552"/>
      <c r="E39" s="552"/>
      <c r="F39" s="736"/>
      <c r="G39" s="532">
        <f>G37*($I$52/27)</f>
        <v>0</v>
      </c>
      <c r="H39" s="533"/>
      <c r="I39" s="532">
        <f>G37*($I$53/27)</f>
        <v>0</v>
      </c>
      <c r="J39" s="533"/>
      <c r="K39" s="706"/>
      <c r="L39" s="529"/>
      <c r="M39" s="532">
        <f>M37*($I$52/27)</f>
        <v>0</v>
      </c>
      <c r="N39" s="533"/>
      <c r="O39" s="532">
        <f>M37*($I$53/27)</f>
        <v>0</v>
      </c>
      <c r="P39" s="533"/>
      <c r="Q39" s="151"/>
      <c r="R39" s="297"/>
      <c r="S39" s="532">
        <f>S37*($I$52/27)</f>
        <v>0</v>
      </c>
      <c r="T39" s="533"/>
      <c r="U39" s="532">
        <f>S37*($I$53/27)</f>
        <v>0</v>
      </c>
      <c r="V39" s="533"/>
      <c r="W39" s="706"/>
      <c r="X39" s="528"/>
      <c r="Y39" s="296"/>
      <c r="Z39" s="296"/>
      <c r="AA39" s="151"/>
      <c r="AB39" s="296"/>
    </row>
    <row r="40" spans="1:30" ht="12.6" customHeight="1" thickBot="1">
      <c r="A40" s="147"/>
      <c r="B40" s="148"/>
      <c r="C40" s="149"/>
      <c r="D40" s="149"/>
      <c r="E40" s="149"/>
      <c r="F40" s="149"/>
      <c r="G40" s="149"/>
      <c r="H40" s="148"/>
      <c r="I40" s="148"/>
      <c r="J40" s="150"/>
      <c r="K40" s="302"/>
      <c r="L40" s="302"/>
      <c r="M40" s="151"/>
      <c r="N40" s="296"/>
      <c r="O40" s="296"/>
      <c r="P40" s="151"/>
      <c r="Q40" s="151"/>
      <c r="R40" s="151"/>
      <c r="S40" s="151"/>
      <c r="T40" s="151"/>
      <c r="U40" s="151"/>
      <c r="V40" s="151"/>
      <c r="W40" s="296"/>
      <c r="X40" s="151"/>
      <c r="Y40" s="296"/>
      <c r="Z40" s="296"/>
      <c r="AA40" s="151"/>
      <c r="AB40" s="296"/>
    </row>
    <row r="41" spans="1:30" ht="15.6">
      <c r="A41" s="738" t="s">
        <v>224</v>
      </c>
      <c r="B41" s="739"/>
      <c r="C41" s="739"/>
      <c r="D41" s="739"/>
      <c r="E41" s="739"/>
      <c r="F41" s="739"/>
      <c r="G41" s="739"/>
      <c r="H41" s="739"/>
      <c r="I41" s="739"/>
      <c r="J41" s="739"/>
      <c r="K41" s="739"/>
      <c r="L41" s="739"/>
      <c r="M41" s="739"/>
      <c r="N41" s="739"/>
      <c r="O41" s="739"/>
      <c r="P41" s="739"/>
      <c r="Q41" s="739"/>
      <c r="R41" s="739"/>
      <c r="S41" s="739"/>
      <c r="T41" s="739"/>
      <c r="U41" s="739"/>
      <c r="V41" s="739"/>
      <c r="W41" s="739"/>
      <c r="X41" s="739"/>
      <c r="Y41" s="739"/>
      <c r="Z41" s="739"/>
      <c r="AA41" s="739"/>
      <c r="AB41" s="739"/>
      <c r="AC41" s="740"/>
    </row>
    <row r="42" spans="1:30">
      <c r="A42" s="541"/>
      <c r="B42" s="528"/>
      <c r="C42" s="528"/>
      <c r="D42" s="8"/>
      <c r="H42" s="9"/>
      <c r="I42" s="8"/>
      <c r="M42" s="9"/>
      <c r="N42" s="8"/>
      <c r="P42" s="9"/>
      <c r="Q42" s="527" t="s">
        <v>51</v>
      </c>
      <c r="R42" s="528"/>
      <c r="S42" s="529"/>
      <c r="T42" s="8"/>
      <c r="V42" s="9"/>
      <c r="W42" s="8"/>
      <c r="Y42" s="9"/>
      <c r="Z42" s="527"/>
      <c r="AA42" s="528"/>
      <c r="AB42" s="528"/>
      <c r="AC42" s="705"/>
    </row>
    <row r="43" spans="1:30">
      <c r="A43" s="541"/>
      <c r="B43" s="528"/>
      <c r="C43" s="528"/>
      <c r="D43" s="527" t="s">
        <v>225</v>
      </c>
      <c r="E43" s="528"/>
      <c r="F43" s="528"/>
      <c r="G43" s="528"/>
      <c r="H43" s="529"/>
      <c r="I43" s="527" t="s">
        <v>226</v>
      </c>
      <c r="J43" s="528"/>
      <c r="K43" s="528"/>
      <c r="L43" s="528"/>
      <c r="M43" s="529"/>
      <c r="N43" s="527" t="s">
        <v>227</v>
      </c>
      <c r="O43" s="528"/>
      <c r="P43" s="529"/>
      <c r="Q43" s="527" t="s">
        <v>227</v>
      </c>
      <c r="R43" s="528"/>
      <c r="S43" s="529"/>
      <c r="T43" s="527" t="s">
        <v>228</v>
      </c>
      <c r="U43" s="528"/>
      <c r="V43" s="529"/>
      <c r="W43" s="527" t="s">
        <v>229</v>
      </c>
      <c r="X43" s="528"/>
      <c r="Y43" s="529"/>
      <c r="Z43" s="527" t="s">
        <v>230</v>
      </c>
      <c r="AA43" s="528"/>
      <c r="AB43" s="528"/>
      <c r="AC43" s="705"/>
    </row>
    <row r="44" spans="1:30">
      <c r="A44" s="541" t="s">
        <v>231</v>
      </c>
      <c r="B44" s="528"/>
      <c r="C44" s="529"/>
      <c r="D44" s="527" t="s">
        <v>232</v>
      </c>
      <c r="E44" s="528"/>
      <c r="F44" s="528"/>
      <c r="G44" s="528"/>
      <c r="H44" s="529"/>
      <c r="I44" s="527" t="s">
        <v>232</v>
      </c>
      <c r="J44" s="528"/>
      <c r="K44" s="528"/>
      <c r="L44" s="528"/>
      <c r="M44" s="529"/>
      <c r="N44" s="527" t="s">
        <v>233</v>
      </c>
      <c r="O44" s="528"/>
      <c r="P44" s="529"/>
      <c r="Q44" s="527" t="s">
        <v>233</v>
      </c>
      <c r="R44" s="528"/>
      <c r="S44" s="529"/>
      <c r="T44" s="527" t="s">
        <v>233</v>
      </c>
      <c r="U44" s="528"/>
      <c r="V44" s="529"/>
      <c r="W44" s="527" t="s">
        <v>234</v>
      </c>
      <c r="X44" s="528"/>
      <c r="Y44" s="529"/>
      <c r="Z44" s="527" t="s">
        <v>234</v>
      </c>
      <c r="AA44" s="528"/>
      <c r="AB44" s="528"/>
      <c r="AC44" s="705"/>
    </row>
    <row r="45" spans="1:30">
      <c r="A45" s="541"/>
      <c r="B45" s="528"/>
      <c r="C45" s="528"/>
      <c r="D45" s="701" t="s">
        <v>235</v>
      </c>
      <c r="E45" s="702"/>
      <c r="F45" s="702"/>
      <c r="G45" s="702"/>
      <c r="H45" s="703"/>
      <c r="I45" s="701" t="s">
        <v>236</v>
      </c>
      <c r="J45" s="702"/>
      <c r="K45" s="702"/>
      <c r="L45" s="702"/>
      <c r="M45" s="703"/>
      <c r="N45" s="527" t="s">
        <v>237</v>
      </c>
      <c r="O45" s="528"/>
      <c r="P45" s="529"/>
      <c r="Q45" s="527" t="s">
        <v>232</v>
      </c>
      <c r="R45" s="528"/>
      <c r="S45" s="529"/>
      <c r="T45" s="527" t="s">
        <v>232</v>
      </c>
      <c r="U45" s="528"/>
      <c r="V45" s="529"/>
      <c r="W45" s="8"/>
      <c r="Y45" s="9"/>
      <c r="Z45" s="8"/>
      <c r="AC45" s="3"/>
    </row>
    <row r="46" spans="1:30">
      <c r="A46" s="541"/>
      <c r="B46" s="528"/>
      <c r="C46" s="528"/>
      <c r="D46" s="565" t="s">
        <v>238</v>
      </c>
      <c r="E46" s="563"/>
      <c r="F46" s="563"/>
      <c r="G46" s="563"/>
      <c r="H46" s="564"/>
      <c r="I46" s="565" t="s">
        <v>238</v>
      </c>
      <c r="J46" s="563"/>
      <c r="K46" s="563"/>
      <c r="L46" s="563"/>
      <c r="M46" s="564"/>
      <c r="N46" s="565" t="s">
        <v>239</v>
      </c>
      <c r="O46" s="563"/>
      <c r="P46" s="564"/>
      <c r="Q46" s="565" t="s">
        <v>238</v>
      </c>
      <c r="R46" s="563"/>
      <c r="S46" s="564"/>
      <c r="T46" s="565" t="s">
        <v>238</v>
      </c>
      <c r="U46" s="563"/>
      <c r="V46" s="564"/>
      <c r="W46" s="565" t="s">
        <v>240</v>
      </c>
      <c r="X46" s="563"/>
      <c r="Y46" s="564"/>
      <c r="Z46" s="565" t="s">
        <v>240</v>
      </c>
      <c r="AA46" s="563"/>
      <c r="AB46" s="563"/>
      <c r="AC46" s="566"/>
    </row>
    <row r="47" spans="1:30" ht="12.6" customHeight="1">
      <c r="A47" s="539" t="s">
        <v>241</v>
      </c>
      <c r="B47" s="502"/>
      <c r="C47" s="510"/>
      <c r="D47" s="543">
        <f>'MIX DESIGN'!E26</f>
        <v>0</v>
      </c>
      <c r="E47" s="544"/>
      <c r="F47" s="544"/>
      <c r="G47" s="544"/>
      <c r="H47" s="545"/>
      <c r="I47" s="543">
        <f>D47</f>
        <v>0</v>
      </c>
      <c r="J47" s="544"/>
      <c r="K47" s="544"/>
      <c r="L47" s="544"/>
      <c r="M47" s="545"/>
      <c r="N47" s="504"/>
      <c r="O47" s="505"/>
      <c r="P47" s="506"/>
      <c r="Q47" s="543">
        <f>I47*N47</f>
        <v>0</v>
      </c>
      <c r="R47" s="544"/>
      <c r="S47" s="545"/>
      <c r="T47" s="504"/>
      <c r="U47" s="505"/>
      <c r="V47" s="506"/>
      <c r="W47" s="514">
        <f>IFERROR(100*(T47-Q47)/Q47,0)</f>
        <v>0</v>
      </c>
      <c r="X47" s="537"/>
      <c r="Y47" s="538"/>
      <c r="Z47" s="501" t="s">
        <v>242</v>
      </c>
      <c r="AA47" s="502"/>
      <c r="AB47" s="502"/>
      <c r="AC47" s="503"/>
    </row>
    <row r="48" spans="1:30" ht="12" hidden="1" customHeight="1">
      <c r="A48" s="540"/>
      <c r="B48" s="502"/>
      <c r="C48" s="510"/>
      <c r="D48" s="543">
        <f>'MIX DESIGN'!E27</f>
        <v>0</v>
      </c>
      <c r="E48" s="544"/>
      <c r="F48" s="544"/>
      <c r="G48" s="544"/>
      <c r="H48" s="545"/>
      <c r="I48" s="543">
        <f>D48</f>
        <v>0</v>
      </c>
      <c r="J48" s="544"/>
      <c r="K48" s="544"/>
      <c r="L48" s="544"/>
      <c r="M48" s="545"/>
      <c r="N48" s="543">
        <f>N47</f>
        <v>0</v>
      </c>
      <c r="O48" s="544"/>
      <c r="P48" s="545"/>
      <c r="Q48" s="543">
        <f>I48*N48</f>
        <v>0</v>
      </c>
      <c r="R48" s="544"/>
      <c r="S48" s="545"/>
      <c r="T48" s="504"/>
      <c r="U48" s="505"/>
      <c r="V48" s="506"/>
      <c r="W48" s="514" t="str">
        <f>IF(D48=0,"",100*(T48-Q48)/Q48)</f>
        <v/>
      </c>
      <c r="X48" s="537"/>
      <c r="Y48" s="538"/>
      <c r="Z48" s="501" t="s">
        <v>242</v>
      </c>
      <c r="AA48" s="502"/>
      <c r="AB48" s="502"/>
      <c r="AC48" s="503"/>
    </row>
    <row r="49" spans="1:29" ht="12" hidden="1" customHeight="1">
      <c r="A49" s="539"/>
      <c r="B49" s="502"/>
      <c r="C49" s="510"/>
      <c r="D49" s="543">
        <f>'MIX DESIGN'!E28</f>
        <v>0</v>
      </c>
      <c r="E49" s="544"/>
      <c r="F49" s="544"/>
      <c r="G49" s="544"/>
      <c r="H49" s="545"/>
      <c r="I49" s="543">
        <f>D49</f>
        <v>0</v>
      </c>
      <c r="J49" s="544"/>
      <c r="K49" s="544"/>
      <c r="L49" s="544"/>
      <c r="M49" s="545"/>
      <c r="N49" s="543">
        <f>N47</f>
        <v>0</v>
      </c>
      <c r="O49" s="544"/>
      <c r="P49" s="545"/>
      <c r="Q49" s="543">
        <f>I49*N49</f>
        <v>0</v>
      </c>
      <c r="R49" s="544"/>
      <c r="S49" s="545"/>
      <c r="T49" s="504"/>
      <c r="U49" s="505"/>
      <c r="V49" s="506"/>
      <c r="W49" s="514" t="str">
        <f>IF(D49=0,"",100*(T49-Q49)/Q49)</f>
        <v/>
      </c>
      <c r="X49" s="537"/>
      <c r="Y49" s="538"/>
      <c r="Z49" s="501" t="s">
        <v>242</v>
      </c>
      <c r="AA49" s="502"/>
      <c r="AB49" s="502"/>
      <c r="AC49" s="503"/>
    </row>
    <row r="50" spans="1:29" ht="12" hidden="1" customHeight="1">
      <c r="A50" s="720"/>
      <c r="B50" s="721"/>
      <c r="C50" s="722"/>
      <c r="D50" s="543">
        <f>'MIX DESIGN'!E29</f>
        <v>0</v>
      </c>
      <c r="E50" s="544"/>
      <c r="F50" s="544"/>
      <c r="G50" s="544"/>
      <c r="H50" s="545"/>
      <c r="I50" s="543">
        <f>D50</f>
        <v>0</v>
      </c>
      <c r="J50" s="544"/>
      <c r="K50" s="544"/>
      <c r="L50" s="544"/>
      <c r="M50" s="545"/>
      <c r="N50" s="543">
        <f>N47</f>
        <v>0</v>
      </c>
      <c r="O50" s="544"/>
      <c r="P50" s="545"/>
      <c r="Q50" s="543">
        <f>I50*N50</f>
        <v>0</v>
      </c>
      <c r="R50" s="544"/>
      <c r="S50" s="545"/>
      <c r="T50" s="504"/>
      <c r="U50" s="505"/>
      <c r="V50" s="506"/>
      <c r="W50" s="514" t="str">
        <f>IFERROR(IF(D50=0,"",100*(T50-Q50)/Q50),"")</f>
        <v/>
      </c>
      <c r="X50" s="537"/>
      <c r="Y50" s="538"/>
      <c r="Z50" s="501" t="s">
        <v>242</v>
      </c>
      <c r="AA50" s="502"/>
      <c r="AB50" s="502"/>
      <c r="AC50" s="503"/>
    </row>
    <row r="51" spans="1:29" ht="12.6" customHeight="1">
      <c r="A51" s="717" t="s">
        <v>243</v>
      </c>
      <c r="B51" s="718"/>
      <c r="C51" s="719"/>
      <c r="D51" s="544">
        <f>'MIX DESIGN'!E30</f>
        <v>0</v>
      </c>
      <c r="E51" s="544"/>
      <c r="F51" s="544"/>
      <c r="G51" s="544"/>
      <c r="H51" s="545"/>
      <c r="I51" s="543">
        <f>D51</f>
        <v>0</v>
      </c>
      <c r="J51" s="544"/>
      <c r="K51" s="544"/>
      <c r="L51" s="544"/>
      <c r="M51" s="545"/>
      <c r="N51" s="543">
        <f>N48</f>
        <v>0</v>
      </c>
      <c r="O51" s="544"/>
      <c r="P51" s="545"/>
      <c r="Q51" s="543">
        <f>I51*N51</f>
        <v>0</v>
      </c>
      <c r="R51" s="544"/>
      <c r="S51" s="545"/>
      <c r="T51" s="504"/>
      <c r="U51" s="505"/>
      <c r="V51" s="506"/>
      <c r="W51" s="514" t="str">
        <f>IFERROR(IF(D51=0,"",100*(T51-Q51)/Q51),"")</f>
        <v/>
      </c>
      <c r="X51" s="537"/>
      <c r="Y51" s="538"/>
      <c r="Z51" s="501" t="s">
        <v>242</v>
      </c>
      <c r="AA51" s="502"/>
      <c r="AB51" s="502"/>
      <c r="AC51" s="503"/>
    </row>
    <row r="52" spans="1:29" ht="12.6" customHeight="1">
      <c r="A52" s="723" t="s">
        <v>244</v>
      </c>
      <c r="B52" s="502"/>
      <c r="C52" s="510"/>
      <c r="D52" s="544">
        <f>'MIX DESIGN'!E31</f>
        <v>0</v>
      </c>
      <c r="E52" s="544"/>
      <c r="F52" s="544"/>
      <c r="G52" s="544"/>
      <c r="H52" s="545"/>
      <c r="I52" s="543">
        <f>IF(H16="","see cell L16",D52*(1+(H16-H15)/100))</f>
        <v>0</v>
      </c>
      <c r="J52" s="544"/>
      <c r="K52" s="544"/>
      <c r="L52" s="544"/>
      <c r="M52" s="545"/>
      <c r="N52" s="543">
        <f>N47</f>
        <v>0</v>
      </c>
      <c r="O52" s="544"/>
      <c r="P52" s="545"/>
      <c r="Q52" s="543">
        <f>IFERROR(I52*N52,0)</f>
        <v>0</v>
      </c>
      <c r="R52" s="544"/>
      <c r="S52" s="545"/>
      <c r="T52" s="504"/>
      <c r="U52" s="505"/>
      <c r="V52" s="506"/>
      <c r="W52" s="514">
        <f>IFERROR(100*(T52-Q52)/Q52,0)</f>
        <v>0</v>
      </c>
      <c r="X52" s="537"/>
      <c r="Y52" s="538"/>
      <c r="Z52" s="501" t="s">
        <v>245</v>
      </c>
      <c r="AA52" s="502"/>
      <c r="AB52" s="502"/>
      <c r="AC52" s="503"/>
    </row>
    <row r="53" spans="1:29" ht="11.25" customHeight="1">
      <c r="A53" s="723" t="s">
        <v>246</v>
      </c>
      <c r="B53" s="502"/>
      <c r="C53" s="510"/>
      <c r="D53" s="544">
        <f>'MIX DESIGN'!E32</f>
        <v>0</v>
      </c>
      <c r="E53" s="544"/>
      <c r="F53" s="544"/>
      <c r="G53" s="544"/>
      <c r="H53" s="545"/>
      <c r="I53" s="543">
        <f>IF(H19="","see cell L19",D53*(1+(H19-H18)/100))</f>
        <v>0</v>
      </c>
      <c r="J53" s="544"/>
      <c r="K53" s="544"/>
      <c r="L53" s="544"/>
      <c r="M53" s="545"/>
      <c r="N53" s="543">
        <f>N47</f>
        <v>0</v>
      </c>
      <c r="O53" s="544"/>
      <c r="P53" s="545"/>
      <c r="Q53" s="543">
        <f>IFERROR(I53*N53,0)</f>
        <v>0</v>
      </c>
      <c r="R53" s="544"/>
      <c r="S53" s="545"/>
      <c r="T53" s="504"/>
      <c r="U53" s="505"/>
      <c r="V53" s="506"/>
      <c r="W53" s="514">
        <f>IFERROR(100*(T53-Q53)/Q53,0)</f>
        <v>0</v>
      </c>
      <c r="X53" s="537"/>
      <c r="Y53" s="538"/>
      <c r="Z53" s="501" t="s">
        <v>245</v>
      </c>
      <c r="AA53" s="502"/>
      <c r="AB53" s="502"/>
      <c r="AC53" s="503"/>
    </row>
    <row r="54" spans="1:29" ht="14.25" hidden="1" customHeight="1">
      <c r="A54" s="165"/>
      <c r="B54" s="730"/>
      <c r="C54" s="564"/>
      <c r="D54" s="543">
        <f>'MIX DESIGN'!E33</f>
        <v>0</v>
      </c>
      <c r="E54" s="544"/>
      <c r="F54" s="544"/>
      <c r="G54" s="544"/>
      <c r="H54" s="545"/>
      <c r="I54" s="543">
        <f>IF(H22="","see cell L22",D54*(1+(H22-H21)/100))</f>
        <v>0</v>
      </c>
      <c r="J54" s="544"/>
      <c r="K54" s="544"/>
      <c r="L54" s="544"/>
      <c r="M54" s="545"/>
      <c r="N54" s="543"/>
      <c r="O54" s="544"/>
      <c r="P54" s="545"/>
      <c r="Q54" s="543">
        <f>IFERROR(I54*N54,0)</f>
        <v>0</v>
      </c>
      <c r="R54" s="544"/>
      <c r="S54" s="545"/>
      <c r="T54" s="727"/>
      <c r="U54" s="728"/>
      <c r="V54" s="729"/>
      <c r="W54" s="514">
        <f>IFERROR(100*(T54-Q54)/Q54,0)</f>
        <v>0</v>
      </c>
      <c r="X54" s="537"/>
      <c r="Y54" s="538"/>
      <c r="Z54" s="501" t="s">
        <v>245</v>
      </c>
      <c r="AA54" s="502"/>
      <c r="AB54" s="502"/>
      <c r="AC54" s="503"/>
    </row>
    <row r="55" spans="1:29" ht="27" customHeight="1">
      <c r="A55" s="582" t="str">
        <f>'MIX DESIGN'!A34</f>
        <v>WATER FROM LATEX</v>
      </c>
      <c r="B55" s="583"/>
      <c r="C55" s="584"/>
      <c r="D55" s="543">
        <f>'MIX DESIGN'!E34</f>
        <v>0</v>
      </c>
      <c r="E55" s="544"/>
      <c r="F55" s="544"/>
      <c r="G55" s="544"/>
      <c r="H55" s="545"/>
      <c r="I55" s="543">
        <f>D55</f>
        <v>0</v>
      </c>
      <c r="J55" s="544"/>
      <c r="K55" s="544"/>
      <c r="L55" s="544"/>
      <c r="M55" s="545"/>
      <c r="N55" s="543">
        <f>N47</f>
        <v>0</v>
      </c>
      <c r="O55" s="544"/>
      <c r="P55" s="545"/>
      <c r="Q55" s="543">
        <f>I55*N55</f>
        <v>0</v>
      </c>
      <c r="R55" s="544"/>
      <c r="S55" s="545"/>
      <c r="T55" s="504"/>
      <c r="U55" s="505"/>
      <c r="V55" s="506"/>
      <c r="W55" s="585"/>
      <c r="X55" s="586"/>
      <c r="Y55" s="587"/>
      <c r="Z55" s="572"/>
      <c r="AA55" s="573"/>
      <c r="AB55" s="573"/>
      <c r="AC55" s="574"/>
    </row>
    <row r="56" spans="1:29" ht="12.6" customHeight="1">
      <c r="A56" s="539" t="s">
        <v>247</v>
      </c>
      <c r="B56" s="502"/>
      <c r="C56" s="510"/>
      <c r="D56" s="543">
        <f>'MIX DESIGN'!E36</f>
        <v>0</v>
      </c>
      <c r="E56" s="544"/>
      <c r="F56" s="544"/>
      <c r="G56" s="544"/>
      <c r="H56" s="545"/>
      <c r="I56" s="543">
        <f>IFERROR(D56-(I52-D52)-(I53-D53)-(I54-D54),0)</f>
        <v>0</v>
      </c>
      <c r="J56" s="544"/>
      <c r="K56" s="544"/>
      <c r="L56" s="544"/>
      <c r="M56" s="545"/>
      <c r="N56" s="543">
        <f>N47</f>
        <v>0</v>
      </c>
      <c r="O56" s="544"/>
      <c r="P56" s="545"/>
      <c r="Q56" s="543">
        <f>I56*N56</f>
        <v>0</v>
      </c>
      <c r="R56" s="544"/>
      <c r="S56" s="545"/>
      <c r="T56" s="504"/>
      <c r="U56" s="505"/>
      <c r="V56" s="506"/>
      <c r="W56" s="514">
        <f>IFERROR(100*(((T56-Q56)+(T55-Q55))/(Q56+Q55)),0)</f>
        <v>0</v>
      </c>
      <c r="X56" s="537"/>
      <c r="Y56" s="538"/>
      <c r="Z56" s="501" t="s">
        <v>242</v>
      </c>
      <c r="AA56" s="502"/>
      <c r="AB56" s="502"/>
      <c r="AC56" s="503"/>
    </row>
    <row r="57" spans="1:29" ht="12.6" customHeight="1" thickBot="1">
      <c r="A57" s="704" t="s">
        <v>248</v>
      </c>
      <c r="B57" s="603"/>
      <c r="C57" s="615"/>
      <c r="D57" s="590">
        <f>SUM(D47:D56)</f>
        <v>0</v>
      </c>
      <c r="E57" s="591"/>
      <c r="F57" s="591"/>
      <c r="G57" s="591"/>
      <c r="H57" s="592"/>
      <c r="I57" s="590">
        <f>IFERROR(SUM(I47:I56),0)</f>
        <v>0</v>
      </c>
      <c r="J57" s="591"/>
      <c r="K57" s="591"/>
      <c r="L57" s="591"/>
      <c r="M57" s="592"/>
      <c r="N57" s="691" t="s">
        <v>186</v>
      </c>
      <c r="O57" s="692"/>
      <c r="P57" s="693"/>
      <c r="Q57" s="590">
        <f>SUM(Q47:Q56)</f>
        <v>0</v>
      </c>
      <c r="R57" s="591"/>
      <c r="S57" s="592"/>
      <c r="T57" s="590">
        <f>SUM(T47:T56)</f>
        <v>0</v>
      </c>
      <c r="U57" s="591"/>
      <c r="V57" s="592"/>
      <c r="W57" s="691" t="s">
        <v>186</v>
      </c>
      <c r="X57" s="692"/>
      <c r="Y57" s="693"/>
      <c r="Z57" s="696" t="s">
        <v>186</v>
      </c>
      <c r="AA57" s="603"/>
      <c r="AB57" s="603"/>
      <c r="AC57" s="604"/>
    </row>
    <row r="60" spans="1:29" ht="12.6" customHeight="1">
      <c r="A60" t="s">
        <v>249</v>
      </c>
      <c r="H60" s="579"/>
      <c r="I60" s="579"/>
      <c r="J60" s="579"/>
      <c r="K60" s="579"/>
      <c r="L60" s="579"/>
      <c r="M60" s="579"/>
      <c r="N60" s="579"/>
      <c r="O60" s="579"/>
      <c r="P60" s="579"/>
      <c r="Q60" s="579"/>
      <c r="R60" s="579"/>
      <c r="S60" s="579"/>
      <c r="T60" s="579"/>
      <c r="U60" s="579"/>
      <c r="V60" s="579"/>
      <c r="W60" s="579"/>
      <c r="X60" s="579"/>
      <c r="Y60" s="579"/>
      <c r="Z60" s="579"/>
      <c r="AA60" s="579"/>
      <c r="AB60" s="579"/>
      <c r="AC60" s="579"/>
    </row>
    <row r="61" spans="1:29" ht="12.6" customHeight="1">
      <c r="A61" s="579"/>
      <c r="B61" s="579"/>
      <c r="C61" s="579"/>
      <c r="D61" s="579"/>
      <c r="E61" s="579"/>
      <c r="F61" s="579"/>
      <c r="G61" s="579"/>
      <c r="H61" s="579"/>
      <c r="I61" s="579"/>
      <c r="J61" s="579"/>
      <c r="K61" s="579"/>
      <c r="L61" s="579"/>
      <c r="M61" s="579"/>
      <c r="N61" s="579"/>
      <c r="O61" s="579"/>
      <c r="P61" s="579"/>
      <c r="Q61" s="579"/>
      <c r="R61" s="579"/>
      <c r="S61" s="579"/>
      <c r="T61" s="579"/>
      <c r="U61" s="579"/>
      <c r="V61" s="579"/>
      <c r="W61" s="579"/>
      <c r="X61" s="579"/>
      <c r="Y61" s="579"/>
      <c r="Z61" s="579"/>
      <c r="AA61" s="579"/>
      <c r="AB61" s="579"/>
      <c r="AC61" s="579"/>
    </row>
    <row r="62" spans="1:29" ht="12.6" customHeight="1">
      <c r="A62" s="579"/>
      <c r="B62" s="579"/>
      <c r="C62" s="579"/>
      <c r="D62" s="579"/>
      <c r="E62" s="579"/>
      <c r="F62" s="579"/>
      <c r="G62" s="579"/>
      <c r="H62" s="579"/>
      <c r="I62" s="579"/>
      <c r="J62" s="579"/>
      <c r="K62" s="579"/>
      <c r="L62" s="579"/>
      <c r="M62" s="579"/>
      <c r="N62" s="579"/>
      <c r="O62" s="579"/>
      <c r="P62" s="579"/>
      <c r="Q62" s="579"/>
      <c r="R62" s="579"/>
      <c r="S62" s="579"/>
      <c r="T62" s="579"/>
      <c r="U62" s="579"/>
      <c r="V62" s="579"/>
      <c r="W62" s="579"/>
      <c r="X62" s="579"/>
      <c r="Y62" s="579"/>
      <c r="Z62" s="579"/>
      <c r="AA62" s="579"/>
      <c r="AB62" s="579"/>
      <c r="AC62" s="579"/>
    </row>
    <row r="63" spans="1:29" ht="12.6" customHeight="1">
      <c r="A63" s="579"/>
      <c r="B63" s="579"/>
      <c r="C63" s="579"/>
      <c r="D63" s="579"/>
      <c r="E63" s="579"/>
      <c r="F63" s="579"/>
      <c r="G63" s="579"/>
      <c r="H63" s="579"/>
      <c r="I63" s="579"/>
      <c r="J63" s="579"/>
      <c r="K63" s="579"/>
      <c r="L63" s="579"/>
      <c r="M63" s="579"/>
      <c r="N63" s="579"/>
      <c r="O63" s="579"/>
      <c r="P63" s="579"/>
      <c r="Q63" s="579"/>
      <c r="R63" s="579"/>
      <c r="S63" s="579"/>
      <c r="T63" s="579"/>
      <c r="U63" s="579"/>
      <c r="V63" s="579"/>
      <c r="W63" s="579"/>
      <c r="X63" s="579"/>
      <c r="Y63" s="579"/>
      <c r="Z63" s="579"/>
      <c r="AA63" s="579"/>
      <c r="AB63" s="579"/>
      <c r="AC63" s="579"/>
    </row>
    <row r="64" spans="1:29" ht="12.6" customHeight="1">
      <c r="A64" s="579"/>
      <c r="B64" s="579"/>
      <c r="C64" s="579"/>
      <c r="D64" s="579"/>
      <c r="E64" s="579"/>
      <c r="F64" s="579"/>
      <c r="G64" s="579"/>
      <c r="H64" s="579"/>
      <c r="I64" s="579"/>
      <c r="J64" s="579"/>
      <c r="K64" s="579"/>
      <c r="L64" s="579"/>
      <c r="M64" s="579"/>
      <c r="N64" s="579"/>
      <c r="O64" s="579"/>
      <c r="P64" s="579"/>
      <c r="Q64" s="579"/>
      <c r="R64" s="579"/>
      <c r="S64" s="579"/>
      <c r="T64" s="579"/>
      <c r="U64" s="579"/>
      <c r="V64" s="579"/>
      <c r="W64" s="579"/>
      <c r="X64" s="579"/>
      <c r="Y64" s="579"/>
      <c r="Z64" s="579"/>
      <c r="AA64" s="579"/>
      <c r="AB64" s="579"/>
      <c r="AC64" s="579"/>
    </row>
    <row r="65" spans="1:29" ht="12.6" customHeight="1">
      <c r="A65" s="579"/>
      <c r="B65" s="579"/>
      <c r="C65" s="579"/>
      <c r="D65" s="579"/>
      <c r="E65" s="579"/>
      <c r="F65" s="579"/>
      <c r="G65" s="579"/>
      <c r="H65" s="579"/>
      <c r="I65" s="579"/>
      <c r="J65" s="579"/>
      <c r="K65" s="579"/>
      <c r="L65" s="579"/>
      <c r="M65" s="579"/>
      <c r="N65" s="579"/>
      <c r="O65" s="579"/>
      <c r="P65" s="579"/>
      <c r="Q65" s="579"/>
      <c r="R65" s="579"/>
      <c r="S65" s="579"/>
      <c r="T65" s="579"/>
      <c r="U65" s="579"/>
      <c r="V65" s="579"/>
      <c r="W65" s="579"/>
      <c r="X65" s="579"/>
      <c r="Y65" s="579"/>
      <c r="Z65" s="579"/>
      <c r="AA65" s="579"/>
      <c r="AB65" s="579"/>
      <c r="AC65" s="579"/>
    </row>
    <row r="66" spans="1:29" ht="12.6" customHeight="1">
      <c r="A66" s="580"/>
      <c r="B66" s="580"/>
      <c r="C66" s="580"/>
      <c r="D66" s="580"/>
      <c r="E66" s="580"/>
      <c r="F66" s="580"/>
      <c r="G66" s="580"/>
      <c r="H66" s="580"/>
      <c r="I66" s="580"/>
      <c r="J66" s="580"/>
      <c r="K66" s="580"/>
      <c r="L66" s="580"/>
      <c r="M66" s="580"/>
      <c r="N66" s="580"/>
      <c r="O66" s="580"/>
      <c r="P66" s="580"/>
      <c r="Q66" s="580"/>
      <c r="R66" s="580"/>
      <c r="S66" s="580"/>
      <c r="T66" s="580"/>
      <c r="U66" s="580"/>
      <c r="V66" s="580"/>
      <c r="W66" s="580"/>
      <c r="X66" s="580"/>
      <c r="Y66" s="580"/>
      <c r="Z66" s="561" t="s">
        <v>250</v>
      </c>
      <c r="AA66" s="528"/>
      <c r="AB66" s="528"/>
      <c r="AC66" s="528"/>
    </row>
    <row r="67" spans="1:29" ht="15.75" customHeight="1">
      <c r="B67" s="553" t="s">
        <v>251</v>
      </c>
      <c r="C67" s="554"/>
      <c r="D67" s="554"/>
      <c r="E67" s="554"/>
      <c r="F67" s="554"/>
      <c r="G67" s="554"/>
      <c r="H67" s="554"/>
      <c r="I67" s="554"/>
      <c r="J67" s="554"/>
      <c r="K67" s="554"/>
      <c r="L67" s="554"/>
      <c r="M67" s="554"/>
      <c r="N67" s="554"/>
      <c r="O67" s="554"/>
      <c r="P67" s="554"/>
      <c r="Q67" s="554"/>
      <c r="R67" s="554"/>
      <c r="S67" s="554"/>
      <c r="T67" s="1017"/>
      <c r="U67" s="1017"/>
      <c r="V67" s="1017"/>
      <c r="W67" s="1017"/>
      <c r="X67" s="1017"/>
      <c r="Y67" s="1017"/>
    </row>
    <row r="68" spans="1:29">
      <c r="B68" s="588"/>
      <c r="C68" s="576"/>
      <c r="D68" s="576"/>
      <c r="E68" s="576"/>
      <c r="F68" s="576"/>
      <c r="G68" s="577"/>
      <c r="H68" s="575" t="s">
        <v>179</v>
      </c>
      <c r="I68" s="576"/>
      <c r="J68" s="577"/>
      <c r="K68" s="575" t="s">
        <v>252</v>
      </c>
      <c r="L68" s="576"/>
      <c r="M68" s="577"/>
      <c r="N68" s="575" t="s">
        <v>177</v>
      </c>
      <c r="O68" s="576"/>
      <c r="P68" s="577"/>
      <c r="Q68" s="575" t="s">
        <v>252</v>
      </c>
      <c r="R68" s="576"/>
      <c r="S68" s="576"/>
      <c r="T68" s="575" t="s">
        <v>177</v>
      </c>
      <c r="U68" s="576"/>
      <c r="V68" s="577"/>
      <c r="W68" s="575" t="s">
        <v>252</v>
      </c>
      <c r="X68" s="576"/>
      <c r="Y68" s="578"/>
    </row>
    <row r="69" spans="1:29">
      <c r="B69" s="541" t="s">
        <v>253</v>
      </c>
      <c r="C69" s="528"/>
      <c r="D69" s="528"/>
      <c r="E69" s="528"/>
      <c r="F69" s="528"/>
      <c r="G69" s="529"/>
      <c r="H69" s="528" t="s">
        <v>254</v>
      </c>
      <c r="I69" s="528"/>
      <c r="J69" s="529"/>
      <c r="K69" s="560" t="s">
        <v>255</v>
      </c>
      <c r="L69" s="561"/>
      <c r="M69" s="589"/>
      <c r="N69" s="527" t="s">
        <v>256</v>
      </c>
      <c r="O69" s="528"/>
      <c r="P69" s="529"/>
      <c r="Q69" s="560" t="s">
        <v>257</v>
      </c>
      <c r="R69" s="561"/>
      <c r="S69" s="561"/>
      <c r="T69" s="527" t="s">
        <v>256</v>
      </c>
      <c r="U69" s="528"/>
      <c r="V69" s="529"/>
      <c r="W69" s="560" t="s">
        <v>257</v>
      </c>
      <c r="X69" s="561"/>
      <c r="Y69" s="562"/>
    </row>
    <row r="70" spans="1:29">
      <c r="B70" s="597">
        <f>'MIX DESIGN'!G7</f>
        <v>0</v>
      </c>
      <c r="C70" s="598"/>
      <c r="D70" s="598"/>
      <c r="E70" s="598"/>
      <c r="F70" s="598"/>
      <c r="G70" s="598"/>
      <c r="H70" s="527" t="s">
        <v>184</v>
      </c>
      <c r="I70" s="528"/>
      <c r="J70" s="529"/>
      <c r="K70" s="560" t="s">
        <v>258</v>
      </c>
      <c r="L70" s="561"/>
      <c r="M70" s="589"/>
      <c r="N70" s="527" t="s">
        <v>184</v>
      </c>
      <c r="O70" s="528"/>
      <c r="P70" s="529"/>
      <c r="Q70" s="560" t="s">
        <v>256</v>
      </c>
      <c r="R70" s="561"/>
      <c r="S70" s="561"/>
      <c r="T70" s="527" t="s">
        <v>182</v>
      </c>
      <c r="U70" s="528"/>
      <c r="V70" s="529"/>
      <c r="W70" s="560" t="s">
        <v>182</v>
      </c>
      <c r="X70" s="561"/>
      <c r="Y70" s="562"/>
    </row>
    <row r="71" spans="1:29">
      <c r="B71" s="581"/>
      <c r="C71" s="563"/>
      <c r="D71" s="563"/>
      <c r="E71" s="563"/>
      <c r="F71" s="563"/>
      <c r="G71" s="564"/>
      <c r="H71" s="565" t="s">
        <v>259</v>
      </c>
      <c r="I71" s="563"/>
      <c r="J71" s="564"/>
      <c r="K71" s="565" t="s">
        <v>184</v>
      </c>
      <c r="L71" s="563"/>
      <c r="M71" s="564"/>
      <c r="N71" s="565" t="s">
        <v>259</v>
      </c>
      <c r="O71" s="563"/>
      <c r="P71" s="564"/>
      <c r="Q71" s="565" t="s">
        <v>184</v>
      </c>
      <c r="R71" s="563"/>
      <c r="S71" s="563"/>
      <c r="T71" s="565" t="s">
        <v>259</v>
      </c>
      <c r="U71" s="563"/>
      <c r="V71" s="564"/>
      <c r="W71" s="565" t="s">
        <v>184</v>
      </c>
      <c r="X71" s="563"/>
      <c r="Y71" s="566"/>
    </row>
    <row r="72" spans="1:29">
      <c r="B72" s="539" t="s">
        <v>260</v>
      </c>
      <c r="C72" s="502"/>
      <c r="D72" s="502"/>
      <c r="E72" s="502"/>
      <c r="F72" s="502"/>
      <c r="G72" s="510"/>
      <c r="H72" s="542">
        <f>IFERROR((T56+T55+T54-(T54/(1+H22/100))+T53-(T53/(1+H19/100))+T52-(T52/(1+H16/100))-(T54*H21/(100+H22))-(T53*H18/(100+H19))-(T52*H15/(100+H16)))/(T47+T48+T49+T50),0)</f>
        <v>0</v>
      </c>
      <c r="I72" s="570"/>
      <c r="J72" s="571"/>
      <c r="K72" s="501"/>
      <c r="L72" s="502"/>
      <c r="M72" s="510"/>
      <c r="N72" s="542" t="str">
        <f>IFERROR(((T56+T55+T54-(T54/(1+O22/100))+T53-(T53/(1+O19/100))+T52-(T52/(1+O16/100))-(T54*O21/(100+O22))-(T53*O18/(100+O19))-(T52*O15/(100+O16)))/(T47+T48+T49+T50)),"")</f>
        <v/>
      </c>
      <c r="O72" s="570"/>
      <c r="P72" s="571"/>
      <c r="Q72" s="501"/>
      <c r="R72" s="502"/>
      <c r="S72" s="502"/>
      <c r="T72" s="542" t="str">
        <f>IFERROR((T56+T55+T54-(T54/(1+V22/100))+T53-(T53/(1+V19/100))+T52-(T52/(1+V16/100))-(T54*V21/(100+V22))-(T53*V18/(100+V19))-(T52*V15/(100+V16)))/(T47+T48+T49+T50),"")</f>
        <v/>
      </c>
      <c r="U72" s="570"/>
      <c r="V72" s="571"/>
      <c r="W72" s="501"/>
      <c r="X72" s="502"/>
      <c r="Y72" s="503"/>
    </row>
    <row r="73" spans="1:29">
      <c r="B73" s="540" t="s">
        <v>261</v>
      </c>
      <c r="C73" s="502"/>
      <c r="D73" s="502"/>
      <c r="E73" s="502"/>
      <c r="F73" s="502"/>
      <c r="G73" s="510"/>
      <c r="H73" s="567"/>
      <c r="I73" s="568"/>
      <c r="J73" s="569"/>
      <c r="K73" s="534"/>
      <c r="L73" s="535"/>
      <c r="M73" s="536"/>
      <c r="N73" s="567"/>
      <c r="O73" s="568"/>
      <c r="P73" s="569"/>
      <c r="Q73" s="534"/>
      <c r="R73" s="535"/>
      <c r="S73" s="535"/>
      <c r="T73" s="567"/>
      <c r="U73" s="568"/>
      <c r="V73" s="569"/>
      <c r="W73" s="534"/>
      <c r="X73" s="535"/>
      <c r="Y73" s="555"/>
    </row>
    <row r="74" spans="1:29">
      <c r="B74" s="539" t="s">
        <v>262</v>
      </c>
      <c r="C74" s="502"/>
      <c r="D74" s="502"/>
      <c r="E74" s="502"/>
      <c r="F74" s="502"/>
      <c r="G74" s="510"/>
      <c r="H74" s="567"/>
      <c r="I74" s="568"/>
      <c r="J74" s="569"/>
      <c r="K74" s="534"/>
      <c r="L74" s="535"/>
      <c r="M74" s="536"/>
      <c r="N74" s="567"/>
      <c r="O74" s="568"/>
      <c r="P74" s="569"/>
      <c r="Q74" s="534"/>
      <c r="R74" s="535"/>
      <c r="S74" s="535"/>
      <c r="T74" s="567"/>
      <c r="U74" s="568"/>
      <c r="V74" s="569"/>
      <c r="W74" s="534"/>
      <c r="X74" s="535"/>
      <c r="Y74" s="555"/>
    </row>
    <row r="75" spans="1:29">
      <c r="B75" s="539" t="s">
        <v>263</v>
      </c>
      <c r="C75" s="502"/>
      <c r="D75" s="502"/>
      <c r="E75" s="502"/>
      <c r="F75" s="502"/>
      <c r="G75" s="510"/>
      <c r="H75" s="542">
        <f>H73-H74</f>
        <v>0</v>
      </c>
      <c r="I75" s="570"/>
      <c r="J75" s="571"/>
      <c r="K75" s="501"/>
      <c r="L75" s="502"/>
      <c r="M75" s="510"/>
      <c r="N75" s="542">
        <f>N73-N74</f>
        <v>0</v>
      </c>
      <c r="O75" s="570"/>
      <c r="P75" s="571"/>
      <c r="Q75" s="501"/>
      <c r="R75" s="502"/>
      <c r="S75" s="502"/>
      <c r="T75" s="542">
        <f>T73-T74</f>
        <v>0</v>
      </c>
      <c r="U75" s="570"/>
      <c r="V75" s="571"/>
      <c r="W75" s="501"/>
      <c r="X75" s="502"/>
      <c r="Y75" s="503"/>
    </row>
    <row r="76" spans="1:29" ht="21.75" customHeight="1">
      <c r="B76" s="594" t="s">
        <v>264</v>
      </c>
      <c r="C76" s="595"/>
      <c r="D76" s="595"/>
      <c r="E76" s="595"/>
      <c r="F76" s="595"/>
      <c r="G76" s="596"/>
      <c r="H76" s="605">
        <f>G37</f>
        <v>0</v>
      </c>
      <c r="I76" s="606"/>
      <c r="J76" s="607"/>
      <c r="K76" s="534"/>
      <c r="L76" s="535"/>
      <c r="M76" s="536"/>
      <c r="N76" s="605">
        <f>M37</f>
        <v>0</v>
      </c>
      <c r="O76" s="606"/>
      <c r="P76" s="607"/>
      <c r="Q76" s="534"/>
      <c r="R76" s="535"/>
      <c r="S76" s="535"/>
      <c r="T76" s="605">
        <f>S37</f>
        <v>0</v>
      </c>
      <c r="U76" s="606"/>
      <c r="V76" s="607"/>
      <c r="W76" s="534"/>
      <c r="X76" s="535"/>
      <c r="Y76" s="555"/>
    </row>
    <row r="77" spans="1:29" ht="12.75" customHeight="1">
      <c r="B77" s="539" t="s">
        <v>265</v>
      </c>
      <c r="C77" s="502"/>
      <c r="D77" s="502"/>
      <c r="E77" s="502"/>
      <c r="F77" s="502"/>
      <c r="G77" s="510"/>
      <c r="H77" s="608">
        <f>IFERROR(H75/H76,0)</f>
        <v>0</v>
      </c>
      <c r="I77" s="609"/>
      <c r="J77" s="610"/>
      <c r="K77" s="593"/>
      <c r="L77" s="526"/>
      <c r="M77" s="688"/>
      <c r="N77" s="608">
        <f>IFERROR(N75/N76,0)</f>
        <v>0</v>
      </c>
      <c r="O77" s="609"/>
      <c r="P77" s="610"/>
      <c r="Q77" s="593"/>
      <c r="R77" s="526"/>
      <c r="S77" s="526"/>
      <c r="T77" s="608">
        <f>IFERROR(T75/T76,0)</f>
        <v>0</v>
      </c>
      <c r="U77" s="609"/>
      <c r="V77" s="610"/>
      <c r="W77" s="593"/>
      <c r="X77" s="526"/>
      <c r="Y77" s="611"/>
    </row>
    <row r="78" spans="1:29">
      <c r="B78" s="539" t="s">
        <v>266</v>
      </c>
      <c r="C78" s="502"/>
      <c r="D78" s="502"/>
      <c r="E78" s="502"/>
      <c r="F78" s="502"/>
      <c r="G78" s="510"/>
      <c r="H78" s="612"/>
      <c r="I78" s="613"/>
      <c r="J78" s="614"/>
      <c r="K78" s="534"/>
      <c r="L78" s="535"/>
      <c r="M78" s="536"/>
      <c r="N78" s="612"/>
      <c r="O78" s="613"/>
      <c r="P78" s="614"/>
      <c r="Q78" s="534"/>
      <c r="R78" s="535"/>
      <c r="S78" s="535"/>
      <c r="T78" s="612"/>
      <c r="U78" s="613"/>
      <c r="V78" s="614"/>
      <c r="W78" s="534"/>
      <c r="X78" s="535"/>
      <c r="Y78" s="555"/>
    </row>
    <row r="79" spans="1:29">
      <c r="B79" s="539" t="s">
        <v>195</v>
      </c>
      <c r="C79" s="502"/>
      <c r="D79" s="502"/>
      <c r="E79" s="502"/>
      <c r="F79" s="502"/>
      <c r="G79" s="510"/>
      <c r="H79" s="608">
        <f>H23</f>
        <v>0</v>
      </c>
      <c r="I79" s="609"/>
      <c r="J79" s="610"/>
      <c r="K79" s="501"/>
      <c r="L79" s="502"/>
      <c r="M79" s="510"/>
      <c r="N79" s="608">
        <f>O23</f>
        <v>0</v>
      </c>
      <c r="O79" s="609"/>
      <c r="P79" s="610"/>
      <c r="Q79" s="501"/>
      <c r="R79" s="502"/>
      <c r="S79" s="502"/>
      <c r="T79" s="608">
        <f>V23</f>
        <v>0</v>
      </c>
      <c r="U79" s="609"/>
      <c r="V79" s="610"/>
      <c r="W79" s="501"/>
      <c r="X79" s="502"/>
      <c r="Y79" s="503"/>
    </row>
    <row r="80" spans="1:29">
      <c r="B80" s="539" t="s">
        <v>267</v>
      </c>
      <c r="C80" s="502"/>
      <c r="D80" s="502"/>
      <c r="E80" s="502"/>
      <c r="F80" s="502"/>
      <c r="G80" s="510"/>
      <c r="H80" s="608">
        <f>H78-H79</f>
        <v>0</v>
      </c>
      <c r="I80" s="609"/>
      <c r="J80" s="610"/>
      <c r="K80" s="501"/>
      <c r="L80" s="502"/>
      <c r="M80" s="510"/>
      <c r="N80" s="608">
        <f>N78-N79</f>
        <v>0</v>
      </c>
      <c r="O80" s="609"/>
      <c r="P80" s="610"/>
      <c r="Q80" s="501"/>
      <c r="R80" s="502"/>
      <c r="S80" s="502"/>
      <c r="T80" s="608">
        <f>T78-T79</f>
        <v>0</v>
      </c>
      <c r="U80" s="609"/>
      <c r="V80" s="610"/>
      <c r="W80" s="501"/>
      <c r="X80" s="502"/>
      <c r="Y80" s="503"/>
    </row>
    <row r="81" spans="2:29">
      <c r="B81" s="539" t="s">
        <v>268</v>
      </c>
      <c r="C81" s="502"/>
      <c r="D81" s="502"/>
      <c r="E81" s="502"/>
      <c r="F81" s="502"/>
      <c r="G81" s="510"/>
      <c r="H81" s="684"/>
      <c r="I81" s="685"/>
      <c r="J81" s="686"/>
      <c r="K81" s="534"/>
      <c r="L81" s="535"/>
      <c r="M81" s="536"/>
      <c r="N81" s="684"/>
      <c r="O81" s="685"/>
      <c r="P81" s="686"/>
      <c r="Q81" s="534"/>
      <c r="R81" s="535"/>
      <c r="S81" s="535"/>
      <c r="T81" s="684"/>
      <c r="U81" s="685"/>
      <c r="V81" s="686"/>
      <c r="W81" s="534"/>
      <c r="X81" s="535"/>
      <c r="Y81" s="555"/>
    </row>
    <row r="82" spans="2:29" ht="13.9" thickBot="1">
      <c r="B82" s="704" t="s">
        <v>269</v>
      </c>
      <c r="C82" s="603"/>
      <c r="D82" s="603"/>
      <c r="E82" s="603"/>
      <c r="F82" s="603"/>
      <c r="G82" s="615"/>
      <c r="H82" s="599">
        <f>IFERROR(T57/(N47*27*H77),0)</f>
        <v>0</v>
      </c>
      <c r="I82" s="600"/>
      <c r="J82" s="601"/>
      <c r="K82" s="602"/>
      <c r="L82" s="603"/>
      <c r="M82" s="615"/>
      <c r="N82" s="599">
        <f>IFERROR(T57/(N47*27*N77),0)</f>
        <v>0</v>
      </c>
      <c r="O82" s="600"/>
      <c r="P82" s="601"/>
      <c r="Q82" s="602"/>
      <c r="R82" s="603"/>
      <c r="S82" s="603"/>
      <c r="T82" s="599">
        <f>IFERROR(T57/(N47*27*T77),0)</f>
        <v>0</v>
      </c>
      <c r="U82" s="600"/>
      <c r="V82" s="601"/>
      <c r="W82" s="602"/>
      <c r="X82" s="603"/>
      <c r="Y82" s="604"/>
    </row>
    <row r="83" spans="2:29" ht="13.9" thickBot="1">
      <c r="G83" s="296"/>
      <c r="H83" s="296"/>
      <c r="I83" s="296"/>
      <c r="J83" s="296"/>
      <c r="K83" s="296"/>
      <c r="L83" s="296"/>
      <c r="M83" s="20"/>
      <c r="N83" s="20"/>
      <c r="O83" s="20"/>
      <c r="P83" s="22"/>
      <c r="Q83" s="22"/>
      <c r="R83" s="22"/>
      <c r="S83" s="20"/>
      <c r="T83" s="20"/>
      <c r="U83" s="20"/>
      <c r="V83" s="22"/>
      <c r="W83" s="22"/>
      <c r="X83" s="22"/>
    </row>
    <row r="84" spans="2:29" ht="36" customHeight="1">
      <c r="E84" s="731" t="s">
        <v>270</v>
      </c>
      <c r="F84" s="732"/>
      <c r="G84" s="732"/>
      <c r="H84" s="732"/>
      <c r="I84" s="732"/>
      <c r="J84" s="732"/>
      <c r="K84" s="732"/>
      <c r="L84" s="732"/>
      <c r="M84" s="732"/>
      <c r="N84" s="732"/>
      <c r="O84" s="732"/>
      <c r="P84" s="732"/>
      <c r="Q84" s="732"/>
      <c r="R84" s="732"/>
      <c r="S84" s="732"/>
      <c r="T84" s="732"/>
      <c r="U84" s="732"/>
      <c r="V84" s="732"/>
      <c r="W84" s="732"/>
      <c r="X84" s="732"/>
      <c r="Y84" s="733"/>
      <c r="Z84" s="10"/>
      <c r="AA84" s="10"/>
      <c r="AB84" s="10"/>
      <c r="AC84" s="10"/>
    </row>
    <row r="85" spans="2:29" ht="12.6" customHeight="1">
      <c r="E85" s="12"/>
      <c r="F85" s="11"/>
      <c r="G85" s="13"/>
      <c r="H85" s="575" t="s">
        <v>271</v>
      </c>
      <c r="I85" s="576"/>
      <c r="J85" s="576"/>
      <c r="K85" s="576"/>
      <c r="L85" s="576"/>
      <c r="M85" s="577"/>
      <c r="N85" s="575" t="s">
        <v>252</v>
      </c>
      <c r="O85" s="576"/>
      <c r="P85" s="577"/>
      <c r="Q85" s="575" t="s">
        <v>272</v>
      </c>
      <c r="R85" s="576"/>
      <c r="S85" s="576"/>
      <c r="T85" s="576"/>
      <c r="U85" s="576"/>
      <c r="V85" s="576"/>
      <c r="W85" s="575" t="s">
        <v>252</v>
      </c>
      <c r="X85" s="576"/>
      <c r="Y85" s="578"/>
    </row>
    <row r="86" spans="2:29" ht="12.6" customHeight="1">
      <c r="E86" s="14"/>
      <c r="H86" s="527" t="s">
        <v>273</v>
      </c>
      <c r="I86" s="528"/>
      <c r="J86" s="528"/>
      <c r="K86" s="528"/>
      <c r="L86" s="528"/>
      <c r="M86" s="529"/>
      <c r="N86" s="560" t="s">
        <v>274</v>
      </c>
      <c r="O86" s="561"/>
      <c r="P86" s="589"/>
      <c r="Q86" s="527" t="s">
        <v>275</v>
      </c>
      <c r="R86" s="528"/>
      <c r="S86" s="528"/>
      <c r="T86" s="528"/>
      <c r="U86" s="528"/>
      <c r="V86" s="528"/>
      <c r="W86" s="560" t="s">
        <v>257</v>
      </c>
      <c r="X86" s="561"/>
      <c r="Y86" s="562"/>
    </row>
    <row r="87" spans="2:29" ht="12.6" customHeight="1">
      <c r="E87" s="541" t="s">
        <v>276</v>
      </c>
      <c r="F87" s="528"/>
      <c r="G87" s="529"/>
      <c r="H87" s="565" t="s">
        <v>277</v>
      </c>
      <c r="I87" s="563"/>
      <c r="J87" s="563"/>
      <c r="K87" s="563"/>
      <c r="L87" s="563"/>
      <c r="M87" s="563"/>
      <c r="N87" s="560" t="s">
        <v>179</v>
      </c>
      <c r="O87" s="561"/>
      <c r="P87" s="589"/>
      <c r="Q87" s="563" t="s">
        <v>277</v>
      </c>
      <c r="R87" s="563"/>
      <c r="S87" s="563"/>
      <c r="T87" s="563"/>
      <c r="U87" s="563"/>
      <c r="V87" s="563"/>
      <c r="W87" s="560" t="s">
        <v>256</v>
      </c>
      <c r="X87" s="561"/>
      <c r="Y87" s="562"/>
    </row>
    <row r="88" spans="2:29" ht="12.6" customHeight="1">
      <c r="E88" s="581"/>
      <c r="F88" s="563"/>
      <c r="G88" s="564"/>
      <c r="H88" s="533" t="s">
        <v>278</v>
      </c>
      <c r="I88" s="533"/>
      <c r="J88" s="533"/>
      <c r="K88" s="533" t="s">
        <v>279</v>
      </c>
      <c r="L88" s="533"/>
      <c r="M88" s="533"/>
      <c r="N88" s="550" t="s">
        <v>184</v>
      </c>
      <c r="O88" s="550"/>
      <c r="P88" s="550"/>
      <c r="Q88" s="533" t="s">
        <v>278</v>
      </c>
      <c r="R88" s="533"/>
      <c r="S88" s="533"/>
      <c r="T88" s="533" t="s">
        <v>279</v>
      </c>
      <c r="U88" s="533"/>
      <c r="V88" s="533"/>
      <c r="W88" s="565" t="s">
        <v>184</v>
      </c>
      <c r="X88" s="563"/>
      <c r="Y88" s="566"/>
    </row>
    <row r="89" spans="2:29" ht="12.6" customHeight="1">
      <c r="E89" s="666"/>
      <c r="F89" s="662"/>
      <c r="G89" s="662"/>
      <c r="H89" s="677"/>
      <c r="I89" s="677"/>
      <c r="J89" s="677"/>
      <c r="K89" s="627">
        <f>IFERROR(AVERAGE(H89:J91),0)</f>
        <v>0</v>
      </c>
      <c r="L89" s="628"/>
      <c r="M89" s="629"/>
      <c r="N89" s="662"/>
      <c r="O89" s="662"/>
      <c r="P89" s="662"/>
      <c r="Q89" s="677"/>
      <c r="R89" s="677"/>
      <c r="S89" s="677"/>
      <c r="T89" s="649">
        <f>IFERROR(AVERAGE(Q89:S91),0)</f>
        <v>0</v>
      </c>
      <c r="U89" s="650"/>
      <c r="V89" s="651"/>
      <c r="W89" s="661"/>
      <c r="X89" s="662"/>
      <c r="Y89" s="663"/>
    </row>
    <row r="90" spans="2:29" ht="12.6" customHeight="1">
      <c r="E90" s="666"/>
      <c r="F90" s="662"/>
      <c r="G90" s="662"/>
      <c r="H90" s="677"/>
      <c r="I90" s="677"/>
      <c r="J90" s="677"/>
      <c r="K90" s="630"/>
      <c r="L90" s="631"/>
      <c r="M90" s="632"/>
      <c r="N90" s="662"/>
      <c r="O90" s="662"/>
      <c r="P90" s="662"/>
      <c r="Q90" s="677"/>
      <c r="R90" s="677"/>
      <c r="S90" s="677"/>
      <c r="T90" s="652"/>
      <c r="U90" s="653"/>
      <c r="V90" s="654"/>
      <c r="W90" s="661"/>
      <c r="X90" s="662"/>
      <c r="Y90" s="663"/>
    </row>
    <row r="91" spans="2:29" ht="12.6" customHeight="1" thickBot="1">
      <c r="E91" s="626"/>
      <c r="F91" s="621"/>
      <c r="G91" s="621"/>
      <c r="H91" s="679"/>
      <c r="I91" s="680"/>
      <c r="J91" s="681"/>
      <c r="K91" s="633"/>
      <c r="L91" s="634"/>
      <c r="M91" s="635"/>
      <c r="N91" s="519"/>
      <c r="O91" s="520"/>
      <c r="P91" s="521"/>
      <c r="Q91" s="679"/>
      <c r="R91" s="680"/>
      <c r="S91" s="681"/>
      <c r="T91" s="655"/>
      <c r="U91" s="656"/>
      <c r="V91" s="657"/>
      <c r="W91" s="682"/>
      <c r="X91" s="520"/>
      <c r="Y91" s="670"/>
    </row>
    <row r="92" spans="2:29" ht="12.6" customHeight="1">
      <c r="E92" s="648"/>
      <c r="F92" s="624"/>
      <c r="G92" s="624"/>
      <c r="H92" s="683"/>
      <c r="I92" s="683"/>
      <c r="J92" s="683"/>
      <c r="K92" s="627">
        <f>IFERROR(AVERAGE(H92:J94),0)</f>
        <v>0</v>
      </c>
      <c r="L92" s="628"/>
      <c r="M92" s="629"/>
      <c r="N92" s="624"/>
      <c r="O92" s="624"/>
      <c r="P92" s="624"/>
      <c r="Q92" s="683"/>
      <c r="R92" s="683"/>
      <c r="S92" s="683"/>
      <c r="T92" s="649">
        <f>IFERROR(AVERAGE(Q92:S94),0)</f>
        <v>0</v>
      </c>
      <c r="U92" s="650"/>
      <c r="V92" s="651"/>
      <c r="W92" s="623"/>
      <c r="X92" s="624"/>
      <c r="Y92" s="625"/>
    </row>
    <row r="93" spans="2:29" ht="12.6" customHeight="1">
      <c r="E93" s="666"/>
      <c r="F93" s="662"/>
      <c r="G93" s="662"/>
      <c r="H93" s="677"/>
      <c r="I93" s="677"/>
      <c r="J93" s="677"/>
      <c r="K93" s="630"/>
      <c r="L93" s="631"/>
      <c r="M93" s="632"/>
      <c r="N93" s="662"/>
      <c r="O93" s="662"/>
      <c r="P93" s="662"/>
      <c r="Q93" s="677"/>
      <c r="R93" s="677"/>
      <c r="S93" s="677"/>
      <c r="T93" s="652"/>
      <c r="U93" s="653"/>
      <c r="V93" s="654"/>
      <c r="W93" s="661"/>
      <c r="X93" s="662"/>
      <c r="Y93" s="663"/>
    </row>
    <row r="94" spans="2:29" ht="12.6" customHeight="1" thickBot="1">
      <c r="E94" s="626"/>
      <c r="F94" s="621"/>
      <c r="G94" s="621"/>
      <c r="H94" s="679"/>
      <c r="I94" s="680"/>
      <c r="J94" s="681"/>
      <c r="K94" s="633"/>
      <c r="L94" s="634"/>
      <c r="M94" s="635"/>
      <c r="N94" s="519"/>
      <c r="O94" s="520"/>
      <c r="P94" s="521"/>
      <c r="Q94" s="679"/>
      <c r="R94" s="680"/>
      <c r="S94" s="681"/>
      <c r="T94" s="655"/>
      <c r="U94" s="656"/>
      <c r="V94" s="657"/>
      <c r="W94" s="682"/>
      <c r="X94" s="520"/>
      <c r="Y94" s="670"/>
    </row>
    <row r="95" spans="2:29" ht="12.6" customHeight="1">
      <c r="E95" s="648"/>
      <c r="F95" s="624"/>
      <c r="G95" s="624"/>
      <c r="H95" s="624"/>
      <c r="I95" s="624"/>
      <c r="J95" s="624"/>
      <c r="K95" s="627">
        <f>IFERROR(AVERAGE(H95:J97),0)</f>
        <v>0</v>
      </c>
      <c r="L95" s="628"/>
      <c r="M95" s="629"/>
      <c r="N95" s="624"/>
      <c r="O95" s="624"/>
      <c r="P95" s="624"/>
      <c r="Q95" s="624"/>
      <c r="R95" s="624"/>
      <c r="S95" s="624"/>
      <c r="T95" s="649">
        <f>IFERROR(AVERAGE(Q95:S97),0)</f>
        <v>0</v>
      </c>
      <c r="U95" s="650"/>
      <c r="V95" s="651"/>
      <c r="W95" s="623"/>
      <c r="X95" s="624"/>
      <c r="Y95" s="625"/>
    </row>
    <row r="96" spans="2:29" ht="12.6" customHeight="1">
      <c r="E96" s="666"/>
      <c r="F96" s="662"/>
      <c r="G96" s="662"/>
      <c r="H96" s="534"/>
      <c r="I96" s="535"/>
      <c r="J96" s="536"/>
      <c r="K96" s="630"/>
      <c r="L96" s="631"/>
      <c r="M96" s="632"/>
      <c r="N96" s="534"/>
      <c r="O96" s="535"/>
      <c r="P96" s="536"/>
      <c r="Q96" s="534"/>
      <c r="R96" s="535"/>
      <c r="S96" s="536"/>
      <c r="T96" s="652"/>
      <c r="U96" s="653"/>
      <c r="V96" s="654"/>
      <c r="W96" s="678"/>
      <c r="X96" s="535"/>
      <c r="Y96" s="555"/>
    </row>
    <row r="97" spans="1:29" ht="12.6" customHeight="1" thickBot="1">
      <c r="E97" s="626"/>
      <c r="F97" s="621"/>
      <c r="G97" s="621"/>
      <c r="H97" s="621"/>
      <c r="I97" s="621"/>
      <c r="J97" s="621"/>
      <c r="K97" s="633"/>
      <c r="L97" s="634"/>
      <c r="M97" s="635"/>
      <c r="N97" s="621"/>
      <c r="O97" s="621"/>
      <c r="P97" s="621"/>
      <c r="Q97" s="621"/>
      <c r="R97" s="621"/>
      <c r="S97" s="621"/>
      <c r="T97" s="655"/>
      <c r="U97" s="656"/>
      <c r="V97" s="657"/>
      <c r="W97" s="620"/>
      <c r="X97" s="621"/>
      <c r="Y97" s="622"/>
    </row>
    <row r="98" spans="1:29" ht="12.6" customHeight="1">
      <c r="E98" s="667"/>
      <c r="F98" s="668"/>
      <c r="G98" s="669"/>
      <c r="H98" s="664"/>
      <c r="I98" s="659"/>
      <c r="J98" s="665"/>
      <c r="K98" s="627">
        <f>IFERROR(AVERAGE(H98:J100),0)</f>
        <v>0</v>
      </c>
      <c r="L98" s="628"/>
      <c r="M98" s="629"/>
      <c r="N98" s="664"/>
      <c r="O98" s="659"/>
      <c r="P98" s="665"/>
      <c r="Q98" s="664"/>
      <c r="R98" s="659"/>
      <c r="S98" s="665"/>
      <c r="T98" s="649">
        <f>IFERROR(AVERAGE(Q98:S100),0)</f>
        <v>0</v>
      </c>
      <c r="U98" s="650"/>
      <c r="V98" s="651"/>
      <c r="W98" s="664"/>
      <c r="X98" s="659"/>
      <c r="Y98" s="660"/>
    </row>
    <row r="99" spans="1:29" ht="12.6" customHeight="1">
      <c r="E99" s="671"/>
      <c r="F99" s="672"/>
      <c r="G99" s="673"/>
      <c r="H99" s="534"/>
      <c r="I99" s="535"/>
      <c r="J99" s="536"/>
      <c r="K99" s="630"/>
      <c r="L99" s="631"/>
      <c r="M99" s="632"/>
      <c r="N99" s="534"/>
      <c r="O99" s="535"/>
      <c r="P99" s="536"/>
      <c r="Q99" s="534"/>
      <c r="R99" s="535"/>
      <c r="S99" s="536"/>
      <c r="T99" s="652"/>
      <c r="U99" s="653"/>
      <c r="V99" s="654"/>
      <c r="W99" s="534"/>
      <c r="X99" s="535"/>
      <c r="Y99" s="555"/>
    </row>
    <row r="100" spans="1:29" ht="12.6" customHeight="1" thickBot="1">
      <c r="E100" s="674"/>
      <c r="F100" s="675"/>
      <c r="G100" s="676"/>
      <c r="H100" s="519"/>
      <c r="I100" s="520"/>
      <c r="J100" s="521"/>
      <c r="K100" s="633"/>
      <c r="L100" s="634"/>
      <c r="M100" s="635"/>
      <c r="N100" s="519"/>
      <c r="O100" s="520"/>
      <c r="P100" s="521"/>
      <c r="Q100" s="519"/>
      <c r="R100" s="520"/>
      <c r="S100" s="521"/>
      <c r="T100" s="655"/>
      <c r="U100" s="656"/>
      <c r="V100" s="657"/>
      <c r="W100" s="519"/>
      <c r="X100" s="520"/>
      <c r="Y100" s="670"/>
    </row>
    <row r="101" spans="1:29" ht="12.6" customHeight="1">
      <c r="E101" s="648"/>
      <c r="F101" s="624"/>
      <c r="G101" s="624"/>
      <c r="H101" s="664"/>
      <c r="I101" s="659"/>
      <c r="J101" s="665"/>
      <c r="K101" s="627">
        <f>IFERROR(AVERAGE(H101:J103),0)</f>
        <v>0</v>
      </c>
      <c r="L101" s="628"/>
      <c r="M101" s="629"/>
      <c r="N101" s="664"/>
      <c r="O101" s="659"/>
      <c r="P101" s="665"/>
      <c r="Q101" s="664"/>
      <c r="R101" s="659"/>
      <c r="S101" s="665"/>
      <c r="T101" s="649">
        <f>IFERROR(AVERAGE(Q101:S103),0)</f>
        <v>0</v>
      </c>
      <c r="U101" s="650"/>
      <c r="V101" s="651"/>
      <c r="W101" s="658"/>
      <c r="X101" s="659"/>
      <c r="Y101" s="660"/>
    </row>
    <row r="102" spans="1:29" ht="12.6" customHeight="1">
      <c r="A102" s="305"/>
      <c r="B102" s="305"/>
      <c r="C102" s="305"/>
      <c r="D102" s="305"/>
      <c r="E102" s="666"/>
      <c r="F102" s="662"/>
      <c r="G102" s="662"/>
      <c r="H102" s="662"/>
      <c r="I102" s="662"/>
      <c r="J102" s="662"/>
      <c r="K102" s="630"/>
      <c r="L102" s="631"/>
      <c r="M102" s="632"/>
      <c r="N102" s="662"/>
      <c r="O102" s="662"/>
      <c r="P102" s="662"/>
      <c r="Q102" s="534"/>
      <c r="R102" s="535"/>
      <c r="S102" s="536"/>
      <c r="T102" s="652"/>
      <c r="U102" s="653"/>
      <c r="V102" s="654"/>
      <c r="W102" s="661"/>
      <c r="X102" s="662"/>
      <c r="Y102" s="663"/>
    </row>
    <row r="103" spans="1:29" ht="12.6" customHeight="1" thickBot="1">
      <c r="A103" s="305"/>
      <c r="B103" s="305"/>
      <c r="C103" s="305"/>
      <c r="D103" s="305"/>
      <c r="E103" s="626"/>
      <c r="F103" s="621"/>
      <c r="G103" s="621"/>
      <c r="H103" s="621"/>
      <c r="I103" s="621"/>
      <c r="J103" s="621"/>
      <c r="K103" s="633"/>
      <c r="L103" s="634"/>
      <c r="M103" s="635"/>
      <c r="N103" s="621"/>
      <c r="O103" s="621"/>
      <c r="P103" s="621"/>
      <c r="Q103" s="519"/>
      <c r="R103" s="520"/>
      <c r="S103" s="521"/>
      <c r="T103" s="655"/>
      <c r="U103" s="656"/>
      <c r="V103" s="657"/>
      <c r="W103" s="620"/>
      <c r="X103" s="621"/>
      <c r="Y103" s="622"/>
    </row>
    <row r="104" spans="1:29" ht="12.6" customHeight="1">
      <c r="A104" s="305"/>
      <c r="B104" s="305"/>
      <c r="C104" s="305"/>
      <c r="D104" s="305"/>
      <c r="E104" s="648"/>
      <c r="F104" s="624"/>
      <c r="G104" s="624"/>
      <c r="H104" s="624"/>
      <c r="I104" s="624"/>
      <c r="J104" s="624"/>
      <c r="K104" s="636">
        <f>IFERROR(AVERAGE(H104:J105),0)</f>
        <v>0</v>
      </c>
      <c r="L104" s="637"/>
      <c r="M104" s="638"/>
      <c r="N104" s="624"/>
      <c r="O104" s="624"/>
      <c r="P104" s="624"/>
      <c r="Q104" s="624"/>
      <c r="R104" s="624"/>
      <c r="S104" s="624"/>
      <c r="T104" s="642">
        <f>IFERROR(AVERAGE(Q104:S105),0)</f>
        <v>0</v>
      </c>
      <c r="U104" s="643"/>
      <c r="V104" s="644"/>
      <c r="W104" s="623"/>
      <c r="X104" s="624"/>
      <c r="Y104" s="625"/>
    </row>
    <row r="105" spans="1:29" ht="12.6" customHeight="1" thickBot="1">
      <c r="A105" s="305"/>
      <c r="B105" s="305"/>
      <c r="C105" s="305"/>
      <c r="D105" s="305"/>
      <c r="E105" s="626"/>
      <c r="F105" s="621"/>
      <c r="G105" s="621"/>
      <c r="H105" s="621"/>
      <c r="I105" s="621"/>
      <c r="J105" s="621"/>
      <c r="K105" s="639"/>
      <c r="L105" s="640"/>
      <c r="M105" s="641"/>
      <c r="N105" s="621"/>
      <c r="O105" s="621"/>
      <c r="P105" s="621"/>
      <c r="Q105" s="621"/>
      <c r="R105" s="621"/>
      <c r="S105" s="621"/>
      <c r="T105" s="645"/>
      <c r="U105" s="646"/>
      <c r="V105" s="647"/>
      <c r="W105" s="620"/>
      <c r="X105" s="621"/>
      <c r="Y105" s="622"/>
    </row>
    <row r="106" spans="1:29" ht="12.6" customHeight="1"/>
    <row r="107" spans="1:29">
      <c r="A107" s="21" t="s">
        <v>280</v>
      </c>
      <c r="B107" s="305"/>
      <c r="C107" s="305"/>
      <c r="D107" s="305"/>
      <c r="E107" s="305"/>
      <c r="F107" s="305"/>
      <c r="G107" s="305"/>
      <c r="H107" s="305"/>
      <c r="I107" s="616"/>
      <c r="J107" s="579"/>
      <c r="K107" s="579"/>
      <c r="L107" s="579"/>
      <c r="M107" s="579"/>
      <c r="N107" s="579"/>
      <c r="O107" s="579"/>
      <c r="P107" s="579"/>
      <c r="Q107" s="579"/>
      <c r="R107" s="579"/>
      <c r="S107" s="579"/>
      <c r="T107" s="579"/>
      <c r="U107" s="579"/>
      <c r="V107" s="579"/>
      <c r="W107" s="579"/>
      <c r="X107" s="579"/>
      <c r="Y107" s="579"/>
      <c r="Z107" s="579"/>
      <c r="AA107" s="579"/>
      <c r="AB107" s="579"/>
      <c r="AC107" s="579"/>
    </row>
    <row r="108" spans="1:29">
      <c r="A108" s="616"/>
      <c r="B108" s="579"/>
      <c r="C108" s="579"/>
      <c r="D108" s="579"/>
      <c r="E108" s="579"/>
      <c r="F108" s="579"/>
      <c r="G108" s="579"/>
      <c r="H108" s="579"/>
      <c r="I108" s="579"/>
      <c r="J108" s="579"/>
      <c r="K108" s="579"/>
      <c r="L108" s="579"/>
      <c r="M108" s="579"/>
      <c r="N108" s="579"/>
      <c r="O108" s="579"/>
      <c r="P108" s="579"/>
      <c r="Q108" s="579"/>
      <c r="R108" s="579"/>
      <c r="S108" s="579"/>
      <c r="T108" s="579"/>
      <c r="U108" s="579"/>
      <c r="V108" s="579"/>
      <c r="W108" s="579"/>
      <c r="X108" s="579"/>
      <c r="Y108" s="579"/>
      <c r="Z108" s="579"/>
      <c r="AA108" s="579"/>
      <c r="AB108" s="579"/>
      <c r="AC108" s="579"/>
    </row>
    <row r="109" spans="1:29">
      <c r="A109" s="616"/>
      <c r="B109" s="579"/>
      <c r="C109" s="579"/>
      <c r="D109" s="579"/>
      <c r="E109" s="579"/>
      <c r="F109" s="579"/>
      <c r="G109" s="579"/>
      <c r="H109" s="579"/>
      <c r="I109" s="579"/>
      <c r="J109" s="579"/>
      <c r="K109" s="579"/>
      <c r="L109" s="579"/>
      <c r="M109" s="579"/>
      <c r="N109" s="579"/>
      <c r="O109" s="579"/>
      <c r="P109" s="579"/>
      <c r="Q109" s="579"/>
      <c r="R109" s="579"/>
      <c r="S109" s="579"/>
      <c r="T109" s="579"/>
      <c r="U109" s="579"/>
      <c r="V109" s="579"/>
      <c r="W109" s="579"/>
      <c r="X109" s="579"/>
      <c r="Y109" s="579"/>
      <c r="Z109" s="579"/>
      <c r="AA109" s="579"/>
      <c r="AB109" s="579"/>
      <c r="AC109" s="579"/>
    </row>
    <row r="110" spans="1:29">
      <c r="A110" s="616"/>
      <c r="B110" s="579"/>
      <c r="C110" s="579"/>
      <c r="D110" s="579"/>
      <c r="E110" s="579"/>
      <c r="F110" s="579"/>
      <c r="G110" s="579"/>
      <c r="H110" s="579"/>
      <c r="I110" s="579"/>
      <c r="J110" s="579"/>
      <c r="K110" s="579"/>
      <c r="L110" s="579"/>
      <c r="M110" s="579"/>
      <c r="N110" s="579"/>
      <c r="O110" s="579"/>
      <c r="P110" s="579"/>
      <c r="Q110" s="579"/>
      <c r="R110" s="579"/>
      <c r="S110" s="579"/>
      <c r="T110" s="579"/>
      <c r="U110" s="579"/>
      <c r="V110" s="579"/>
      <c r="W110" s="579"/>
      <c r="X110" s="579"/>
      <c r="Y110" s="579"/>
      <c r="Z110" s="579"/>
      <c r="AA110" s="579"/>
      <c r="AB110" s="579"/>
      <c r="AC110" s="579"/>
    </row>
    <row r="111" spans="1:29">
      <c r="A111" s="616"/>
      <c r="B111" s="579"/>
      <c r="C111" s="579"/>
      <c r="D111" s="579"/>
      <c r="E111" s="579"/>
      <c r="F111" s="579"/>
      <c r="G111" s="579"/>
      <c r="H111" s="579"/>
      <c r="I111" s="579"/>
      <c r="J111" s="579"/>
      <c r="K111" s="579"/>
      <c r="L111" s="579"/>
      <c r="M111" s="579"/>
      <c r="N111" s="579"/>
      <c r="O111" s="579"/>
      <c r="P111" s="579"/>
      <c r="Q111" s="579"/>
      <c r="R111" s="579"/>
      <c r="S111" s="579"/>
      <c r="T111" s="579"/>
      <c r="U111" s="579"/>
      <c r="V111" s="579"/>
      <c r="W111" s="579"/>
      <c r="X111" s="579"/>
      <c r="Y111" s="579"/>
      <c r="Z111" s="579"/>
      <c r="AA111" s="579"/>
      <c r="AB111" s="579"/>
      <c r="AC111" s="579"/>
    </row>
    <row r="112" spans="1:29">
      <c r="A112" s="616"/>
      <c r="B112" s="579"/>
      <c r="C112" s="579"/>
      <c r="D112" s="579"/>
      <c r="E112" s="579"/>
      <c r="F112" s="579"/>
      <c r="G112" s="579"/>
      <c r="H112" s="579"/>
      <c r="I112" s="579"/>
      <c r="J112" s="579"/>
      <c r="K112" s="579"/>
      <c r="L112" s="579"/>
      <c r="M112" s="579"/>
      <c r="N112" s="579"/>
      <c r="O112" s="579"/>
      <c r="P112" s="579"/>
      <c r="Q112" s="579"/>
      <c r="R112" s="579"/>
      <c r="S112" s="579"/>
      <c r="T112" s="579"/>
      <c r="U112" s="579"/>
      <c r="V112" s="579"/>
      <c r="W112" s="579"/>
      <c r="X112" s="579"/>
      <c r="Y112" s="579"/>
      <c r="Z112" s="579"/>
      <c r="AA112" s="579"/>
      <c r="AB112" s="579"/>
      <c r="AC112" s="579"/>
    </row>
    <row r="113" spans="1:29">
      <c r="A113" s="616"/>
      <c r="B113" s="579"/>
      <c r="C113" s="579"/>
      <c r="D113" s="579"/>
      <c r="E113" s="579"/>
      <c r="F113" s="579"/>
      <c r="G113" s="579"/>
      <c r="H113" s="579"/>
      <c r="I113" s="579"/>
      <c r="J113" s="579"/>
      <c r="K113" s="579"/>
      <c r="L113" s="579"/>
      <c r="M113" s="579"/>
      <c r="N113" s="579"/>
      <c r="O113" s="579"/>
      <c r="P113" s="579"/>
      <c r="Q113" s="579"/>
      <c r="R113" s="579"/>
      <c r="S113" s="579"/>
      <c r="T113" s="579"/>
      <c r="U113" s="579"/>
      <c r="V113" s="579"/>
      <c r="W113" s="579"/>
      <c r="X113" s="579"/>
      <c r="Y113" s="579"/>
      <c r="Z113" s="579"/>
      <c r="AA113" s="579"/>
      <c r="AB113" s="579"/>
      <c r="AC113" s="579"/>
    </row>
    <row r="114" spans="1:29">
      <c r="A114" s="616"/>
      <c r="B114" s="579"/>
      <c r="C114" s="579"/>
      <c r="D114" s="579"/>
      <c r="E114" s="579"/>
      <c r="F114" s="579"/>
      <c r="G114" s="579"/>
      <c r="H114" s="579"/>
      <c r="I114" s="579"/>
      <c r="J114" s="579"/>
      <c r="K114" s="579"/>
      <c r="L114" s="579"/>
      <c r="M114" s="579"/>
      <c r="N114" s="579"/>
      <c r="O114" s="579"/>
      <c r="P114" s="579"/>
      <c r="Q114" s="579"/>
      <c r="R114" s="579"/>
      <c r="S114" s="579"/>
      <c r="T114" s="579"/>
      <c r="U114" s="579"/>
      <c r="V114" s="579"/>
      <c r="W114" s="579"/>
      <c r="X114" s="579"/>
      <c r="Y114" s="579"/>
      <c r="Z114" s="579"/>
      <c r="AA114" s="579"/>
      <c r="AB114" s="579"/>
      <c r="AC114" s="579"/>
    </row>
    <row r="115" spans="1:29">
      <c r="A115" s="616"/>
      <c r="B115" s="579"/>
      <c r="C115" s="579"/>
      <c r="D115" s="579"/>
      <c r="E115" s="579"/>
      <c r="F115" s="579"/>
      <c r="G115" s="579"/>
      <c r="H115" s="579"/>
      <c r="I115" s="579"/>
      <c r="J115" s="579"/>
      <c r="K115" s="579"/>
      <c r="L115" s="579"/>
      <c r="M115" s="579"/>
      <c r="N115" s="579"/>
      <c r="O115" s="579"/>
      <c r="P115" s="579"/>
      <c r="Q115" s="579"/>
      <c r="R115" s="579"/>
      <c r="S115" s="579"/>
      <c r="T115" s="579"/>
      <c r="U115" s="579"/>
      <c r="V115" s="579"/>
      <c r="W115" s="579"/>
      <c r="X115" s="579"/>
      <c r="Y115" s="579"/>
      <c r="Z115" s="579"/>
      <c r="AA115" s="579"/>
      <c r="AB115" s="579"/>
      <c r="AC115" s="579"/>
    </row>
    <row r="116" spans="1:29" ht="13.9" thickBot="1">
      <c r="A116" s="617"/>
      <c r="B116" s="617"/>
      <c r="C116" s="617"/>
      <c r="D116" s="617"/>
      <c r="E116" s="617"/>
      <c r="F116" s="617"/>
      <c r="G116" s="617"/>
      <c r="H116" s="617"/>
      <c r="I116" s="617"/>
      <c r="J116" s="617"/>
      <c r="K116" s="617"/>
      <c r="L116" s="617"/>
      <c r="M116" s="617"/>
      <c r="N116" s="617"/>
      <c r="O116" s="617"/>
      <c r="P116" s="617"/>
      <c r="Q116" s="617"/>
      <c r="R116" s="617"/>
      <c r="S116" s="617"/>
      <c r="T116" s="617"/>
      <c r="U116" s="617"/>
      <c r="V116" s="617"/>
      <c r="W116" s="617"/>
      <c r="X116" s="617"/>
      <c r="Y116" s="618" t="s">
        <v>250</v>
      </c>
      <c r="Z116" s="619"/>
      <c r="AA116" s="619"/>
      <c r="AB116" s="619"/>
      <c r="AC116" s="619"/>
    </row>
    <row r="117" spans="1:29" s="155" customFormat="1" ht="13.9" thickTop="1"/>
    <row r="118" spans="1:29" s="155" customFormat="1"/>
    <row r="119" spans="1:29" s="155" customFormat="1"/>
    <row r="120" spans="1:29" s="155" customFormat="1"/>
    <row r="121" spans="1:29" s="155" customFormat="1"/>
    <row r="122" spans="1:29" s="155" customFormat="1"/>
    <row r="123" spans="1:29" s="155" customFormat="1"/>
    <row r="124" spans="1:29" s="155" customFormat="1"/>
    <row r="125" spans="1:29" s="155" customFormat="1"/>
    <row r="126" spans="1:29" s="155" customFormat="1"/>
    <row r="127" spans="1:29" s="155" customFormat="1"/>
    <row r="128" spans="1:29" s="155" customFormat="1"/>
    <row r="129" s="155" customFormat="1"/>
    <row r="130" s="155" customFormat="1"/>
    <row r="131" s="155" customFormat="1"/>
    <row r="132" s="155" customFormat="1"/>
    <row r="133" s="155" customFormat="1"/>
    <row r="134" s="155" customFormat="1"/>
    <row r="135" s="155" customFormat="1"/>
    <row r="136" s="155" customFormat="1"/>
    <row r="137" s="155" customFormat="1"/>
    <row r="138" s="155" customFormat="1"/>
    <row r="139" s="155" customFormat="1"/>
    <row r="140" s="155" customFormat="1"/>
    <row r="141" s="155" customFormat="1"/>
    <row r="142" s="155" customFormat="1"/>
    <row r="143" s="155" customFormat="1"/>
    <row r="144" s="155" customFormat="1"/>
    <row r="145" s="155" customFormat="1"/>
    <row r="146" s="155" customFormat="1"/>
    <row r="147" s="155" customFormat="1"/>
    <row r="148" s="155" customFormat="1"/>
    <row r="149" s="155" customFormat="1"/>
    <row r="150" s="155" customFormat="1"/>
    <row r="151" s="155" customFormat="1"/>
    <row r="152" s="155" customFormat="1"/>
    <row r="153" s="155" customFormat="1"/>
    <row r="154" s="155" customFormat="1"/>
    <row r="155" s="155" customFormat="1"/>
    <row r="156" s="155" customFormat="1"/>
    <row r="157" s="155" customFormat="1"/>
    <row r="158" s="155" customFormat="1"/>
    <row r="159" s="155" customFormat="1"/>
    <row r="160" s="155" customFormat="1"/>
    <row r="161" s="155" customFormat="1"/>
    <row r="162" s="155" customFormat="1"/>
    <row r="163" s="155" customFormat="1"/>
    <row r="164" s="155" customFormat="1"/>
    <row r="165" s="155" customFormat="1"/>
    <row r="166" s="155" customFormat="1"/>
    <row r="167" s="155" customFormat="1"/>
    <row r="168" s="155" customFormat="1"/>
    <row r="169" s="155" customFormat="1"/>
    <row r="170" s="155" customFormat="1"/>
    <row r="171" s="155" customFormat="1"/>
    <row r="172" s="155" customFormat="1"/>
    <row r="173" s="155" customFormat="1"/>
    <row r="174" s="155" customFormat="1"/>
    <row r="175" s="155" customFormat="1"/>
    <row r="176" s="155" customFormat="1"/>
    <row r="177" s="155" customFormat="1"/>
    <row r="178" s="155" customFormat="1"/>
    <row r="179" s="155" customFormat="1"/>
    <row r="180" s="155" customFormat="1"/>
    <row r="181" s="155" customFormat="1"/>
    <row r="182" s="155" customFormat="1"/>
    <row r="183" s="155" customFormat="1"/>
    <row r="184" s="155" customFormat="1"/>
    <row r="185" s="155" customFormat="1"/>
    <row r="186" s="155" customFormat="1"/>
    <row r="187" s="155" customFormat="1"/>
    <row r="188" s="155" customFormat="1"/>
    <row r="189" s="155" customFormat="1"/>
    <row r="190" s="155" customFormat="1"/>
    <row r="191" s="155" customFormat="1"/>
    <row r="192" s="155" customFormat="1"/>
    <row r="193" s="155" customFormat="1"/>
    <row r="194" s="155" customFormat="1"/>
    <row r="195" s="155" customFormat="1"/>
    <row r="196" s="155" customFormat="1"/>
    <row r="197" s="155" customFormat="1"/>
    <row r="198" s="155" customFormat="1"/>
    <row r="199" s="155" customFormat="1"/>
    <row r="200" s="155" customFormat="1"/>
  </sheetData>
  <sheetProtection password="DE78" sheet="1" objects="1" scenarios="1" formatCells="0" selectLockedCells="1"/>
  <mergeCells count="553">
    <mergeCell ref="W89:Y89"/>
    <mergeCell ref="Q89:S89"/>
    <mergeCell ref="S38:T38"/>
    <mergeCell ref="N85:P85"/>
    <mergeCell ref="Y30:Z30"/>
    <mergeCell ref="AA30:AB30"/>
    <mergeCell ref="Y31:Z31"/>
    <mergeCell ref="AA31:AB31"/>
    <mergeCell ref="W86:Y86"/>
    <mergeCell ref="W87:Y87"/>
    <mergeCell ref="A41:AC41"/>
    <mergeCell ref="W46:Y46"/>
    <mergeCell ref="Q43:S43"/>
    <mergeCell ref="I46:M46"/>
    <mergeCell ref="D46:H46"/>
    <mergeCell ref="D49:H49"/>
    <mergeCell ref="D48:H48"/>
    <mergeCell ref="T48:V48"/>
    <mergeCell ref="Z44:AC44"/>
    <mergeCell ref="T44:V44"/>
    <mergeCell ref="B30:H30"/>
    <mergeCell ref="J30:L30"/>
    <mergeCell ref="O30:P30"/>
    <mergeCell ref="H78:J78"/>
    <mergeCell ref="E89:G89"/>
    <mergeCell ref="S29:T29"/>
    <mergeCell ref="S31:T31"/>
    <mergeCell ref="B31:F31"/>
    <mergeCell ref="B39:F39"/>
    <mergeCell ref="B38:F38"/>
    <mergeCell ref="G38:H38"/>
    <mergeCell ref="I38:J38"/>
    <mergeCell ref="K38:L38"/>
    <mergeCell ref="E87:G87"/>
    <mergeCell ref="H87:M87"/>
    <mergeCell ref="N87:P87"/>
    <mergeCell ref="Q87:V87"/>
    <mergeCell ref="T88:V88"/>
    <mergeCell ref="H88:J88"/>
    <mergeCell ref="E88:G88"/>
    <mergeCell ref="K88:M88"/>
    <mergeCell ref="Q75:S75"/>
    <mergeCell ref="Q76:S76"/>
    <mergeCell ref="K71:M71"/>
    <mergeCell ref="Q73:S73"/>
    <mergeCell ref="N71:P71"/>
    <mergeCell ref="K76:M76"/>
    <mergeCell ref="N88:P88"/>
    <mergeCell ref="W91:Y91"/>
    <mergeCell ref="N89:P89"/>
    <mergeCell ref="T89:V91"/>
    <mergeCell ref="N91:P91"/>
    <mergeCell ref="H92:J92"/>
    <mergeCell ref="H93:J93"/>
    <mergeCell ref="W90:Y90"/>
    <mergeCell ref="A26:A27"/>
    <mergeCell ref="J28:L28"/>
    <mergeCell ref="J29:L29"/>
    <mergeCell ref="J31:L31"/>
    <mergeCell ref="N70:P70"/>
    <mergeCell ref="K74:M74"/>
    <mergeCell ref="E84:Y84"/>
    <mergeCell ref="Q85:V85"/>
    <mergeCell ref="W85:Y85"/>
    <mergeCell ref="U27:V27"/>
    <mergeCell ref="U28:V28"/>
    <mergeCell ref="U29:V29"/>
    <mergeCell ref="U31:V31"/>
    <mergeCell ref="W38:X38"/>
    <mergeCell ref="W39:X39"/>
    <mergeCell ref="M38:N38"/>
    <mergeCell ref="O38:P38"/>
    <mergeCell ref="H82:J82"/>
    <mergeCell ref="B82:G82"/>
    <mergeCell ref="H86:M86"/>
    <mergeCell ref="N86:P86"/>
    <mergeCell ref="D51:H51"/>
    <mergeCell ref="I50:M50"/>
    <mergeCell ref="D43:H43"/>
    <mergeCell ref="N74:P74"/>
    <mergeCell ref="K69:M69"/>
    <mergeCell ref="D57:H57"/>
    <mergeCell ref="A62:AC62"/>
    <mergeCell ref="K68:M68"/>
    <mergeCell ref="W57:Y57"/>
    <mergeCell ref="Z53:AC53"/>
    <mergeCell ref="Q68:S68"/>
    <mergeCell ref="H69:J69"/>
    <mergeCell ref="H85:M85"/>
    <mergeCell ref="N73:P73"/>
    <mergeCell ref="K73:M73"/>
    <mergeCell ref="Q74:S74"/>
    <mergeCell ref="N75:P75"/>
    <mergeCell ref="N76:P76"/>
    <mergeCell ref="A65:AC65"/>
    <mergeCell ref="B72:G72"/>
    <mergeCell ref="H81:J81"/>
    <mergeCell ref="A53:C53"/>
    <mergeCell ref="Q57:S57"/>
    <mergeCell ref="D53:H53"/>
    <mergeCell ref="T54:V54"/>
    <mergeCell ref="D54:H54"/>
    <mergeCell ref="I54:M54"/>
    <mergeCell ref="W56:Y56"/>
    <mergeCell ref="I57:M57"/>
    <mergeCell ref="B54:C54"/>
    <mergeCell ref="D55:H55"/>
    <mergeCell ref="I55:M55"/>
    <mergeCell ref="Q55:S55"/>
    <mergeCell ref="Q56:S56"/>
    <mergeCell ref="N55:P55"/>
    <mergeCell ref="I56:M56"/>
    <mergeCell ref="N56:P56"/>
    <mergeCell ref="T81:V81"/>
    <mergeCell ref="W81:Y81"/>
    <mergeCell ref="A57:C57"/>
    <mergeCell ref="W80:Y80"/>
    <mergeCell ref="Q53:S53"/>
    <mergeCell ref="T53:V53"/>
    <mergeCell ref="W54:Y54"/>
    <mergeCell ref="A21:G21"/>
    <mergeCell ref="A22:G22"/>
    <mergeCell ref="Q48:S48"/>
    <mergeCell ref="V23:X23"/>
    <mergeCell ref="A51:C51"/>
    <mergeCell ref="A50:C50"/>
    <mergeCell ref="T46:V46"/>
    <mergeCell ref="D50:H50"/>
    <mergeCell ref="A52:C52"/>
    <mergeCell ref="Q51:S51"/>
    <mergeCell ref="M37:P37"/>
    <mergeCell ref="A35:AC35"/>
    <mergeCell ref="AA32:AB32"/>
    <mergeCell ref="AA33:AB33"/>
    <mergeCell ref="S33:T33"/>
    <mergeCell ref="Y32:Z32"/>
    <mergeCell ref="Y33:Z33"/>
    <mergeCell ref="U38:V38"/>
    <mergeCell ref="W44:Y44"/>
    <mergeCell ref="Z48:AC48"/>
    <mergeCell ref="W43:Y43"/>
    <mergeCell ref="S37:V37"/>
    <mergeCell ref="W52:Y52"/>
    <mergeCell ref="N45:P45"/>
    <mergeCell ref="Z51:AC51"/>
    <mergeCell ref="T51:V51"/>
    <mergeCell ref="W50:Y50"/>
    <mergeCell ref="W49:Y49"/>
    <mergeCell ref="O33:P33"/>
    <mergeCell ref="I49:M49"/>
    <mergeCell ref="O32:P32"/>
    <mergeCell ref="O31:P31"/>
    <mergeCell ref="S39:T39"/>
    <mergeCell ref="I51:M51"/>
    <mergeCell ref="W51:Y51"/>
    <mergeCell ref="N50:P50"/>
    <mergeCell ref="Z49:AC49"/>
    <mergeCell ref="I48:M48"/>
    <mergeCell ref="G37:J37"/>
    <mergeCell ref="G36:J36"/>
    <mergeCell ref="M36:P36"/>
    <mergeCell ref="Q50:S50"/>
    <mergeCell ref="N51:P51"/>
    <mergeCell ref="N43:P43"/>
    <mergeCell ref="U32:V32"/>
    <mergeCell ref="U33:V33"/>
    <mergeCell ref="S32:T32"/>
    <mergeCell ref="M32:N32"/>
    <mergeCell ref="Y23:AB23"/>
    <mergeCell ref="T47:V47"/>
    <mergeCell ref="W47:Y47"/>
    <mergeCell ref="I45:M45"/>
    <mergeCell ref="N44:P44"/>
    <mergeCell ref="N46:P46"/>
    <mergeCell ref="Z43:AC43"/>
    <mergeCell ref="K21:N21"/>
    <mergeCell ref="K22:N22"/>
    <mergeCell ref="I39:J39"/>
    <mergeCell ref="K39:L39"/>
    <mergeCell ref="M39:N39"/>
    <mergeCell ref="O27:P27"/>
    <mergeCell ref="S28:T28"/>
    <mergeCell ref="K23:N23"/>
    <mergeCell ref="O28:P28"/>
    <mergeCell ref="O29:P29"/>
    <mergeCell ref="S36:V36"/>
    <mergeCell ref="Y22:AB22"/>
    <mergeCell ref="Z46:AC46"/>
    <mergeCell ref="Z42:AC42"/>
    <mergeCell ref="U39:V39"/>
    <mergeCell ref="J32:L32"/>
    <mergeCell ref="Q44:S44"/>
    <mergeCell ref="H19:J19"/>
    <mergeCell ref="K19:N19"/>
    <mergeCell ref="H21:J21"/>
    <mergeCell ref="I47:M47"/>
    <mergeCell ref="A20:G20"/>
    <mergeCell ref="K20:N20"/>
    <mergeCell ref="A19:G19"/>
    <mergeCell ref="A12:G12"/>
    <mergeCell ref="K17:N17"/>
    <mergeCell ref="I43:M43"/>
    <mergeCell ref="J33:L33"/>
    <mergeCell ref="J26:L27"/>
    <mergeCell ref="A45:C45"/>
    <mergeCell ref="A43:C43"/>
    <mergeCell ref="A44:C44"/>
    <mergeCell ref="I44:M44"/>
    <mergeCell ref="M31:N31"/>
    <mergeCell ref="H20:J20"/>
    <mergeCell ref="N47:P47"/>
    <mergeCell ref="D45:H45"/>
    <mergeCell ref="D44:H44"/>
    <mergeCell ref="A23:G23"/>
    <mergeCell ref="D47:H47"/>
    <mergeCell ref="G39:H39"/>
    <mergeCell ref="K11:N11"/>
    <mergeCell ref="H17:J17"/>
    <mergeCell ref="H18:J18"/>
    <mergeCell ref="O11:Q11"/>
    <mergeCell ref="H12:J12"/>
    <mergeCell ref="O13:Q13"/>
    <mergeCell ref="O17:Q17"/>
    <mergeCell ref="K16:N16"/>
    <mergeCell ref="O16:Q16"/>
    <mergeCell ref="O15:Q15"/>
    <mergeCell ref="O14:Q14"/>
    <mergeCell ref="K18:N18"/>
    <mergeCell ref="O18:Q18"/>
    <mergeCell ref="K15:N15"/>
    <mergeCell ref="A11:G11"/>
    <mergeCell ref="H13:J13"/>
    <mergeCell ref="H14:J14"/>
    <mergeCell ref="A17:G17"/>
    <mergeCell ref="A13:G13"/>
    <mergeCell ref="A14:G14"/>
    <mergeCell ref="A1:AC1"/>
    <mergeCell ref="N57:P57"/>
    <mergeCell ref="W5:AB5"/>
    <mergeCell ref="A6:AB6"/>
    <mergeCell ref="P7:AB7"/>
    <mergeCell ref="A8:AB8"/>
    <mergeCell ref="J2:L2"/>
    <mergeCell ref="P2:AB2"/>
    <mergeCell ref="J3:AB3"/>
    <mergeCell ref="A15:G15"/>
    <mergeCell ref="A16:G16"/>
    <mergeCell ref="R14:U14"/>
    <mergeCell ref="K12:N12"/>
    <mergeCell ref="K13:N13"/>
    <mergeCell ref="R11:U11"/>
    <mergeCell ref="Z57:AC57"/>
    <mergeCell ref="C2:E2"/>
    <mergeCell ref="R12:U12"/>
    <mergeCell ref="F4:M4"/>
    <mergeCell ref="Z47:AC47"/>
    <mergeCell ref="Z50:AC50"/>
    <mergeCell ref="Y15:AB15"/>
    <mergeCell ref="Y21:AB21"/>
    <mergeCell ref="H15:J15"/>
    <mergeCell ref="H77:J77"/>
    <mergeCell ref="B78:G78"/>
    <mergeCell ref="K77:M77"/>
    <mergeCell ref="H75:J75"/>
    <mergeCell ref="H76:J76"/>
    <mergeCell ref="B77:G77"/>
    <mergeCell ref="R13:U13"/>
    <mergeCell ref="K14:N14"/>
    <mergeCell ref="T50:V50"/>
    <mergeCell ref="Q45:S45"/>
    <mergeCell ref="Q42:S42"/>
    <mergeCell ref="T43:V43"/>
    <mergeCell ref="Q47:S47"/>
    <mergeCell ref="Q46:S46"/>
    <mergeCell ref="R20:U20"/>
    <mergeCell ref="O19:Q19"/>
    <mergeCell ref="O21:Q21"/>
    <mergeCell ref="N48:P48"/>
    <mergeCell ref="Q82:S82"/>
    <mergeCell ref="N82:P82"/>
    <mergeCell ref="Q81:S81"/>
    <mergeCell ref="Q80:S80"/>
    <mergeCell ref="N81:P81"/>
    <mergeCell ref="N80:P80"/>
    <mergeCell ref="K78:M78"/>
    <mergeCell ref="K80:M80"/>
    <mergeCell ref="K79:M79"/>
    <mergeCell ref="Q79:S79"/>
    <mergeCell ref="Q78:S78"/>
    <mergeCell ref="N78:P78"/>
    <mergeCell ref="W92:Y92"/>
    <mergeCell ref="N92:P92"/>
    <mergeCell ref="K92:M94"/>
    <mergeCell ref="T92:V94"/>
    <mergeCell ref="Q90:S90"/>
    <mergeCell ref="K81:M81"/>
    <mergeCell ref="B80:G80"/>
    <mergeCell ref="N79:P79"/>
    <mergeCell ref="B81:G81"/>
    <mergeCell ref="H80:J80"/>
    <mergeCell ref="B79:G79"/>
    <mergeCell ref="H79:J79"/>
    <mergeCell ref="Q86:V86"/>
    <mergeCell ref="W88:Y88"/>
    <mergeCell ref="Q91:S91"/>
    <mergeCell ref="W93:Y93"/>
    <mergeCell ref="H94:J94"/>
    <mergeCell ref="N94:P94"/>
    <mergeCell ref="Q94:S94"/>
    <mergeCell ref="W94:Y94"/>
    <mergeCell ref="Q92:S92"/>
    <mergeCell ref="Q93:S93"/>
    <mergeCell ref="H91:J91"/>
    <mergeCell ref="Q88:S88"/>
    <mergeCell ref="H89:J89"/>
    <mergeCell ref="K89:M91"/>
    <mergeCell ref="E96:G96"/>
    <mergeCell ref="H96:J96"/>
    <mergeCell ref="E94:G94"/>
    <mergeCell ref="N96:P96"/>
    <mergeCell ref="Q96:S96"/>
    <mergeCell ref="W96:Y96"/>
    <mergeCell ref="H95:J95"/>
    <mergeCell ref="K95:M97"/>
    <mergeCell ref="N95:P95"/>
    <mergeCell ref="Q95:S95"/>
    <mergeCell ref="N97:P97"/>
    <mergeCell ref="Q97:S97"/>
    <mergeCell ref="W97:Y97"/>
    <mergeCell ref="E97:G97"/>
    <mergeCell ref="E90:G90"/>
    <mergeCell ref="H90:J90"/>
    <mergeCell ref="N90:P90"/>
    <mergeCell ref="E92:G92"/>
    <mergeCell ref="E93:G93"/>
    <mergeCell ref="N93:P93"/>
    <mergeCell ref="E95:G95"/>
    <mergeCell ref="E91:G91"/>
    <mergeCell ref="E98:G98"/>
    <mergeCell ref="H98:J98"/>
    <mergeCell ref="K98:M100"/>
    <mergeCell ref="H100:J100"/>
    <mergeCell ref="W98:Y98"/>
    <mergeCell ref="H97:J97"/>
    <mergeCell ref="Q98:S98"/>
    <mergeCell ref="W100:Y100"/>
    <mergeCell ref="N98:P98"/>
    <mergeCell ref="E99:G99"/>
    <mergeCell ref="H99:J99"/>
    <mergeCell ref="N99:P99"/>
    <mergeCell ref="Q99:S99"/>
    <mergeCell ref="W99:Y99"/>
    <mergeCell ref="N100:P100"/>
    <mergeCell ref="Q100:S100"/>
    <mergeCell ref="T98:V100"/>
    <mergeCell ref="E100:G100"/>
    <mergeCell ref="T95:V97"/>
    <mergeCell ref="W95:Y95"/>
    <mergeCell ref="K101:M103"/>
    <mergeCell ref="W103:Y103"/>
    <mergeCell ref="K104:M105"/>
    <mergeCell ref="N104:P104"/>
    <mergeCell ref="T104:V105"/>
    <mergeCell ref="E104:G104"/>
    <mergeCell ref="H104:J104"/>
    <mergeCell ref="N103:P103"/>
    <mergeCell ref="Q103:S103"/>
    <mergeCell ref="H103:J103"/>
    <mergeCell ref="T101:V103"/>
    <mergeCell ref="W101:Y101"/>
    <mergeCell ref="W102:Y102"/>
    <mergeCell ref="E103:G103"/>
    <mergeCell ref="E101:G101"/>
    <mergeCell ref="N101:P101"/>
    <mergeCell ref="Q101:S101"/>
    <mergeCell ref="E102:G102"/>
    <mergeCell ref="H102:J102"/>
    <mergeCell ref="N102:P102"/>
    <mergeCell ref="Q102:S102"/>
    <mergeCell ref="H101:J101"/>
    <mergeCell ref="A114:AC114"/>
    <mergeCell ref="A115:AC115"/>
    <mergeCell ref="A116:X116"/>
    <mergeCell ref="Y116:AC116"/>
    <mergeCell ref="A109:AC109"/>
    <mergeCell ref="I107:AC107"/>
    <mergeCell ref="A108:AC108"/>
    <mergeCell ref="W105:Y105"/>
    <mergeCell ref="W104:Y104"/>
    <mergeCell ref="E105:G105"/>
    <mergeCell ref="H105:J105"/>
    <mergeCell ref="N105:P105"/>
    <mergeCell ref="Q105:S105"/>
    <mergeCell ref="Q104:S104"/>
    <mergeCell ref="A110:AC110"/>
    <mergeCell ref="A111:AC111"/>
    <mergeCell ref="A112:AC112"/>
    <mergeCell ref="A113:AC113"/>
    <mergeCell ref="T82:V82"/>
    <mergeCell ref="W82:Y82"/>
    <mergeCell ref="B67:Y67"/>
    <mergeCell ref="T74:V74"/>
    <mergeCell ref="W74:Y74"/>
    <mergeCell ref="T75:V75"/>
    <mergeCell ref="W75:Y75"/>
    <mergeCell ref="T76:V76"/>
    <mergeCell ref="W76:Y76"/>
    <mergeCell ref="T77:V77"/>
    <mergeCell ref="W77:Y77"/>
    <mergeCell ref="T78:V78"/>
    <mergeCell ref="W78:Y78"/>
    <mergeCell ref="T69:V69"/>
    <mergeCell ref="W69:Y69"/>
    <mergeCell ref="T70:V70"/>
    <mergeCell ref="W70:Y70"/>
    <mergeCell ref="T71:V71"/>
    <mergeCell ref="T79:V79"/>
    <mergeCell ref="W79:Y79"/>
    <mergeCell ref="K82:M82"/>
    <mergeCell ref="N77:P77"/>
    <mergeCell ref="N72:P72"/>
    <mergeCell ref="T80:V80"/>
    <mergeCell ref="Z54:AC54"/>
    <mergeCell ref="T55:V55"/>
    <mergeCell ref="T57:V57"/>
    <mergeCell ref="D52:H52"/>
    <mergeCell ref="T52:V52"/>
    <mergeCell ref="I52:M52"/>
    <mergeCell ref="Q77:S77"/>
    <mergeCell ref="B75:G75"/>
    <mergeCell ref="B76:G76"/>
    <mergeCell ref="K75:M75"/>
    <mergeCell ref="H72:J72"/>
    <mergeCell ref="B73:G73"/>
    <mergeCell ref="H73:J73"/>
    <mergeCell ref="B74:G74"/>
    <mergeCell ref="H74:J74"/>
    <mergeCell ref="K72:M72"/>
    <mergeCell ref="Q72:S72"/>
    <mergeCell ref="I53:M53"/>
    <mergeCell ref="N53:P53"/>
    <mergeCell ref="H70:J70"/>
    <mergeCell ref="B70:G70"/>
    <mergeCell ref="Q69:S69"/>
    <mergeCell ref="H60:AC60"/>
    <mergeCell ref="Z52:AC52"/>
    <mergeCell ref="Z55:AC55"/>
    <mergeCell ref="T68:V68"/>
    <mergeCell ref="W68:Y68"/>
    <mergeCell ref="Z66:AC66"/>
    <mergeCell ref="A64:AC64"/>
    <mergeCell ref="A66:Y66"/>
    <mergeCell ref="B71:G71"/>
    <mergeCell ref="Q70:S70"/>
    <mergeCell ref="A56:C56"/>
    <mergeCell ref="A55:C55"/>
    <mergeCell ref="H68:J68"/>
    <mergeCell ref="T56:V56"/>
    <mergeCell ref="W55:Y55"/>
    <mergeCell ref="D56:H56"/>
    <mergeCell ref="N69:P69"/>
    <mergeCell ref="B68:G68"/>
    <mergeCell ref="W71:Y71"/>
    <mergeCell ref="A61:AC61"/>
    <mergeCell ref="Z56:AC56"/>
    <mergeCell ref="B69:G69"/>
    <mergeCell ref="K70:M70"/>
    <mergeCell ref="A63:AC63"/>
    <mergeCell ref="N68:P68"/>
    <mergeCell ref="H71:J71"/>
    <mergeCell ref="W53:Y53"/>
    <mergeCell ref="T73:V73"/>
    <mergeCell ref="W73:Y73"/>
    <mergeCell ref="N52:P52"/>
    <mergeCell ref="Q52:S52"/>
    <mergeCell ref="W48:Y48"/>
    <mergeCell ref="T72:V72"/>
    <mergeCell ref="Q71:S71"/>
    <mergeCell ref="W72:Y72"/>
    <mergeCell ref="N54:P54"/>
    <mergeCell ref="Q54:S54"/>
    <mergeCell ref="A10:AB10"/>
    <mergeCell ref="V16:X16"/>
    <mergeCell ref="Y16:AB16"/>
    <mergeCell ref="V17:X17"/>
    <mergeCell ref="Y17:AB17"/>
    <mergeCell ref="V18:X18"/>
    <mergeCell ref="Y18:AB18"/>
    <mergeCell ref="V19:X19"/>
    <mergeCell ref="Y19:AB19"/>
    <mergeCell ref="V11:X11"/>
    <mergeCell ref="Y11:AB11"/>
    <mergeCell ref="V12:X12"/>
    <mergeCell ref="Y12:AB12"/>
    <mergeCell ref="V13:X13"/>
    <mergeCell ref="Y13:AB13"/>
    <mergeCell ref="V14:X14"/>
    <mergeCell ref="R18:U18"/>
    <mergeCell ref="R17:U17"/>
    <mergeCell ref="R15:U15"/>
    <mergeCell ref="R16:U16"/>
    <mergeCell ref="A18:G18"/>
    <mergeCell ref="O12:Q12"/>
    <mergeCell ref="Y14:AB14"/>
    <mergeCell ref="V15:X15"/>
    <mergeCell ref="R19:U19"/>
    <mergeCell ref="H16:J16"/>
    <mergeCell ref="A47:C47"/>
    <mergeCell ref="A48:C48"/>
    <mergeCell ref="B32:H32"/>
    <mergeCell ref="A49:C49"/>
    <mergeCell ref="V22:X22"/>
    <mergeCell ref="A42:C42"/>
    <mergeCell ref="A46:C46"/>
    <mergeCell ref="O20:Q20"/>
    <mergeCell ref="N49:P49"/>
    <mergeCell ref="Q49:S49"/>
    <mergeCell ref="V20:X20"/>
    <mergeCell ref="A25:AB25"/>
    <mergeCell ref="S27:T27"/>
    <mergeCell ref="B26:I27"/>
    <mergeCell ref="B37:F37"/>
    <mergeCell ref="Y29:Z29"/>
    <mergeCell ref="AA29:AB29"/>
    <mergeCell ref="M26:P26"/>
    <mergeCell ref="S26:V26"/>
    <mergeCell ref="Y26:AB26"/>
    <mergeCell ref="H22:J22"/>
    <mergeCell ref="O22:Q22"/>
    <mergeCell ref="Y20:AB20"/>
    <mergeCell ref="T49:V49"/>
    <mergeCell ref="H23:J23"/>
    <mergeCell ref="R21:U21"/>
    <mergeCell ref="R22:U22"/>
    <mergeCell ref="V21:X21"/>
    <mergeCell ref="B33:G33"/>
    <mergeCell ref="B28:I28"/>
    <mergeCell ref="B29:I29"/>
    <mergeCell ref="R23:U23"/>
    <mergeCell ref="M27:N27"/>
    <mergeCell ref="O23:Q23"/>
    <mergeCell ref="S30:T30"/>
    <mergeCell ref="U30:V30"/>
    <mergeCell ref="Y27:Z27"/>
    <mergeCell ref="AA27:AB27"/>
    <mergeCell ref="Y28:Z28"/>
    <mergeCell ref="AA28:AB28"/>
    <mergeCell ref="T45:V45"/>
    <mergeCell ref="M33:N33"/>
    <mergeCell ref="M28:N28"/>
    <mergeCell ref="M29:N29"/>
    <mergeCell ref="M30:N30"/>
    <mergeCell ref="O39:P39"/>
  </mergeCells>
  <phoneticPr fontId="0" type="noConversion"/>
  <conditionalFormatting sqref="B70:G70">
    <cfRule type="cellIs" dxfId="26" priority="53" operator="equal">
      <formula>0</formula>
    </cfRule>
  </conditionalFormatting>
  <conditionalFormatting sqref="D47:M52 D53:H53 D54:M57">
    <cfRule type="cellIs" dxfId="25" priority="57" operator="equal">
      <formula>0</formula>
    </cfRule>
  </conditionalFormatting>
  <conditionalFormatting sqref="G39:X39">
    <cfRule type="containsErrors" dxfId="24" priority="23">
      <formula>ISERROR(G39)</formula>
    </cfRule>
  </conditionalFormatting>
  <conditionalFormatting sqref="H72:M72 Q72:S72 W72:Y72 H73:Y82">
    <cfRule type="cellIs" dxfId="23" priority="56" operator="equal">
      <formula>0</formula>
    </cfRule>
  </conditionalFormatting>
  <conditionalFormatting sqref="I52:M54">
    <cfRule type="containsErrors" dxfId="22" priority="35">
      <formula>ISERROR(I52)</formula>
    </cfRule>
  </conditionalFormatting>
  <conditionalFormatting sqref="I53:M54">
    <cfRule type="cellIs" dxfId="21" priority="3" operator="equal">
      <formula>0</formula>
    </cfRule>
  </conditionalFormatting>
  <conditionalFormatting sqref="J2:L2 P2:AB2 F4:M4">
    <cfRule type="cellIs" dxfId="20" priority="54" operator="equal">
      <formula>0</formula>
    </cfRule>
  </conditionalFormatting>
  <conditionalFormatting sqref="K89:M105 T89:V105">
    <cfRule type="cellIs" dxfId="19" priority="1" operator="equal">
      <formula>0</formula>
    </cfRule>
  </conditionalFormatting>
  <conditionalFormatting sqref="N47:Y57">
    <cfRule type="cellIs" dxfId="18" priority="58" operator="equal">
      <formula>0</formula>
    </cfRule>
  </conditionalFormatting>
  <conditionalFormatting sqref="W50:Y50">
    <cfRule type="cellIs" dxfId="17" priority="2" operator="equal">
      <formula>0</formula>
    </cfRule>
  </conditionalFormatting>
  <printOptions horizontalCentered="1" verticalCentered="1"/>
  <pageMargins left="0" right="0" top="0" bottom="0" header="0" footer="0"/>
  <pageSetup scale="75" orientation="portrait" r:id="rId1"/>
  <headerFooter alignWithMargins="0">
    <oddFooter>Page &amp;P of &amp;N</oddFooter>
  </headerFooter>
  <rowBreaks count="1" manualBreakCount="1">
    <brk id="66" max="28" man="1"/>
  </rowBreaks>
  <ignoredErrors>
    <ignoredError sqref="H20:H21" unlockedFormula="1"/>
    <ignoredError sqref="G39:J39 J54:M54 J52:M52 J53:M53 M39:P39 S39:V39" evalError="1"/>
    <ignoredError sqref="V19 V16 O16 O19 W50"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pageSetUpPr fitToPage="1"/>
  </sheetPr>
  <dimension ref="A1:CY111"/>
  <sheetViews>
    <sheetView topLeftCell="D1" workbookViewId="0">
      <selection activeCell="U16" sqref="U16:Y16"/>
    </sheetView>
  </sheetViews>
  <sheetFormatPr defaultRowHeight="13.15"/>
  <cols>
    <col min="1" max="4" width="3.140625" customWidth="1"/>
    <col min="5" max="5" width="4.5703125" customWidth="1"/>
    <col min="6" max="11" width="3.140625" customWidth="1"/>
    <col min="12" max="12" width="6.7109375" customWidth="1"/>
    <col min="13" max="17" width="3.140625" customWidth="1"/>
    <col min="18" max="18" width="4.28515625" customWidth="1"/>
    <col min="19" max="19" width="3.140625" customWidth="1"/>
    <col min="20" max="20" width="2.5703125" customWidth="1"/>
    <col min="21" max="21" width="2.140625" customWidth="1"/>
    <col min="22" max="22" width="3.140625" customWidth="1"/>
    <col min="23" max="23" width="5" customWidth="1"/>
    <col min="24" max="24" width="3.42578125" customWidth="1"/>
    <col min="25" max="25" width="2.140625" customWidth="1"/>
    <col min="26" max="26" width="10.85546875" customWidth="1"/>
    <col min="27" max="27" width="8.28515625" customWidth="1"/>
    <col min="28" max="28" width="4.140625" customWidth="1"/>
    <col min="29" max="29" width="2.28515625" hidden="1" customWidth="1"/>
    <col min="30" max="46" width="0.42578125" hidden="1" customWidth="1"/>
    <col min="47" max="50" width="8.28515625" hidden="1" customWidth="1"/>
    <col min="51" max="61" width="8.28515625" style="106" hidden="1" customWidth="1"/>
    <col min="62" max="62" width="1.7109375" style="106" hidden="1" customWidth="1"/>
    <col min="63" max="63" width="0.140625" style="106" customWidth="1"/>
    <col min="64" max="67" width="8.28515625" style="106" customWidth="1"/>
    <col min="68" max="103" width="9.140625" style="106"/>
  </cols>
  <sheetData>
    <row r="1" spans="1:103" ht="15.6">
      <c r="A1" s="806" t="s">
        <v>281</v>
      </c>
      <c r="B1" s="806"/>
      <c r="C1" s="806"/>
      <c r="D1" s="806"/>
      <c r="E1" s="806"/>
      <c r="F1" s="806"/>
      <c r="G1" s="806"/>
      <c r="H1" s="806"/>
      <c r="I1" s="806"/>
      <c r="J1" s="806"/>
      <c r="K1" s="806"/>
      <c r="L1" s="806"/>
      <c r="M1" s="806"/>
      <c r="N1" s="806"/>
      <c r="O1" s="806"/>
      <c r="P1" s="806"/>
      <c r="Q1" s="806"/>
      <c r="R1" s="806"/>
      <c r="S1" s="806"/>
      <c r="T1" s="806"/>
      <c r="U1" s="806"/>
      <c r="V1" s="806"/>
      <c r="W1" s="806"/>
      <c r="X1" s="806"/>
      <c r="Y1" s="806"/>
      <c r="Z1" s="806"/>
      <c r="AA1" s="806"/>
      <c r="AB1" s="806"/>
      <c r="AC1" s="806"/>
      <c r="AD1" s="806"/>
      <c r="AY1"/>
      <c r="AZ1"/>
      <c r="BA1"/>
      <c r="BB1"/>
      <c r="BC1"/>
      <c r="BD1"/>
      <c r="BE1"/>
      <c r="BF1"/>
      <c r="BG1"/>
      <c r="BH1"/>
      <c r="BI1"/>
      <c r="BJ1"/>
      <c r="BK1"/>
    </row>
    <row r="2" spans="1:103" ht="12.6" customHeight="1" thickBot="1">
      <c r="A2" s="528" t="s">
        <v>282</v>
      </c>
      <c r="B2" s="528"/>
      <c r="C2" s="528"/>
      <c r="D2" s="528"/>
      <c r="E2" s="528"/>
      <c r="F2" s="528"/>
      <c r="G2" s="826" t="s">
        <v>283</v>
      </c>
      <c r="H2" s="826"/>
      <c r="I2" s="826"/>
      <c r="J2" s="826"/>
      <c r="K2" s="826"/>
      <c r="L2" s="826"/>
      <c r="M2" s="826"/>
      <c r="N2" s="826"/>
      <c r="O2" s="826"/>
      <c r="P2" s="528" t="s">
        <v>284</v>
      </c>
      <c r="Q2" s="528"/>
      <c r="R2" s="528"/>
      <c r="S2" s="528"/>
      <c r="T2" s="528"/>
      <c r="U2" s="528"/>
      <c r="V2" s="826"/>
      <c r="W2" s="827"/>
      <c r="X2" s="827"/>
      <c r="Y2" s="827"/>
      <c r="Z2" s="827"/>
      <c r="AA2" s="827"/>
      <c r="AB2" s="827"/>
      <c r="AC2" s="1021"/>
      <c r="AY2"/>
      <c r="AZ2"/>
      <c r="BA2"/>
      <c r="BB2"/>
      <c r="BC2"/>
      <c r="BD2"/>
      <c r="BE2"/>
      <c r="BF2"/>
      <c r="BG2"/>
      <c r="BH2"/>
      <c r="BI2"/>
      <c r="BJ2"/>
      <c r="BK2"/>
    </row>
    <row r="3" spans="1:103" ht="12.6" customHeight="1" thickBot="1">
      <c r="A3" s="528" t="s">
        <v>285</v>
      </c>
      <c r="B3" s="528"/>
      <c r="C3" s="528"/>
      <c r="D3" s="528"/>
      <c r="E3" s="528"/>
      <c r="F3" s="528"/>
      <c r="G3" s="826" t="s">
        <v>286</v>
      </c>
      <c r="H3" s="826"/>
      <c r="I3" s="826"/>
      <c r="J3" s="826"/>
      <c r="K3" s="826"/>
      <c r="L3" s="826"/>
      <c r="M3" s="826"/>
      <c r="N3" s="826"/>
      <c r="O3" s="826"/>
      <c r="P3" s="789" t="s">
        <v>287</v>
      </c>
      <c r="Q3" s="789"/>
      <c r="R3" s="789"/>
      <c r="S3" s="789"/>
      <c r="T3" s="789"/>
      <c r="U3" s="789"/>
      <c r="V3" s="828"/>
      <c r="W3" s="828"/>
      <c r="X3" s="828"/>
      <c r="Y3" s="828"/>
      <c r="Z3" s="828"/>
      <c r="AA3" s="828"/>
      <c r="AB3" s="828"/>
      <c r="AC3" s="1022"/>
      <c r="AQ3" s="25" t="s">
        <v>288</v>
      </c>
      <c r="AR3" s="23" t="str">
        <f>G7&amp;L7</f>
        <v/>
      </c>
      <c r="AY3"/>
      <c r="AZ3"/>
      <c r="BA3"/>
      <c r="BB3"/>
      <c r="BC3"/>
      <c r="BD3"/>
      <c r="BE3"/>
      <c r="BF3"/>
      <c r="BG3"/>
      <c r="BH3"/>
      <c r="BI3"/>
      <c r="BJ3"/>
      <c r="BK3"/>
    </row>
    <row r="4" spans="1:103" ht="12.6" customHeight="1" thickBot="1">
      <c r="A4" s="561" t="s">
        <v>289</v>
      </c>
      <c r="B4" s="528"/>
      <c r="C4" s="528"/>
      <c r="D4" s="528"/>
      <c r="E4" s="528"/>
      <c r="F4" s="528"/>
      <c r="G4" s="813"/>
      <c r="H4" s="813"/>
      <c r="I4" s="813"/>
      <c r="J4" s="813"/>
      <c r="K4" s="813"/>
      <c r="L4" s="813"/>
      <c r="M4" s="813"/>
      <c r="N4" s="813"/>
      <c r="O4" s="813"/>
      <c r="P4" s="528" t="s">
        <v>290</v>
      </c>
      <c r="Q4" s="528"/>
      <c r="R4" s="528"/>
      <c r="S4" s="528"/>
      <c r="T4" s="528"/>
      <c r="U4" s="528"/>
      <c r="V4" s="829"/>
      <c r="W4" s="829"/>
      <c r="X4" s="829"/>
      <c r="Y4" s="829"/>
      <c r="Z4" s="829"/>
      <c r="AA4" s="829"/>
      <c r="AB4" s="829"/>
      <c r="AC4" s="1023"/>
      <c r="AG4" s="5" t="s">
        <v>291</v>
      </c>
      <c r="AQ4" s="25" t="s">
        <v>292</v>
      </c>
      <c r="AR4" s="23" t="str">
        <f>V7</f>
        <v>722 Latex Modified</v>
      </c>
      <c r="AY4"/>
      <c r="AZ4"/>
      <c r="BA4"/>
      <c r="BB4"/>
      <c r="BC4"/>
      <c r="BD4"/>
      <c r="BE4"/>
      <c r="BF4"/>
      <c r="BG4"/>
      <c r="BH4"/>
      <c r="BI4"/>
      <c r="BJ4"/>
      <c r="BK4"/>
    </row>
    <row r="5" spans="1:103" ht="12.6" customHeight="1" thickBot="1">
      <c r="A5" s="789" t="s">
        <v>293</v>
      </c>
      <c r="B5" s="789"/>
      <c r="C5" s="789"/>
      <c r="D5" s="789"/>
      <c r="E5" s="789"/>
      <c r="F5" s="789"/>
      <c r="G5" s="813"/>
      <c r="H5" s="813"/>
      <c r="I5" s="813"/>
      <c r="J5" s="813"/>
      <c r="K5" s="813"/>
      <c r="L5" s="813"/>
      <c r="M5" s="813"/>
      <c r="N5" s="813"/>
      <c r="O5" s="813"/>
      <c r="P5" s="702"/>
      <c r="Q5" s="702"/>
      <c r="R5" s="702"/>
      <c r="S5" s="702"/>
      <c r="T5" s="702"/>
      <c r="U5" s="702"/>
      <c r="V5" s="814"/>
      <c r="W5" s="814"/>
      <c r="X5" s="814"/>
      <c r="Y5" s="814"/>
      <c r="Z5" s="814"/>
      <c r="AA5" s="814"/>
      <c r="AB5" s="814"/>
      <c r="AC5" s="814"/>
      <c r="AD5" s="5"/>
      <c r="AG5" s="5" t="s">
        <v>294</v>
      </c>
      <c r="AQ5" s="25" t="s">
        <v>282</v>
      </c>
      <c r="AR5" s="29" t="str">
        <f>G2</f>
        <v>Modified Concrete Suppliers</v>
      </c>
      <c r="AY5"/>
      <c r="AZ5"/>
      <c r="BA5"/>
      <c r="BB5"/>
      <c r="BC5"/>
      <c r="BD5"/>
      <c r="BE5"/>
      <c r="BF5"/>
      <c r="BG5"/>
      <c r="BH5"/>
      <c r="BI5"/>
      <c r="BJ5"/>
      <c r="BK5"/>
    </row>
    <row r="6" spans="1:103" ht="12.6" customHeight="1" thickBot="1">
      <c r="G6" s="5"/>
      <c r="H6" s="5"/>
      <c r="I6" s="5"/>
      <c r="J6" s="5"/>
      <c r="K6" s="5"/>
      <c r="L6" s="5"/>
      <c r="M6" s="5"/>
      <c r="N6" s="5"/>
      <c r="AG6" s="5" t="s">
        <v>295</v>
      </c>
      <c r="AQ6" s="25" t="s">
        <v>296</v>
      </c>
      <c r="AR6" s="29">
        <f>G4</f>
        <v>0</v>
      </c>
      <c r="AY6"/>
      <c r="AZ6"/>
      <c r="BA6"/>
      <c r="BB6"/>
      <c r="BC6"/>
      <c r="BD6"/>
      <c r="BE6"/>
      <c r="BF6"/>
      <c r="BG6"/>
      <c r="BH6"/>
      <c r="BI6"/>
      <c r="BJ6"/>
      <c r="BK6"/>
    </row>
    <row r="7" spans="1:103" ht="15.75" customHeight="1">
      <c r="A7" s="820" t="s">
        <v>297</v>
      </c>
      <c r="B7" s="793"/>
      <c r="C7" s="793"/>
      <c r="D7" s="793"/>
      <c r="E7" s="793"/>
      <c r="F7" s="793"/>
      <c r="G7" s="821"/>
      <c r="H7" s="793"/>
      <c r="I7" s="793"/>
      <c r="J7" s="793"/>
      <c r="K7" s="793"/>
      <c r="L7" s="1024"/>
      <c r="M7" s="1024"/>
      <c r="N7" s="1025"/>
      <c r="O7" s="820" t="s">
        <v>298</v>
      </c>
      <c r="P7" s="793"/>
      <c r="Q7" s="793"/>
      <c r="R7" s="793"/>
      <c r="S7" s="793"/>
      <c r="T7" s="793"/>
      <c r="U7" s="793"/>
      <c r="V7" s="837" t="s">
        <v>299</v>
      </c>
      <c r="W7" s="837"/>
      <c r="X7" s="837"/>
      <c r="Y7" s="837"/>
      <c r="Z7" s="837"/>
      <c r="AA7" s="837"/>
      <c r="AB7" s="837"/>
      <c r="AC7" s="838"/>
      <c r="AG7" s="5" t="s">
        <v>300</v>
      </c>
      <c r="AQ7" s="26" t="s">
        <v>301</v>
      </c>
      <c r="AR7" s="29">
        <f>G5</f>
        <v>0</v>
      </c>
      <c r="AY7"/>
      <c r="AZ7"/>
      <c r="BA7"/>
      <c r="BB7"/>
      <c r="BC7"/>
      <c r="BD7"/>
      <c r="BE7"/>
      <c r="BF7"/>
      <c r="BG7"/>
      <c r="BH7"/>
      <c r="BI7"/>
      <c r="BJ7"/>
      <c r="BK7"/>
    </row>
    <row r="8" spans="1:103" ht="28.5" customHeight="1" thickBot="1">
      <c r="A8" s="857"/>
      <c r="B8" s="858"/>
      <c r="C8" s="858"/>
      <c r="D8" s="858"/>
      <c r="E8" s="858"/>
      <c r="F8" s="858"/>
      <c r="G8" s="858"/>
      <c r="H8" s="858"/>
      <c r="I8" s="858"/>
      <c r="J8" s="858"/>
      <c r="K8" s="858"/>
      <c r="L8" s="858"/>
      <c r="M8" s="858"/>
      <c r="N8" s="858"/>
      <c r="O8" s="858"/>
      <c r="P8" s="858"/>
      <c r="Q8" s="858"/>
      <c r="R8" s="858"/>
      <c r="S8" s="858"/>
      <c r="T8" s="858"/>
      <c r="U8" s="858"/>
      <c r="V8" s="858"/>
      <c r="W8" s="858"/>
      <c r="X8" s="858"/>
      <c r="Y8" s="858"/>
      <c r="Z8" s="858"/>
      <c r="AA8" s="858"/>
      <c r="AB8" s="858"/>
      <c r="AC8" s="859"/>
      <c r="AD8" s="99"/>
      <c r="AG8" s="5" t="s">
        <v>302</v>
      </c>
      <c r="AQ8" s="26" t="s">
        <v>285</v>
      </c>
      <c r="AR8" s="29" t="str">
        <f>G3</f>
        <v>LMC Type I</v>
      </c>
      <c r="AY8"/>
      <c r="AZ8"/>
      <c r="BA8"/>
      <c r="BB8"/>
      <c r="BC8"/>
      <c r="BD8"/>
      <c r="BE8"/>
      <c r="BF8"/>
      <c r="BG8"/>
      <c r="BH8"/>
      <c r="BI8"/>
      <c r="BJ8"/>
      <c r="BK8"/>
    </row>
    <row r="9" spans="1:103" ht="36" customHeight="1" thickBot="1">
      <c r="A9" s="810" t="s">
        <v>303</v>
      </c>
      <c r="B9" s="533"/>
      <c r="C9" s="533"/>
      <c r="D9" s="830" t="s">
        <v>304</v>
      </c>
      <c r="E9" s="583"/>
      <c r="F9" s="583"/>
      <c r="G9" s="583"/>
      <c r="H9" s="583"/>
      <c r="I9" s="583"/>
      <c r="J9" s="583"/>
      <c r="K9" s="583"/>
      <c r="L9" s="583"/>
      <c r="M9" s="583"/>
      <c r="N9" s="583"/>
      <c r="O9" s="583"/>
      <c r="P9" s="583"/>
      <c r="Q9" s="583"/>
      <c r="R9" s="584"/>
      <c r="S9" s="533" t="s">
        <v>305</v>
      </c>
      <c r="T9" s="533"/>
      <c r="U9" s="533"/>
      <c r="V9" s="533" t="s">
        <v>306</v>
      </c>
      <c r="W9" s="533"/>
      <c r="X9" s="533"/>
      <c r="Y9" s="533" t="s">
        <v>307</v>
      </c>
      <c r="Z9" s="533"/>
      <c r="AA9" s="810" t="s">
        <v>308</v>
      </c>
      <c r="AB9" s="810"/>
      <c r="AC9" s="810"/>
      <c r="AG9" s="5" t="s">
        <v>309</v>
      </c>
      <c r="AQ9" s="24" t="s">
        <v>310</v>
      </c>
      <c r="AR9" s="29">
        <f>V2</f>
        <v>0</v>
      </c>
      <c r="AY9"/>
      <c r="AZ9"/>
      <c r="BA9"/>
      <c r="BB9"/>
      <c r="BC9"/>
      <c r="BD9"/>
      <c r="BE9"/>
      <c r="BF9"/>
      <c r="BG9"/>
      <c r="BH9"/>
      <c r="BI9"/>
      <c r="BJ9"/>
      <c r="BK9"/>
    </row>
    <row r="10" spans="1:103" ht="12.6" customHeight="1">
      <c r="A10" s="773" t="e">
        <f>VLOOKUP(D10,'AGG SOURCES'!A1:D289,2,FALSE)</f>
        <v>#N/A</v>
      </c>
      <c r="B10" s="774"/>
      <c r="C10" s="774"/>
      <c r="D10" s="831"/>
      <c r="E10" s="832"/>
      <c r="F10" s="832"/>
      <c r="G10" s="832"/>
      <c r="H10" s="832"/>
      <c r="I10" s="832"/>
      <c r="J10" s="832"/>
      <c r="K10" s="832"/>
      <c r="L10" s="832"/>
      <c r="M10" s="832"/>
      <c r="N10" s="832"/>
      <c r="O10" s="832"/>
      <c r="P10" s="832"/>
      <c r="Q10" s="832"/>
      <c r="R10" s="833"/>
      <c r="S10" s="812"/>
      <c r="T10" s="812"/>
      <c r="U10" s="812"/>
      <c r="V10" s="812"/>
      <c r="W10" s="812"/>
      <c r="X10" s="812"/>
      <c r="Y10" s="812"/>
      <c r="Z10" s="812"/>
      <c r="AA10" s="811"/>
      <c r="AB10" s="811"/>
      <c r="AC10" s="811"/>
      <c r="AG10" s="5" t="s">
        <v>311</v>
      </c>
      <c r="AQ10" s="24" t="s">
        <v>312</v>
      </c>
      <c r="AR10" s="23">
        <f>V3</f>
        <v>0</v>
      </c>
      <c r="AY10"/>
      <c r="AZ10"/>
      <c r="BA10"/>
      <c r="BB10"/>
      <c r="BC10"/>
      <c r="BD10"/>
      <c r="BE10"/>
      <c r="BF10"/>
      <c r="BG10"/>
      <c r="BH10"/>
      <c r="BI10"/>
      <c r="BJ10"/>
      <c r="BK10"/>
    </row>
    <row r="11" spans="1:103" ht="12.6" customHeight="1">
      <c r="A11" s="773" t="e">
        <f>VLOOKUP(D11,'AGG SOURCES'!A1:D289,2,FALSE)</f>
        <v>#N/A</v>
      </c>
      <c r="B11" s="774"/>
      <c r="C11" s="774"/>
      <c r="D11" s="834"/>
      <c r="E11" s="835"/>
      <c r="F11" s="835"/>
      <c r="G11" s="835"/>
      <c r="H11" s="835"/>
      <c r="I11" s="835"/>
      <c r="J11" s="835"/>
      <c r="K11" s="835"/>
      <c r="L11" s="835"/>
      <c r="M11" s="835"/>
      <c r="N11" s="835"/>
      <c r="O11" s="835"/>
      <c r="P11" s="835"/>
      <c r="Q11" s="835"/>
      <c r="R11" s="836"/>
      <c r="S11" s="812"/>
      <c r="T11" s="812"/>
      <c r="U11" s="812"/>
      <c r="V11" s="812"/>
      <c r="W11" s="812"/>
      <c r="X11" s="812"/>
      <c r="Y11" s="812"/>
      <c r="Z11" s="812"/>
      <c r="AA11" s="811"/>
      <c r="AB11" s="811"/>
      <c r="AC11" s="811"/>
      <c r="AG11" s="5" t="s">
        <v>313</v>
      </c>
      <c r="AQ11" s="24" t="s">
        <v>290</v>
      </c>
      <c r="AR11" s="23">
        <f>V4</f>
        <v>0</v>
      </c>
      <c r="AY11"/>
      <c r="AZ11"/>
      <c r="BA11"/>
      <c r="BB11"/>
      <c r="BC11"/>
      <c r="BD11"/>
      <c r="BE11"/>
      <c r="BF11"/>
      <c r="BG11"/>
      <c r="BH11"/>
      <c r="BI11"/>
      <c r="BJ11"/>
      <c r="BK11"/>
    </row>
    <row r="12" spans="1:103" ht="12.6" customHeight="1" thickBot="1">
      <c r="A12" s="773" t="e">
        <f>VLOOKUP(D12,'AGG SOURCES'!A1:D289,2,FALSE)</f>
        <v>#N/A</v>
      </c>
      <c r="B12" s="774"/>
      <c r="C12" s="774"/>
      <c r="D12" s="834"/>
      <c r="E12" s="835"/>
      <c r="F12" s="835"/>
      <c r="G12" s="835"/>
      <c r="H12" s="835"/>
      <c r="I12" s="835"/>
      <c r="J12" s="835"/>
      <c r="K12" s="835"/>
      <c r="L12" s="835"/>
      <c r="M12" s="835"/>
      <c r="N12" s="835"/>
      <c r="O12" s="835"/>
      <c r="P12" s="835"/>
      <c r="Q12" s="835"/>
      <c r="R12" s="836"/>
      <c r="S12" s="812"/>
      <c r="T12" s="812"/>
      <c r="U12" s="812"/>
      <c r="V12" s="788"/>
      <c r="W12" s="788"/>
      <c r="X12" s="788"/>
      <c r="Y12" s="788"/>
      <c r="Z12" s="788"/>
      <c r="AA12" s="839"/>
      <c r="AB12" s="839"/>
      <c r="AC12" s="839"/>
      <c r="AG12" s="5" t="s">
        <v>314</v>
      </c>
      <c r="AQ12" s="27" t="s">
        <v>315</v>
      </c>
      <c r="AR12" s="111" t="e">
        <f>A10</f>
        <v>#N/A</v>
      </c>
      <c r="AY12"/>
      <c r="AZ12"/>
      <c r="BA12"/>
      <c r="BB12"/>
      <c r="BC12"/>
      <c r="BD12"/>
      <c r="BE12"/>
      <c r="BF12"/>
      <c r="BG12"/>
      <c r="BH12"/>
      <c r="BI12"/>
      <c r="BJ12"/>
      <c r="BK12"/>
    </row>
    <row r="13" spans="1:103" ht="12.6" customHeight="1" thickBot="1">
      <c r="A13" s="789" t="str">
        <f>IF(AND(S37="*** % Passing 1 inch sieve",OR(S10="QA",S11="QA",S12="QA")), "*** % Passing 1 inch sieve for QA size CA"," ")</f>
        <v xml:space="preserve"> </v>
      </c>
      <c r="B13" s="789"/>
      <c r="C13" s="789"/>
      <c r="D13" s="789"/>
      <c r="E13" s="789"/>
      <c r="F13" s="789"/>
      <c r="G13" s="789"/>
      <c r="H13" s="789"/>
      <c r="I13" s="789"/>
      <c r="J13" s="789"/>
      <c r="K13" s="819"/>
      <c r="L13" s="819"/>
      <c r="M13" s="789" t="str">
        <f>IF(V7="501 QC/QA PCCP","*% passing No. 200 sieve"," ")</f>
        <v xml:space="preserve"> </v>
      </c>
      <c r="N13" s="789"/>
      <c r="O13" s="789"/>
      <c r="P13" s="789"/>
      <c r="Q13" s="789"/>
      <c r="R13" s="789"/>
      <c r="S13" s="789" t="str">
        <f>IF(OR(V7="501 QC/QA PCCP",V7="730*"),", CA contributes"," ")</f>
        <v xml:space="preserve"> </v>
      </c>
      <c r="T13" s="789"/>
      <c r="U13" s="789"/>
      <c r="V13" s="789"/>
      <c r="W13" s="18"/>
      <c r="X13" s="789" t="str">
        <f>IF(V7="501 QC/QA PCCP","  FA contributes"," ")</f>
        <v xml:space="preserve"> </v>
      </c>
      <c r="Y13" s="789"/>
      <c r="Z13" s="789"/>
      <c r="AA13" s="789"/>
      <c r="AB13" s="815"/>
      <c r="AC13" s="815"/>
      <c r="AG13" s="5" t="s">
        <v>316</v>
      </c>
      <c r="AQ13" s="27" t="s">
        <v>317</v>
      </c>
      <c r="AR13" s="33">
        <f>D10</f>
        <v>0</v>
      </c>
      <c r="AY13"/>
      <c r="AZ13"/>
      <c r="BA13"/>
      <c r="BB13"/>
      <c r="BC13"/>
      <c r="BD13"/>
      <c r="BE13"/>
      <c r="BF13"/>
      <c r="BG13"/>
      <c r="BH13"/>
      <c r="BI13"/>
      <c r="BJ13"/>
      <c r="BK13"/>
    </row>
    <row r="14" spans="1:103" ht="18" customHeight="1" thickBot="1">
      <c r="A14" s="807" t="s">
        <v>318</v>
      </c>
      <c r="B14" s="808"/>
      <c r="C14" s="808"/>
      <c r="D14" s="808"/>
      <c r="E14" s="808"/>
      <c r="F14" s="808"/>
      <c r="G14" s="808"/>
      <c r="H14" s="808"/>
      <c r="I14" s="808"/>
      <c r="J14" s="808"/>
      <c r="K14" s="808"/>
      <c r="L14" s="808"/>
      <c r="M14" s="808"/>
      <c r="N14" s="808"/>
      <c r="O14" s="808"/>
      <c r="P14" s="808"/>
      <c r="Q14" s="808"/>
      <c r="R14" s="808"/>
      <c r="S14" s="808"/>
      <c r="T14" s="808"/>
      <c r="U14" s="808"/>
      <c r="V14" s="808"/>
      <c r="W14" s="808"/>
      <c r="X14" s="808"/>
      <c r="Y14" s="809"/>
      <c r="AA14" s="816" t="s">
        <v>319</v>
      </c>
      <c r="AB14" s="817"/>
      <c r="AC14" s="818"/>
      <c r="AG14" s="5" t="s">
        <v>299</v>
      </c>
      <c r="AQ14" s="27" t="s">
        <v>320</v>
      </c>
      <c r="AR14" s="23">
        <f>S10</f>
        <v>0</v>
      </c>
      <c r="AY14"/>
      <c r="AZ14"/>
      <c r="BA14"/>
      <c r="BB14"/>
      <c r="BC14"/>
      <c r="BD14"/>
      <c r="BE14"/>
      <c r="BF14"/>
      <c r="BG14"/>
      <c r="BH14"/>
      <c r="BI14"/>
      <c r="BJ14"/>
      <c r="BK14"/>
    </row>
    <row r="15" spans="1:103" ht="16.5" customHeight="1" thickTop="1" thickBot="1">
      <c r="A15" s="785" t="s">
        <v>321</v>
      </c>
      <c r="B15" s="786"/>
      <c r="C15" s="787"/>
      <c r="D15" s="792" t="s">
        <v>322</v>
      </c>
      <c r="E15" s="786"/>
      <c r="F15" s="786"/>
      <c r="G15" s="786"/>
      <c r="H15" s="786"/>
      <c r="I15" s="786"/>
      <c r="J15" s="786"/>
      <c r="K15" s="786"/>
      <c r="L15" s="786"/>
      <c r="M15" s="786"/>
      <c r="N15" s="786"/>
      <c r="O15" s="786"/>
      <c r="P15" s="786"/>
      <c r="Q15" s="786"/>
      <c r="R15" s="786"/>
      <c r="S15" s="786"/>
      <c r="T15" s="787"/>
      <c r="U15" s="565" t="s">
        <v>323</v>
      </c>
      <c r="V15" s="563"/>
      <c r="W15" s="563"/>
      <c r="X15" s="563"/>
      <c r="Y15" s="566"/>
      <c r="Z15" s="296"/>
      <c r="AA15" s="822" t="s">
        <v>324</v>
      </c>
      <c r="AB15" s="823"/>
      <c r="AC15" s="824"/>
      <c r="AG15" s="5" t="s">
        <v>325</v>
      </c>
      <c r="AQ15" s="28" t="s">
        <v>326</v>
      </c>
      <c r="AR15" s="23">
        <f>V10</f>
        <v>0</v>
      </c>
      <c r="AY15"/>
      <c r="AZ15"/>
      <c r="BA15"/>
      <c r="BB15"/>
      <c r="BC15"/>
      <c r="BD15"/>
      <c r="BE15"/>
      <c r="BF15"/>
      <c r="BG15"/>
      <c r="BH15"/>
      <c r="BI15"/>
      <c r="BJ15"/>
      <c r="BK15"/>
    </row>
    <row r="16" spans="1:103" s="35" customFormat="1" ht="12.6" customHeight="1" thickBot="1">
      <c r="A16" s="794" t="str">
        <f>VLOOKUP(D16,'CEMENT SOURCES'!A1:B34,2,FALSE)</f>
        <v>W088301</v>
      </c>
      <c r="B16" s="795"/>
      <c r="C16" s="796"/>
      <c r="D16" s="797" t="s">
        <v>327</v>
      </c>
      <c r="E16" s="798"/>
      <c r="F16" s="798"/>
      <c r="G16" s="798"/>
      <c r="H16" s="798"/>
      <c r="I16" s="798"/>
      <c r="J16" s="798"/>
      <c r="K16" s="798"/>
      <c r="L16" s="798"/>
      <c r="M16" s="798"/>
      <c r="N16" s="798"/>
      <c r="O16" s="798"/>
      <c r="P16" s="798"/>
      <c r="Q16" s="798"/>
      <c r="R16" s="798"/>
      <c r="S16" s="798"/>
      <c r="T16" s="799"/>
      <c r="U16" s="851"/>
      <c r="V16" s="852"/>
      <c r="W16" s="852"/>
      <c r="X16" s="852"/>
      <c r="Y16" s="853"/>
      <c r="AA16" s="845"/>
      <c r="AB16" s="846"/>
      <c r="AC16" s="847"/>
      <c r="AG16"/>
      <c r="AQ16" s="36" t="s">
        <v>328</v>
      </c>
      <c r="AR16" s="37">
        <f>Y10</f>
        <v>0</v>
      </c>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row>
    <row r="17" spans="1:103" s="35" customFormat="1" ht="12.6" customHeight="1" thickBot="1">
      <c r="A17" s="159" t="e">
        <f>VLOOKUP(D17,'CEMENT SOURCES'!A1:B34,2,FALSE)</f>
        <v>#N/A</v>
      </c>
      <c r="B17" s="159"/>
      <c r="C17" s="159"/>
      <c r="D17" s="160"/>
      <c r="E17" s="160"/>
      <c r="F17" s="160"/>
      <c r="G17" s="160"/>
      <c r="H17" s="160"/>
      <c r="I17" s="160"/>
      <c r="J17" s="160"/>
      <c r="K17" s="160"/>
      <c r="L17" s="160"/>
      <c r="M17" s="160"/>
      <c r="N17" s="160"/>
      <c r="O17" s="160"/>
      <c r="P17" s="160"/>
      <c r="Q17" s="160"/>
      <c r="R17" s="160"/>
      <c r="S17" s="160"/>
      <c r="T17" s="160"/>
      <c r="U17" s="161"/>
      <c r="V17" s="161"/>
      <c r="W17" s="161"/>
      <c r="X17" s="161"/>
      <c r="Y17" s="161"/>
      <c r="AA17" s="822" t="s">
        <v>329</v>
      </c>
      <c r="AB17" s="823"/>
      <c r="AC17" s="824"/>
      <c r="AQ17" s="36" t="s">
        <v>330</v>
      </c>
      <c r="AR17" s="38">
        <f>AA10</f>
        <v>0</v>
      </c>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row>
    <row r="18" spans="1:103" s="35" customFormat="1" ht="12.6" customHeight="1" thickBot="1">
      <c r="A18" s="162" t="e">
        <f>VLOOKUP(D18,'CEMENT SOURCES'!A1:B34,2,FALSE)</f>
        <v>#N/A</v>
      </c>
      <c r="B18" s="162"/>
      <c r="C18" s="162"/>
      <c r="D18" s="163"/>
      <c r="E18" s="163"/>
      <c r="F18" s="163"/>
      <c r="G18" s="163"/>
      <c r="H18" s="163"/>
      <c r="I18" s="163"/>
      <c r="J18" s="163"/>
      <c r="K18" s="163"/>
      <c r="L18" s="163"/>
      <c r="M18" s="163"/>
      <c r="N18" s="163"/>
      <c r="O18" s="163"/>
      <c r="P18" s="163"/>
      <c r="Q18" s="163"/>
      <c r="R18" s="163"/>
      <c r="S18" s="163"/>
      <c r="T18" s="163"/>
      <c r="U18" s="164"/>
      <c r="V18" s="164"/>
      <c r="W18" s="164"/>
      <c r="X18" s="164"/>
      <c r="Y18" s="164"/>
      <c r="Z18" s="158"/>
      <c r="AA18" s="848"/>
      <c r="AB18" s="849"/>
      <c r="AC18" s="850"/>
      <c r="AQ18" s="39" t="s">
        <v>331</v>
      </c>
      <c r="AR18" s="113" t="e">
        <f>A11</f>
        <v>#N/A</v>
      </c>
      <c r="BL18" s="107"/>
      <c r="BM18" s="107"/>
      <c r="BN18" s="107"/>
      <c r="BO18" s="107"/>
      <c r="BP18" s="107"/>
      <c r="BQ18" s="107"/>
      <c r="BR18" s="107"/>
      <c r="BS18" s="107"/>
      <c r="BT18" s="107"/>
      <c r="BU18" s="107"/>
      <c r="BV18" s="107"/>
      <c r="BW18" s="107"/>
      <c r="BX18" s="107"/>
      <c r="BY18" s="107"/>
      <c r="BZ18" s="107"/>
      <c r="CA18" s="107"/>
      <c r="CB18" s="107"/>
      <c r="CC18" s="107"/>
      <c r="CD18" s="107"/>
      <c r="CE18" s="107"/>
      <c r="CF18" s="107"/>
      <c r="CG18" s="107"/>
      <c r="CH18" s="107"/>
      <c r="CI18" s="107"/>
      <c r="CJ18" s="107"/>
      <c r="CK18" s="107"/>
      <c r="CL18" s="107"/>
      <c r="CM18" s="107"/>
      <c r="CN18" s="107"/>
      <c r="CO18" s="107"/>
      <c r="CP18" s="107"/>
      <c r="CQ18" s="107"/>
      <c r="CR18" s="107"/>
      <c r="CS18" s="107"/>
      <c r="CT18" s="107"/>
      <c r="CU18" s="107"/>
      <c r="CV18" s="107"/>
      <c r="CW18" s="107"/>
      <c r="CX18" s="107"/>
      <c r="CY18" s="107"/>
    </row>
    <row r="19" spans="1:103" ht="27" customHeight="1" thickBot="1">
      <c r="A19" s="800" t="s">
        <v>332</v>
      </c>
      <c r="B19" s="801"/>
      <c r="C19" s="801"/>
      <c r="D19" s="801"/>
      <c r="E19" s="801"/>
      <c r="F19" s="801"/>
      <c r="G19" s="801"/>
      <c r="H19" s="801"/>
      <c r="I19" s="801"/>
      <c r="J19" s="801"/>
      <c r="K19" s="801"/>
      <c r="L19" s="801"/>
      <c r="M19" s="801"/>
      <c r="N19" s="801"/>
      <c r="O19" s="801"/>
      <c r="P19" s="801"/>
      <c r="Q19" s="801"/>
      <c r="R19" s="801"/>
      <c r="S19" s="801"/>
      <c r="T19" s="801"/>
      <c r="U19" s="801"/>
      <c r="V19" s="801"/>
      <c r="W19" s="802"/>
      <c r="X19" s="301"/>
      <c r="Y19" s="302"/>
      <c r="Z19" s="302"/>
      <c r="AA19" s="302"/>
      <c r="AB19" s="302"/>
      <c r="AC19" s="302"/>
      <c r="AG19" s="35"/>
      <c r="AQ19" s="27" t="s">
        <v>333</v>
      </c>
      <c r="AR19" s="33">
        <f>D11</f>
        <v>0</v>
      </c>
      <c r="AY19"/>
      <c r="AZ19"/>
      <c r="BA19"/>
      <c r="BB19"/>
      <c r="BC19"/>
      <c r="BD19"/>
      <c r="BE19"/>
      <c r="BF19"/>
      <c r="BG19"/>
      <c r="BH19"/>
      <c r="BI19"/>
      <c r="BJ19"/>
      <c r="BK19"/>
    </row>
    <row r="20" spans="1:103" ht="18" customHeight="1" thickTop="1" thickBot="1">
      <c r="A20" s="854" t="s">
        <v>334</v>
      </c>
      <c r="B20" s="550"/>
      <c r="C20" s="550"/>
      <c r="D20" s="565" t="s">
        <v>335</v>
      </c>
      <c r="E20" s="563"/>
      <c r="F20" s="563"/>
      <c r="G20" s="563"/>
      <c r="H20" s="563"/>
      <c r="I20" s="563"/>
      <c r="J20" s="563"/>
      <c r="K20" s="563"/>
      <c r="L20" s="563"/>
      <c r="M20" s="565" t="s">
        <v>336</v>
      </c>
      <c r="N20" s="563"/>
      <c r="O20" s="563"/>
      <c r="P20" s="563"/>
      <c r="Q20" s="563"/>
      <c r="R20" s="563"/>
      <c r="S20" s="563"/>
      <c r="T20" s="564"/>
      <c r="U20" s="550" t="s">
        <v>306</v>
      </c>
      <c r="V20" s="550"/>
      <c r="W20" s="860"/>
      <c r="X20" s="861"/>
      <c r="Y20" s="528"/>
      <c r="Z20" s="528"/>
      <c r="AA20" s="528"/>
      <c r="AB20" s="528"/>
      <c r="AC20" s="528"/>
      <c r="AQ20" s="27" t="s">
        <v>337</v>
      </c>
      <c r="AR20" s="23">
        <f>S11</f>
        <v>0</v>
      </c>
      <c r="AY20"/>
      <c r="AZ20"/>
      <c r="BA20"/>
      <c r="BB20"/>
      <c r="BC20"/>
      <c r="BD20"/>
      <c r="BE20"/>
      <c r="BF20"/>
      <c r="BG20"/>
      <c r="BH20"/>
      <c r="BI20"/>
      <c r="BJ20"/>
      <c r="BK20"/>
    </row>
    <row r="21" spans="1:103" ht="13.5" customHeight="1" thickBot="1">
      <c r="A21" s="862" t="str">
        <f>VLOOKUP(M21,'LATEX MODIFIERS'!A2:E4,2,FALSE)</f>
        <v xml:space="preserve"> </v>
      </c>
      <c r="B21" s="863"/>
      <c r="C21" s="863"/>
      <c r="D21" s="780" t="str">
        <f>VLOOKUP(M21,'LATEX MODIFIERS'!A2:E4,4,FALSE)</f>
        <v xml:space="preserve"> </v>
      </c>
      <c r="E21" s="781"/>
      <c r="F21" s="781"/>
      <c r="G21" s="781"/>
      <c r="H21" s="781"/>
      <c r="I21" s="781"/>
      <c r="J21" s="781"/>
      <c r="K21" s="781"/>
      <c r="L21" s="781"/>
      <c r="M21" s="782" t="s">
        <v>338</v>
      </c>
      <c r="N21" s="783"/>
      <c r="O21" s="783"/>
      <c r="P21" s="783"/>
      <c r="Q21" s="783"/>
      <c r="R21" s="783"/>
      <c r="S21" s="783"/>
      <c r="T21" s="784"/>
      <c r="U21" s="754" t="str">
        <f>VLOOKUP(M21,'LATEX MODIFIERS'!A2:E4,5,FALSE)</f>
        <v xml:space="preserve"> </v>
      </c>
      <c r="V21" s="755"/>
      <c r="W21" s="756"/>
      <c r="X21" s="855" t="e">
        <f>VLOOKUP(M21,'LATEX MODIFIERS'!#REF!,6,FALSE)</f>
        <v>#REF!</v>
      </c>
      <c r="Y21" s="856"/>
      <c r="Z21" s="856"/>
      <c r="AA21" s="856"/>
      <c r="AB21" s="856"/>
      <c r="AC21" s="856"/>
      <c r="AD21" s="55"/>
      <c r="AE21" s="55"/>
      <c r="AF21" s="55"/>
      <c r="AH21" s="55"/>
      <c r="AI21" s="55"/>
      <c r="AJ21" s="55"/>
      <c r="AK21" s="55"/>
      <c r="AL21" s="55"/>
      <c r="AM21" s="55"/>
      <c r="AQ21" s="28" t="s">
        <v>339</v>
      </c>
      <c r="AR21" s="23">
        <f>V11</f>
        <v>0</v>
      </c>
      <c r="AY21"/>
      <c r="AZ21"/>
      <c r="BA21"/>
      <c r="BB21"/>
      <c r="BC21"/>
      <c r="BD21"/>
      <c r="BE21"/>
      <c r="BF21"/>
      <c r="BG21"/>
      <c r="BH21"/>
      <c r="BI21"/>
      <c r="BJ21"/>
      <c r="BK21"/>
    </row>
    <row r="22" spans="1:103" ht="12.6" customHeight="1" thickBot="1">
      <c r="A22" s="840"/>
      <c r="B22" s="840"/>
      <c r="C22" s="840"/>
      <c r="D22" s="840"/>
      <c r="E22" s="840"/>
      <c r="F22" s="840"/>
      <c r="G22" s="840"/>
      <c r="H22" s="840"/>
      <c r="I22" s="840"/>
      <c r="J22" s="841"/>
      <c r="K22" s="841"/>
      <c r="L22" s="793"/>
      <c r="M22" s="1024"/>
      <c r="N22" s="1024"/>
      <c r="O22" s="1024"/>
      <c r="P22" s="1024"/>
      <c r="Q22" s="842"/>
      <c r="R22" s="842"/>
      <c r="S22" s="843"/>
      <c r="T22" s="843"/>
      <c r="U22" s="843"/>
      <c r="V22" s="790"/>
      <c r="W22" s="790"/>
      <c r="X22" s="791"/>
      <c r="Y22" s="791"/>
      <c r="Z22" s="844"/>
      <c r="AA22" s="844"/>
      <c r="AB22" s="528"/>
      <c r="AC22" s="528"/>
      <c r="AF22" s="5"/>
      <c r="AG22" s="5"/>
      <c r="AP22" s="110"/>
      <c r="AQ22" s="27" t="s">
        <v>340</v>
      </c>
      <c r="AR22" s="33">
        <f>D12</f>
        <v>0</v>
      </c>
      <c r="AY22"/>
      <c r="AZ22"/>
      <c r="BA22"/>
      <c r="BB22"/>
      <c r="BC22"/>
      <c r="BD22"/>
      <c r="BE22"/>
      <c r="BF22"/>
      <c r="BG22"/>
      <c r="BH22"/>
      <c r="BI22"/>
      <c r="BJ22"/>
      <c r="BK22"/>
    </row>
    <row r="23" spans="1:103" ht="15.75" customHeight="1" thickBot="1">
      <c r="A23" s="775" t="s">
        <v>341</v>
      </c>
      <c r="B23" s="619"/>
      <c r="C23" s="619"/>
      <c r="D23" s="619"/>
      <c r="E23" s="619"/>
      <c r="F23" s="619"/>
      <c r="G23" s="619"/>
      <c r="H23" s="619"/>
      <c r="I23" s="619"/>
      <c r="J23" s="619"/>
      <c r="K23" s="619"/>
      <c r="L23" s="619"/>
      <c r="M23" s="619"/>
      <c r="N23" s="619"/>
      <c r="O23" s="619"/>
      <c r="P23" s="776"/>
      <c r="S23" s="777" t="s">
        <v>342</v>
      </c>
      <c r="T23" s="778"/>
      <c r="U23" s="778"/>
      <c r="V23" s="778"/>
      <c r="W23" s="778"/>
      <c r="X23" s="778"/>
      <c r="Y23" s="778"/>
      <c r="Z23" s="778"/>
      <c r="AA23" s="778"/>
      <c r="AB23" s="778"/>
      <c r="AC23" s="779"/>
      <c r="AF23" s="5"/>
      <c r="AQ23" s="27" t="s">
        <v>343</v>
      </c>
      <c r="AR23" s="23">
        <f>S12</f>
        <v>0</v>
      </c>
      <c r="AY23"/>
      <c r="AZ23"/>
      <c r="BA23"/>
      <c r="BB23"/>
      <c r="BC23"/>
      <c r="BD23"/>
      <c r="BE23"/>
      <c r="BF23"/>
      <c r="BG23"/>
      <c r="BH23"/>
      <c r="BI23"/>
      <c r="BJ23"/>
      <c r="BK23"/>
    </row>
    <row r="24" spans="1:103" ht="20.25" customHeight="1" thickTop="1" thickBot="1">
      <c r="A24" s="921" t="s">
        <v>344</v>
      </c>
      <c r="B24" s="922"/>
      <c r="C24" s="922"/>
      <c r="D24" s="923"/>
      <c r="E24" s="528" t="s">
        <v>345</v>
      </c>
      <c r="F24" s="528"/>
      <c r="G24" s="529"/>
      <c r="H24" s="527" t="s">
        <v>346</v>
      </c>
      <c r="I24" s="528"/>
      <c r="J24" s="529"/>
      <c r="K24" s="527" t="s">
        <v>347</v>
      </c>
      <c r="L24" s="528"/>
      <c r="M24" s="529"/>
      <c r="N24" s="527" t="s">
        <v>348</v>
      </c>
      <c r="O24" s="528"/>
      <c r="P24" s="705"/>
      <c r="S24" s="803" t="s">
        <v>349</v>
      </c>
      <c r="T24" s="804"/>
      <c r="U24" s="804"/>
      <c r="V24" s="804"/>
      <c r="W24" s="804"/>
      <c r="X24" s="804"/>
      <c r="Y24" s="804"/>
      <c r="Z24" s="804"/>
      <c r="AA24" s="804"/>
      <c r="AB24" s="804"/>
      <c r="AC24" s="805"/>
      <c r="AF24" s="5"/>
      <c r="AG24" s="5"/>
      <c r="AQ24" s="28" t="s">
        <v>350</v>
      </c>
      <c r="AR24" s="23">
        <f>V12</f>
        <v>0</v>
      </c>
      <c r="AY24"/>
      <c r="AZ24"/>
      <c r="BA24"/>
      <c r="BB24"/>
      <c r="BC24"/>
      <c r="BD24"/>
      <c r="BE24"/>
      <c r="BF24"/>
      <c r="BG24"/>
      <c r="BH24"/>
      <c r="BI24"/>
      <c r="BJ24"/>
      <c r="BK24"/>
    </row>
    <row r="25" spans="1:103" ht="14.25" customHeight="1" thickBot="1">
      <c r="A25" s="924"/>
      <c r="B25" s="916"/>
      <c r="C25" s="916"/>
      <c r="D25" s="925"/>
      <c r="E25" s="528" t="s">
        <v>238</v>
      </c>
      <c r="F25" s="528"/>
      <c r="G25" s="529"/>
      <c r="H25" s="527" t="s">
        <v>351</v>
      </c>
      <c r="I25" s="528"/>
      <c r="J25" s="529"/>
      <c r="K25" s="527" t="s">
        <v>352</v>
      </c>
      <c r="L25" s="528"/>
      <c r="M25" s="529"/>
      <c r="N25" s="527" t="s">
        <v>353</v>
      </c>
      <c r="O25" s="528"/>
      <c r="P25" s="705"/>
      <c r="S25" s="944" t="s">
        <v>354</v>
      </c>
      <c r="T25" s="945"/>
      <c r="U25" s="945"/>
      <c r="V25" s="945"/>
      <c r="W25" s="945"/>
      <c r="X25" s="945"/>
      <c r="Y25" s="945"/>
      <c r="Z25" s="945"/>
      <c r="AA25" s="945"/>
      <c r="AB25" s="945"/>
      <c r="AC25" s="946"/>
      <c r="AF25" s="5"/>
      <c r="AG25" s="5"/>
      <c r="AQ25" s="28" t="s">
        <v>355</v>
      </c>
      <c r="AR25" s="23">
        <f>Y12</f>
        <v>0</v>
      </c>
      <c r="AY25"/>
      <c r="AZ25"/>
      <c r="BA25"/>
      <c r="BB25"/>
      <c r="BC25"/>
      <c r="BD25"/>
      <c r="BE25"/>
      <c r="BF25"/>
      <c r="BG25"/>
      <c r="BH25"/>
      <c r="BI25"/>
      <c r="BJ25"/>
      <c r="BK25"/>
    </row>
    <row r="26" spans="1:103" ht="11.25" customHeight="1" thickBot="1">
      <c r="A26" s="773" t="s">
        <v>241</v>
      </c>
      <c r="B26" s="774"/>
      <c r="C26" s="774"/>
      <c r="D26" s="774"/>
      <c r="E26" s="825"/>
      <c r="F26" s="825"/>
      <c r="G26" s="825"/>
      <c r="H26" s="934">
        <v>3.15</v>
      </c>
      <c r="I26" s="934"/>
      <c r="J26" s="934"/>
      <c r="K26" s="870"/>
      <c r="L26" s="870"/>
      <c r="M26" s="870"/>
      <c r="N26" s="759">
        <f>IF(E26=0,0,ROUND(E26/H26/62.4,2))</f>
        <v>0</v>
      </c>
      <c r="O26" s="759"/>
      <c r="P26" s="760"/>
      <c r="S26" s="944" t="s">
        <v>356</v>
      </c>
      <c r="T26" s="945"/>
      <c r="U26" s="945"/>
      <c r="V26" s="945"/>
      <c r="W26" s="945"/>
      <c r="X26" s="945"/>
      <c r="Y26" s="945"/>
      <c r="Z26" s="945"/>
      <c r="AA26" s="945"/>
      <c r="AB26" s="945"/>
      <c r="AC26" s="946"/>
      <c r="AF26" s="5"/>
      <c r="AG26" s="5"/>
      <c r="AQ26" s="28" t="s">
        <v>357</v>
      </c>
      <c r="AR26" s="29">
        <f>AA12</f>
        <v>0</v>
      </c>
      <c r="AY26"/>
      <c r="AZ26"/>
      <c r="BA26"/>
      <c r="BB26"/>
      <c r="BC26"/>
      <c r="BD26"/>
      <c r="BE26"/>
      <c r="BF26"/>
      <c r="BG26"/>
      <c r="BH26"/>
      <c r="BI26"/>
      <c r="BJ26"/>
      <c r="BK26"/>
    </row>
    <row r="27" spans="1:103" ht="0.75" hidden="1" customHeight="1" thickBot="1">
      <c r="A27" s="774"/>
      <c r="B27" s="774"/>
      <c r="C27" s="774"/>
      <c r="D27" s="774"/>
      <c r="E27" s="932"/>
      <c r="F27" s="932"/>
      <c r="G27" s="932"/>
      <c r="H27" s="769"/>
      <c r="I27" s="769"/>
      <c r="J27" s="769"/>
      <c r="K27" s="933"/>
      <c r="L27" s="933"/>
      <c r="M27" s="933"/>
      <c r="N27" s="762">
        <f>IF(OR(E27=0,H27=0),0,ROUND(E27/H27/62.4,2))</f>
        <v>0</v>
      </c>
      <c r="O27" s="762"/>
      <c r="P27" s="763"/>
      <c r="S27" s="757"/>
      <c r="T27" s="758"/>
      <c r="U27" s="758"/>
      <c r="V27" s="758"/>
      <c r="W27" s="758"/>
      <c r="X27" s="758"/>
      <c r="Y27" s="758"/>
      <c r="Z27" s="758"/>
      <c r="AA27" s="761"/>
      <c r="AB27" s="761"/>
      <c r="AC27" s="283"/>
      <c r="AG27" s="5"/>
      <c r="AQ27" s="28" t="s">
        <v>358</v>
      </c>
      <c r="AR27" s="23" t="str">
        <f>A16</f>
        <v>W088301</v>
      </c>
      <c r="AY27"/>
      <c r="AZ27"/>
      <c r="BA27"/>
      <c r="BB27"/>
      <c r="BC27"/>
      <c r="BD27"/>
      <c r="BE27"/>
      <c r="BF27"/>
      <c r="BG27"/>
      <c r="BH27"/>
      <c r="BI27"/>
      <c r="BJ27"/>
      <c r="BK27"/>
    </row>
    <row r="28" spans="1:103" ht="12" hidden="1" customHeight="1" thickBot="1">
      <c r="A28" s="774"/>
      <c r="B28" s="774"/>
      <c r="C28" s="774"/>
      <c r="D28" s="774"/>
      <c r="E28" s="825"/>
      <c r="F28" s="825"/>
      <c r="G28" s="825"/>
      <c r="H28" s="871"/>
      <c r="I28" s="871"/>
      <c r="J28" s="871"/>
      <c r="K28" s="870"/>
      <c r="L28" s="870"/>
      <c r="M28" s="870"/>
      <c r="N28" s="759">
        <f>IF(OR(E28=0,H28=0),0,ROUND(E28/H28/62.4,2))</f>
        <v>0</v>
      </c>
      <c r="O28" s="759"/>
      <c r="P28" s="760"/>
      <c r="S28" s="757"/>
      <c r="T28" s="758"/>
      <c r="U28" s="758"/>
      <c r="V28" s="758"/>
      <c r="W28" s="758"/>
      <c r="X28" s="758"/>
      <c r="Y28" s="758"/>
      <c r="Z28" s="758"/>
      <c r="AA28" s="761"/>
      <c r="AB28" s="761"/>
      <c r="AC28" s="283"/>
      <c r="AG28" s="5"/>
      <c r="AQ28" s="28" t="s">
        <v>359</v>
      </c>
      <c r="AR28" s="112" t="str">
        <f>D16</f>
        <v>Fariborn Cement Co.    FAIRBORN, OH</v>
      </c>
      <c r="AY28"/>
      <c r="AZ28"/>
      <c r="BA28"/>
      <c r="BB28"/>
      <c r="BC28"/>
      <c r="BD28"/>
      <c r="BE28"/>
      <c r="BF28"/>
      <c r="BG28"/>
      <c r="BH28"/>
      <c r="BI28"/>
      <c r="BJ28"/>
      <c r="BK28"/>
    </row>
    <row r="29" spans="1:103" ht="12" hidden="1" customHeight="1" thickBot="1">
      <c r="A29" s="773"/>
      <c r="B29" s="774"/>
      <c r="C29" s="774"/>
      <c r="D29" s="774"/>
      <c r="E29" s="825"/>
      <c r="F29" s="825"/>
      <c r="G29" s="825"/>
      <c r="H29" s="871"/>
      <c r="I29" s="871"/>
      <c r="J29" s="871"/>
      <c r="K29" s="870"/>
      <c r="L29" s="870"/>
      <c r="M29" s="870"/>
      <c r="N29" s="759">
        <f>IF(OR(E29=0,H29=0),0,ROUND(E29/H29/62.4,2))</f>
        <v>0</v>
      </c>
      <c r="O29" s="759"/>
      <c r="P29" s="760"/>
      <c r="S29" s="757"/>
      <c r="T29" s="758"/>
      <c r="U29" s="758"/>
      <c r="V29" s="758"/>
      <c r="W29" s="758"/>
      <c r="X29" s="758"/>
      <c r="Y29" s="758"/>
      <c r="Z29" s="758"/>
      <c r="AA29" s="761"/>
      <c r="AB29" s="761"/>
      <c r="AC29" s="896"/>
      <c r="AG29" s="5"/>
      <c r="AQ29" s="28" t="s">
        <v>360</v>
      </c>
      <c r="AR29" s="23">
        <f>U16</f>
        <v>0</v>
      </c>
      <c r="AY29"/>
      <c r="AZ29"/>
      <c r="BA29"/>
      <c r="BB29"/>
      <c r="BC29"/>
      <c r="BD29"/>
      <c r="BE29"/>
      <c r="BF29"/>
      <c r="BG29"/>
      <c r="BH29"/>
      <c r="BI29"/>
      <c r="BJ29"/>
      <c r="BK29"/>
    </row>
    <row r="30" spans="1:103" ht="12.6" customHeight="1" thickBot="1">
      <c r="A30" s="773" t="s">
        <v>243</v>
      </c>
      <c r="B30" s="774"/>
      <c r="C30" s="774"/>
      <c r="D30" s="774"/>
      <c r="E30" s="878"/>
      <c r="F30" s="878"/>
      <c r="G30" s="878"/>
      <c r="H30" s="871">
        <v>1.01</v>
      </c>
      <c r="I30" s="871"/>
      <c r="J30" s="871"/>
      <c r="K30" s="870"/>
      <c r="L30" s="870"/>
      <c r="M30" s="870"/>
      <c r="N30" s="759">
        <f>IF(OR(E30=0,H30=0),0,ROUND(E30/H30/62.4,2))</f>
        <v>0</v>
      </c>
      <c r="O30" s="759"/>
      <c r="P30" s="760"/>
      <c r="S30" s="944" t="s">
        <v>361</v>
      </c>
      <c r="T30" s="945"/>
      <c r="U30" s="945"/>
      <c r="V30" s="945"/>
      <c r="W30" s="945"/>
      <c r="X30" s="945"/>
      <c r="Y30" s="945"/>
      <c r="Z30" s="945"/>
      <c r="AA30" s="945"/>
      <c r="AB30" s="945"/>
      <c r="AC30" s="946"/>
      <c r="AG30" s="5"/>
      <c r="AQ30" s="28" t="s">
        <v>362</v>
      </c>
      <c r="AR30" s="23" t="e">
        <f>A17</f>
        <v>#N/A</v>
      </c>
      <c r="AY30"/>
      <c r="AZ30"/>
      <c r="BA30"/>
      <c r="BB30"/>
      <c r="BC30"/>
      <c r="BD30"/>
      <c r="BE30"/>
      <c r="BF30"/>
      <c r="BG30"/>
      <c r="BH30"/>
      <c r="BI30"/>
      <c r="BJ30"/>
      <c r="BK30"/>
    </row>
    <row r="31" spans="1:103" ht="12.6" customHeight="1" thickBot="1">
      <c r="A31" s="885" t="s">
        <v>244</v>
      </c>
      <c r="B31" s="712"/>
      <c r="C31" s="712"/>
      <c r="D31" s="713"/>
      <c r="E31" s="825"/>
      <c r="F31" s="825"/>
      <c r="G31" s="825"/>
      <c r="H31" s="871"/>
      <c r="I31" s="871"/>
      <c r="J31" s="871"/>
      <c r="K31" s="917">
        <v>1.37</v>
      </c>
      <c r="L31" s="917"/>
      <c r="M31" s="917"/>
      <c r="N31" s="759">
        <f>IF(OR(E31=0,H31=0,K31=0),0,ROUND(E31/H31/62.4,2))</f>
        <v>0</v>
      </c>
      <c r="O31" s="759"/>
      <c r="P31" s="760"/>
      <c r="S31" s="947" t="s">
        <v>363</v>
      </c>
      <c r="T31" s="948"/>
      <c r="U31" s="948"/>
      <c r="V31" s="948"/>
      <c r="W31" s="948"/>
      <c r="X31" s="948"/>
      <c r="Y31" s="948"/>
      <c r="Z31" s="948"/>
      <c r="AA31" s="948"/>
      <c r="AB31" s="948"/>
      <c r="AC31" s="949"/>
      <c r="AQ31" s="28" t="s">
        <v>364</v>
      </c>
      <c r="AR31" s="29">
        <f>D17</f>
        <v>0</v>
      </c>
      <c r="AY31"/>
      <c r="AZ31"/>
      <c r="BA31"/>
      <c r="BB31"/>
      <c r="BC31"/>
      <c r="BD31"/>
      <c r="BE31"/>
      <c r="BF31"/>
      <c r="BG31"/>
      <c r="BH31"/>
      <c r="BI31"/>
      <c r="BJ31"/>
      <c r="BK31"/>
    </row>
    <row r="32" spans="1:103" ht="12" customHeight="1" thickBot="1">
      <c r="A32" s="886" t="s">
        <v>246</v>
      </c>
      <c r="B32" s="712"/>
      <c r="C32" s="712"/>
      <c r="D32" s="713"/>
      <c r="E32" s="893"/>
      <c r="F32" s="894"/>
      <c r="G32" s="895"/>
      <c r="H32" s="918"/>
      <c r="I32" s="919"/>
      <c r="J32" s="920"/>
      <c r="K32" s="969"/>
      <c r="L32" s="970"/>
      <c r="M32" s="971"/>
      <c r="N32" s="759">
        <f>IF(OR(E32=0,H32=0,K32=0),0,ROUND(E32/H32/62.4,2))</f>
        <v>0</v>
      </c>
      <c r="O32" s="759"/>
      <c r="P32" s="760"/>
      <c r="R32" s="3"/>
      <c r="S32" s="966" t="s">
        <v>365</v>
      </c>
      <c r="T32" s="967"/>
      <c r="U32" s="967"/>
      <c r="V32" s="967"/>
      <c r="W32" s="967"/>
      <c r="X32" s="967"/>
      <c r="Y32" s="967"/>
      <c r="Z32" s="967"/>
      <c r="AA32" s="967"/>
      <c r="AB32" s="967"/>
      <c r="AC32" s="968"/>
      <c r="AG32" s="5" t="s">
        <v>366</v>
      </c>
      <c r="AQ32" s="28" t="s">
        <v>367</v>
      </c>
      <c r="AR32" s="23">
        <f>U17</f>
        <v>0</v>
      </c>
      <c r="AY32"/>
      <c r="AZ32"/>
      <c r="BA32"/>
      <c r="BB32"/>
      <c r="BC32"/>
      <c r="BD32"/>
      <c r="BE32"/>
      <c r="BF32"/>
      <c r="BG32"/>
      <c r="BH32"/>
      <c r="BI32"/>
      <c r="BJ32"/>
      <c r="BK32"/>
    </row>
    <row r="33" spans="1:63" ht="17.25" customHeight="1" thickBot="1">
      <c r="A33" s="887"/>
      <c r="B33" s="888"/>
      <c r="C33" s="888"/>
      <c r="D33" s="889"/>
      <c r="E33" s="885"/>
      <c r="F33" s="712"/>
      <c r="G33" s="713"/>
      <c r="H33" s="770"/>
      <c r="I33" s="771"/>
      <c r="J33" s="772"/>
      <c r="K33" s="962"/>
      <c r="L33" s="963"/>
      <c r="M33" s="964"/>
      <c r="N33" s="962">
        <f>IF(OR(E33=0,H33=0,K33=0),0,ROUND(E33/H33/62.4,2))</f>
        <v>0</v>
      </c>
      <c r="O33" s="963"/>
      <c r="P33" s="965"/>
      <c r="R33" s="3"/>
      <c r="S33" s="954" t="s">
        <v>368</v>
      </c>
      <c r="T33" s="955"/>
      <c r="U33" s="955"/>
      <c r="V33" s="955"/>
      <c r="W33" s="955"/>
      <c r="X33" s="955"/>
      <c r="Y33" s="955"/>
      <c r="Z33" s="956"/>
      <c r="AA33" s="744" t="e">
        <f>(E34+E36)/(E26+E27+E28+E29)</f>
        <v>#DIV/0!</v>
      </c>
      <c r="AB33" s="745"/>
      <c r="AC33" s="746"/>
      <c r="AG33" s="5" t="s">
        <v>203</v>
      </c>
      <c r="AQ33" s="28" t="s">
        <v>369</v>
      </c>
      <c r="AR33" s="23" t="e">
        <f>A18</f>
        <v>#N/A</v>
      </c>
      <c r="AY33"/>
      <c r="AZ33"/>
      <c r="BA33"/>
      <c r="BB33"/>
      <c r="BC33"/>
      <c r="BD33"/>
      <c r="BE33"/>
      <c r="BF33"/>
      <c r="BG33"/>
      <c r="BH33"/>
      <c r="BI33"/>
      <c r="BJ33"/>
      <c r="BK33"/>
    </row>
    <row r="34" spans="1:63" ht="12.6" customHeight="1" thickBot="1">
      <c r="A34" s="926" t="s">
        <v>370</v>
      </c>
      <c r="B34" s="927"/>
      <c r="C34" s="927"/>
      <c r="D34" s="928"/>
      <c r="E34" s="935"/>
      <c r="F34" s="936"/>
      <c r="G34" s="937"/>
      <c r="H34" s="941">
        <v>1</v>
      </c>
      <c r="I34" s="880"/>
      <c r="J34" s="942"/>
      <c r="K34" s="872"/>
      <c r="L34" s="873"/>
      <c r="M34" s="874"/>
      <c r="N34" s="879">
        <f>IF(E34=0,0,ROUND(E34/H34/62.4,2))</f>
        <v>0</v>
      </c>
      <c r="O34" s="880"/>
      <c r="P34" s="881"/>
      <c r="R34" s="3"/>
      <c r="S34" s="766" t="s">
        <v>371</v>
      </c>
      <c r="T34" s="712"/>
      <c r="U34" s="712"/>
      <c r="V34" s="712"/>
      <c r="W34" s="712"/>
      <c r="X34" s="712"/>
      <c r="Y34" s="712"/>
      <c r="Z34" s="713"/>
      <c r="AA34" s="957" t="e">
        <f>IF(N39="ERROR!","ERROR!",E38/N38)</f>
        <v>#DIV/0!</v>
      </c>
      <c r="AB34" s="958"/>
      <c r="AC34" s="959"/>
      <c r="AG34" s="5" t="s">
        <v>206</v>
      </c>
      <c r="AQ34" s="28" t="s">
        <v>372</v>
      </c>
      <c r="AR34" s="112">
        <f>D18</f>
        <v>0</v>
      </c>
      <c r="AY34"/>
      <c r="AZ34"/>
      <c r="BA34"/>
      <c r="BB34"/>
      <c r="BC34"/>
      <c r="BD34"/>
      <c r="BE34"/>
      <c r="BF34"/>
      <c r="BG34"/>
      <c r="BH34"/>
      <c r="BI34"/>
      <c r="BJ34"/>
      <c r="BK34"/>
    </row>
    <row r="35" spans="1:63" ht="12.6" customHeight="1" thickBot="1">
      <c r="A35" s="929"/>
      <c r="B35" s="930"/>
      <c r="C35" s="930"/>
      <c r="D35" s="931"/>
      <c r="E35" s="938"/>
      <c r="F35" s="939"/>
      <c r="G35" s="940"/>
      <c r="H35" s="882"/>
      <c r="I35" s="883"/>
      <c r="J35" s="943"/>
      <c r="K35" s="875"/>
      <c r="L35" s="876"/>
      <c r="M35" s="877"/>
      <c r="N35" s="882"/>
      <c r="O35" s="883"/>
      <c r="P35" s="884"/>
      <c r="R35" s="3"/>
      <c r="S35" s="764" t="s">
        <v>373</v>
      </c>
      <c r="T35" s="765"/>
      <c r="U35" s="765"/>
      <c r="V35" s="765"/>
      <c r="W35" s="765"/>
      <c r="X35" s="765"/>
      <c r="Y35" s="765"/>
      <c r="Z35" s="765"/>
      <c r="AA35" s="960" t="str">
        <f>IFERROR(IF(V7="722 LMC",100*(((G43*E31/(1+K31/100))+(#REF!*E32/(1+K32/100)))/(E31/(1+K31/100)+E32/(1+K32/100))),IF(OR(V7="SP Class SL",V7="730*"),"",E31*100/SUM(E31:E33))),"")</f>
        <v/>
      </c>
      <c r="AB35" s="960"/>
      <c r="AC35" s="961"/>
      <c r="AG35" s="5" t="s">
        <v>208</v>
      </c>
      <c r="AQ35" s="28" t="s">
        <v>374</v>
      </c>
      <c r="AR35" s="23">
        <f>U18</f>
        <v>0</v>
      </c>
      <c r="AY35"/>
      <c r="AZ35"/>
      <c r="BA35"/>
      <c r="BB35"/>
      <c r="BC35"/>
      <c r="BD35"/>
      <c r="BE35"/>
      <c r="BF35"/>
      <c r="BG35"/>
      <c r="BH35"/>
      <c r="BI35"/>
      <c r="BJ35"/>
      <c r="BK35"/>
    </row>
    <row r="36" spans="1:63" ht="12.6" customHeight="1" thickBot="1">
      <c r="A36" s="864" t="s">
        <v>375</v>
      </c>
      <c r="B36" s="774"/>
      <c r="C36" s="774"/>
      <c r="D36" s="774"/>
      <c r="E36" s="893"/>
      <c r="F36" s="894"/>
      <c r="G36" s="895"/>
      <c r="H36" s="934">
        <v>1</v>
      </c>
      <c r="I36" s="934"/>
      <c r="J36" s="934"/>
      <c r="K36" s="870"/>
      <c r="L36" s="870"/>
      <c r="M36" s="870"/>
      <c r="N36" s="759">
        <f>IF(E36=0,0,ROUND(E36/H36/62.4,2))</f>
        <v>0</v>
      </c>
      <c r="O36" s="759"/>
      <c r="P36" s="760"/>
      <c r="R36" s="3"/>
      <c r="S36" s="864"/>
      <c r="T36" s="774"/>
      <c r="U36" s="774"/>
      <c r="V36" s="774"/>
      <c r="W36" s="774"/>
      <c r="X36" s="774"/>
      <c r="Y36" s="774"/>
      <c r="Z36" s="774"/>
      <c r="AA36" s="752"/>
      <c r="AB36" s="752"/>
      <c r="AC36" s="753"/>
      <c r="AG36" s="5" t="s">
        <v>211</v>
      </c>
      <c r="AQ36" s="28" t="s">
        <v>376</v>
      </c>
      <c r="AR36" s="23">
        <f>AA16</f>
        <v>0</v>
      </c>
      <c r="AY36"/>
      <c r="AZ36"/>
      <c r="BA36"/>
      <c r="BB36"/>
      <c r="BC36"/>
      <c r="BD36"/>
      <c r="BE36"/>
      <c r="BF36"/>
      <c r="BG36"/>
      <c r="BH36"/>
      <c r="BI36"/>
      <c r="BJ36"/>
      <c r="BK36"/>
    </row>
    <row r="37" spans="1:63" ht="12.6" customHeight="1" thickBot="1">
      <c r="A37" s="868" t="s">
        <v>377</v>
      </c>
      <c r="B37" s="713"/>
      <c r="C37" s="869">
        <v>5</v>
      </c>
      <c r="D37" s="869"/>
      <c r="E37" s="890">
        <v>0</v>
      </c>
      <c r="F37" s="891"/>
      <c r="G37" s="892"/>
      <c r="H37" s="934">
        <v>0</v>
      </c>
      <c r="I37" s="934"/>
      <c r="J37" s="934"/>
      <c r="K37" s="870"/>
      <c r="L37" s="870"/>
      <c r="M37" s="870"/>
      <c r="N37" s="759">
        <f>(C37/100)*27</f>
        <v>1.35</v>
      </c>
      <c r="O37" s="759"/>
      <c r="P37" s="760"/>
      <c r="R37" s="3"/>
      <c r="S37" s="766"/>
      <c r="T37" s="712"/>
      <c r="U37" s="712"/>
      <c r="V37" s="712"/>
      <c r="W37" s="712"/>
      <c r="X37" s="712"/>
      <c r="Y37" s="712"/>
      <c r="Z37" s="712"/>
      <c r="AA37" s="865"/>
      <c r="AB37" s="866"/>
      <c r="AC37" s="953"/>
      <c r="AG37" s="5" t="s">
        <v>213</v>
      </c>
      <c r="AQ37" s="28" t="s">
        <v>378</v>
      </c>
      <c r="AR37" s="23">
        <f>AA18</f>
        <v>0</v>
      </c>
      <c r="AY37"/>
      <c r="AZ37"/>
      <c r="BA37"/>
      <c r="BB37"/>
      <c r="BC37"/>
      <c r="BD37"/>
      <c r="BE37"/>
      <c r="BF37"/>
      <c r="BG37"/>
      <c r="BH37"/>
      <c r="BI37"/>
      <c r="BJ37"/>
      <c r="BK37"/>
    </row>
    <row r="38" spans="1:63" ht="12.6" customHeight="1" thickBot="1">
      <c r="A38" s="864" t="s">
        <v>379</v>
      </c>
      <c r="B38" s="774"/>
      <c r="C38" s="774"/>
      <c r="D38" s="774"/>
      <c r="E38" s="865">
        <f>SUM(E26:E37)</f>
        <v>0</v>
      </c>
      <c r="F38" s="866"/>
      <c r="G38" s="867"/>
      <c r="H38" s="870"/>
      <c r="I38" s="870"/>
      <c r="J38" s="870"/>
      <c r="K38" s="870"/>
      <c r="L38" s="870"/>
      <c r="M38" s="870"/>
      <c r="N38" s="759">
        <f>ROUND(SUM(N26:N37),2)</f>
        <v>1.35</v>
      </c>
      <c r="O38" s="759"/>
      <c r="P38" s="760"/>
      <c r="R38" s="3"/>
      <c r="S38" s="747"/>
      <c r="T38" s="748"/>
      <c r="U38" s="748"/>
      <c r="V38" s="748"/>
      <c r="W38" s="748"/>
      <c r="X38" s="748"/>
      <c r="Y38" s="748"/>
      <c r="Z38" s="749"/>
      <c r="AA38" s="750"/>
      <c r="AB38" s="750"/>
      <c r="AC38" s="751"/>
      <c r="AG38" s="5" t="s">
        <v>216</v>
      </c>
      <c r="AQ38" s="28" t="s">
        <v>380</v>
      </c>
      <c r="AR38" s="114" t="str">
        <f>A21</f>
        <v xml:space="preserve"> </v>
      </c>
      <c r="AY38"/>
      <c r="AZ38"/>
      <c r="BA38"/>
      <c r="BB38"/>
      <c r="BC38"/>
      <c r="BD38"/>
      <c r="BE38"/>
      <c r="BF38"/>
      <c r="BG38"/>
      <c r="BH38"/>
      <c r="BI38"/>
      <c r="BJ38"/>
      <c r="BK38"/>
    </row>
    <row r="39" spans="1:63" ht="18" customHeight="1" thickBot="1">
      <c r="A39" s="897"/>
      <c r="B39" s="898"/>
      <c r="C39" s="898"/>
      <c r="D39" s="898"/>
      <c r="E39" s="898"/>
      <c r="F39" s="898"/>
      <c r="G39" s="898"/>
      <c r="H39" s="898"/>
      <c r="I39" s="898"/>
      <c r="J39" s="699" t="s">
        <v>381</v>
      </c>
      <c r="K39" s="699"/>
      <c r="L39" s="699"/>
      <c r="M39" s="899"/>
      <c r="N39" s="903" t="e">
        <f>IF(OR(N38&gt;27,N38&lt;27,AA33&gt;=0.435),"ERROR!","Correct")</f>
        <v>#DIV/0!</v>
      </c>
      <c r="O39" s="904"/>
      <c r="P39" s="905"/>
      <c r="S39" s="950" t="s">
        <v>382</v>
      </c>
      <c r="T39" s="755"/>
      <c r="U39" s="755"/>
      <c r="V39" s="755"/>
      <c r="W39" s="755"/>
      <c r="X39" s="755"/>
      <c r="Y39" s="755"/>
      <c r="Z39" s="755"/>
      <c r="AA39" s="951">
        <f>((N26+N27+N28+N29+N30+N34+N36)/N38)*100</f>
        <v>0</v>
      </c>
      <c r="AB39" s="951"/>
      <c r="AC39" s="952"/>
      <c r="AG39" s="5" t="s">
        <v>383</v>
      </c>
      <c r="AP39" s="3"/>
      <c r="AQ39" s="32" t="s">
        <v>384</v>
      </c>
      <c r="AR39" s="112" t="str">
        <f>D21</f>
        <v xml:space="preserve"> </v>
      </c>
      <c r="AY39"/>
      <c r="AZ39"/>
      <c r="BA39"/>
      <c r="BB39"/>
      <c r="BC39"/>
      <c r="BD39"/>
      <c r="BE39"/>
      <c r="BF39"/>
      <c r="BG39"/>
      <c r="BH39"/>
      <c r="BI39"/>
      <c r="BJ39"/>
      <c r="BK39"/>
    </row>
    <row r="40" spans="1:63" ht="16.5" customHeight="1" thickBot="1">
      <c r="A40" s="1026"/>
      <c r="B40" s="1018"/>
      <c r="C40" s="1018"/>
      <c r="D40" s="1018"/>
      <c r="E40" s="1018"/>
      <c r="F40" s="1018"/>
      <c r="G40" s="1018"/>
      <c r="H40" s="1018"/>
      <c r="I40" s="1018"/>
      <c r="J40" s="1018"/>
      <c r="K40" s="1018"/>
      <c r="L40" s="1018"/>
      <c r="M40" s="910" t="str">
        <f>IF(V7="501 QC/QA PCCP","***501 QC/QA PCCP MUST HAVE A POZZOLAN***"," ")</f>
        <v xml:space="preserve"> </v>
      </c>
      <c r="N40" s="911"/>
      <c r="O40" s="911"/>
      <c r="P40" s="911"/>
      <c r="Q40" s="911"/>
      <c r="R40" s="911"/>
      <c r="S40" s="911"/>
      <c r="T40" s="911"/>
      <c r="U40" s="911"/>
      <c r="V40" s="911"/>
      <c r="W40" s="911"/>
      <c r="X40" s="911"/>
      <c r="Y40" s="911"/>
      <c r="Z40" s="911"/>
      <c r="AA40" s="911"/>
      <c r="AB40" s="911"/>
      <c r="AC40" s="911"/>
      <c r="AG40" s="5" t="s">
        <v>385</v>
      </c>
      <c r="AO40" s="108"/>
      <c r="AP40" s="109"/>
      <c r="AQ40" s="32" t="s">
        <v>386</v>
      </c>
      <c r="AR40" s="33" t="str">
        <f>M21</f>
        <v xml:space="preserve"> </v>
      </c>
      <c r="AY40"/>
      <c r="AZ40"/>
      <c r="BA40"/>
      <c r="BB40"/>
      <c r="BC40"/>
      <c r="BD40"/>
      <c r="BE40"/>
      <c r="BF40"/>
      <c r="BG40"/>
      <c r="BH40"/>
      <c r="BI40"/>
      <c r="BJ40"/>
      <c r="BK40"/>
    </row>
    <row r="41" spans="1:63" ht="18.75" customHeight="1" thickBot="1">
      <c r="A41" s="2"/>
      <c r="B41" s="2"/>
      <c r="E41" s="5" t="s">
        <v>387</v>
      </c>
      <c r="M41" s="913"/>
      <c r="N41" s="914"/>
      <c r="O41" s="914"/>
      <c r="P41" s="914"/>
      <c r="Q41" s="914"/>
      <c r="R41" s="914"/>
      <c r="S41" s="914"/>
      <c r="T41" s="914"/>
      <c r="U41" s="914"/>
      <c r="V41" s="914"/>
      <c r="W41" s="914"/>
      <c r="X41" s="528" t="s">
        <v>388</v>
      </c>
      <c r="Y41" s="528"/>
      <c r="Z41" s="697"/>
      <c r="AA41" s="697"/>
      <c r="AB41" s="697"/>
      <c r="AC41" s="697"/>
      <c r="AD41" s="6"/>
      <c r="AP41" s="3"/>
      <c r="AQ41" s="32" t="s">
        <v>326</v>
      </c>
      <c r="AR41" s="112" t="str">
        <f>U21</f>
        <v xml:space="preserve"> </v>
      </c>
      <c r="AY41"/>
      <c r="AZ41"/>
      <c r="BA41"/>
      <c r="BB41"/>
      <c r="BC41"/>
      <c r="BD41"/>
      <c r="BE41"/>
      <c r="BF41"/>
      <c r="BG41"/>
      <c r="BH41"/>
      <c r="BI41"/>
      <c r="BJ41"/>
      <c r="BK41"/>
    </row>
    <row r="42" spans="1:63" ht="16.5" customHeight="1" thickBot="1">
      <c r="A42" s="299"/>
      <c r="E42" s="915" t="s">
        <v>389</v>
      </c>
      <c r="F42" s="916"/>
      <c r="G42" s="916"/>
      <c r="H42" s="916"/>
      <c r="I42" s="916"/>
      <c r="J42" s="916"/>
      <c r="K42" s="916"/>
      <c r="L42" s="916"/>
      <c r="M42" s="913"/>
      <c r="N42" s="914"/>
      <c r="O42" s="914"/>
      <c r="P42" s="914"/>
      <c r="Q42" s="914"/>
      <c r="R42" s="914"/>
      <c r="S42" s="914"/>
      <c r="T42" s="914"/>
      <c r="U42" s="914"/>
      <c r="V42" s="914"/>
      <c r="W42" s="914"/>
      <c r="X42" s="528" t="s">
        <v>388</v>
      </c>
      <c r="Y42" s="528"/>
      <c r="Z42" s="697"/>
      <c r="AA42" s="697"/>
      <c r="AB42" s="697"/>
      <c r="AC42" s="697"/>
      <c r="AD42" s="34"/>
      <c r="AQ42" s="32" t="s">
        <v>390</v>
      </c>
      <c r="AR42" s="112" t="e">
        <f>X21</f>
        <v>#REF!</v>
      </c>
      <c r="AY42"/>
      <c r="AZ42"/>
      <c r="BA42"/>
      <c r="BB42"/>
      <c r="BC42"/>
      <c r="BD42"/>
      <c r="BE42"/>
      <c r="BF42"/>
      <c r="BG42"/>
      <c r="BH42"/>
      <c r="BI42"/>
      <c r="BJ42"/>
      <c r="BK42"/>
    </row>
    <row r="43" spans="1:63" ht="16.5" customHeight="1" thickBot="1">
      <c r="A43" s="299"/>
      <c r="M43" s="40"/>
      <c r="N43" s="338"/>
      <c r="O43" s="338"/>
      <c r="P43" s="900"/>
      <c r="Q43" s="901"/>
      <c r="R43" s="901"/>
      <c r="S43" s="901"/>
      <c r="T43" s="901"/>
      <c r="U43" s="901"/>
      <c r="V43" s="901"/>
      <c r="W43" s="901"/>
      <c r="X43" s="901"/>
      <c r="Y43" s="901"/>
      <c r="Z43" s="902"/>
      <c r="AA43" s="902"/>
      <c r="AB43" s="902"/>
      <c r="AC43" s="902"/>
      <c r="AD43" s="34"/>
      <c r="AQ43" s="32" t="s">
        <v>391</v>
      </c>
      <c r="AR43" s="114" t="e">
        <f>#REF!</f>
        <v>#REF!</v>
      </c>
      <c r="AY43"/>
      <c r="AZ43"/>
      <c r="BA43"/>
      <c r="BB43"/>
      <c r="BC43"/>
      <c r="BD43"/>
      <c r="BE43"/>
      <c r="BF43"/>
      <c r="BG43"/>
      <c r="BH43"/>
      <c r="BI43"/>
      <c r="BJ43"/>
      <c r="BK43"/>
    </row>
    <row r="44" spans="1:63" ht="13.5" customHeight="1">
      <c r="A44" s="528" t="s">
        <v>392</v>
      </c>
      <c r="B44" s="528"/>
      <c r="C44" s="528"/>
      <c r="D44" s="528"/>
      <c r="E44" s="528"/>
      <c r="F44" s="528"/>
      <c r="G44" s="906"/>
      <c r="H44" s="912"/>
      <c r="I44" s="912"/>
      <c r="J44" s="912"/>
      <c r="K44" s="912"/>
      <c r="L44" s="912"/>
      <c r="M44" s="912"/>
      <c r="N44" s="912"/>
      <c r="O44" s="912"/>
      <c r="P44" s="912"/>
      <c r="Q44" s="912"/>
      <c r="R44" s="912"/>
      <c r="S44" s="912"/>
      <c r="T44" s="912"/>
      <c r="U44" s="912"/>
      <c r="V44" s="912"/>
      <c r="W44" s="912"/>
      <c r="X44" s="912"/>
      <c r="Y44" s="912"/>
      <c r="Z44" s="912"/>
      <c r="AA44" s="912"/>
      <c r="AB44" s="912"/>
      <c r="AC44" s="912"/>
      <c r="AD44" s="34"/>
      <c r="AQ44" s="32" t="s">
        <v>393</v>
      </c>
      <c r="AR44" s="23" t="str">
        <f>D21</f>
        <v xml:space="preserve"> </v>
      </c>
      <c r="AY44"/>
      <c r="AZ44"/>
      <c r="BA44"/>
      <c r="BB44"/>
      <c r="BC44"/>
      <c r="BD44"/>
      <c r="BE44"/>
      <c r="BF44"/>
      <c r="BG44"/>
      <c r="BH44"/>
      <c r="BI44"/>
      <c r="BJ44"/>
      <c r="BK44"/>
    </row>
    <row r="45" spans="1:63" ht="13.5" customHeight="1" thickBot="1">
      <c r="A45" s="906"/>
      <c r="B45" s="907"/>
      <c r="C45" s="907"/>
      <c r="D45" s="907"/>
      <c r="E45" s="907"/>
      <c r="F45" s="907"/>
      <c r="G45" s="907"/>
      <c r="H45" s="907"/>
      <c r="I45" s="907"/>
      <c r="J45" s="907"/>
      <c r="K45" s="907"/>
      <c r="L45" s="907"/>
      <c r="M45" s="907"/>
      <c r="N45" s="907"/>
      <c r="O45" s="907"/>
      <c r="P45" s="907"/>
      <c r="Q45" s="907"/>
      <c r="R45" s="907"/>
      <c r="S45" s="907"/>
      <c r="T45" s="907"/>
      <c r="U45" s="907"/>
      <c r="V45" s="907"/>
      <c r="W45" s="907"/>
      <c r="X45" s="907"/>
      <c r="Y45" s="907"/>
      <c r="Z45" s="907"/>
      <c r="AA45" s="907"/>
      <c r="AB45" s="907"/>
      <c r="AC45" s="907"/>
      <c r="AD45" s="98"/>
      <c r="AQ45" s="32" t="s">
        <v>394</v>
      </c>
      <c r="AR45" s="33" t="e">
        <f>#REF!</f>
        <v>#REF!</v>
      </c>
      <c r="AY45"/>
      <c r="AZ45"/>
      <c r="BA45"/>
      <c r="BB45"/>
      <c r="BC45"/>
      <c r="BD45"/>
      <c r="BE45"/>
      <c r="BF45"/>
      <c r="BG45"/>
      <c r="BH45"/>
      <c r="BI45"/>
      <c r="BJ45"/>
      <c r="BK45"/>
    </row>
    <row r="46" spans="1:63" ht="12.75" customHeight="1" thickBot="1">
      <c r="A46" s="906"/>
      <c r="B46" s="907"/>
      <c r="C46" s="907"/>
      <c r="D46" s="907"/>
      <c r="E46" s="907"/>
      <c r="F46" s="907"/>
      <c r="G46" s="907"/>
      <c r="H46" s="907"/>
      <c r="I46" s="907"/>
      <c r="J46" s="907"/>
      <c r="K46" s="907"/>
      <c r="L46" s="907"/>
      <c r="M46" s="907"/>
      <c r="N46" s="907"/>
      <c r="O46" s="907"/>
      <c r="P46" s="907"/>
      <c r="Q46" s="907"/>
      <c r="R46" s="907"/>
      <c r="S46" s="907"/>
      <c r="T46" s="907"/>
      <c r="U46" s="907"/>
      <c r="V46" s="907"/>
      <c r="W46" s="907"/>
      <c r="X46" s="907"/>
      <c r="Y46" s="907"/>
      <c r="Z46" s="907"/>
      <c r="AA46" s="907"/>
      <c r="AB46" s="907"/>
      <c r="AC46" s="907"/>
      <c r="AD46" s="98"/>
      <c r="AQ46" s="32" t="s">
        <v>395</v>
      </c>
      <c r="AR46" s="23" t="e">
        <f>#REF!</f>
        <v>#REF!</v>
      </c>
      <c r="AY46"/>
      <c r="AZ46"/>
      <c r="BA46"/>
      <c r="BB46"/>
      <c r="BC46"/>
      <c r="BD46"/>
      <c r="BE46"/>
      <c r="BF46"/>
      <c r="BG46"/>
      <c r="BH46"/>
      <c r="BI46"/>
      <c r="BJ46"/>
      <c r="BK46"/>
    </row>
    <row r="47" spans="1:63" ht="12.75" customHeight="1" thickBot="1">
      <c r="A47" s="528" t="s">
        <v>396</v>
      </c>
      <c r="B47" s="528"/>
      <c r="C47" s="528"/>
      <c r="D47" s="528"/>
      <c r="E47" s="908"/>
      <c r="F47" s="909"/>
      <c r="G47" s="909"/>
      <c r="H47" s="909"/>
      <c r="I47" s="909"/>
      <c r="J47" s="909"/>
      <c r="K47" s="909"/>
      <c r="L47" s="909"/>
      <c r="M47" s="909"/>
      <c r="N47" s="909"/>
      <c r="O47" s="909"/>
      <c r="P47" s="909"/>
      <c r="Q47" s="909"/>
      <c r="R47" s="909"/>
      <c r="S47" s="909"/>
      <c r="T47" s="909"/>
      <c r="U47" s="909"/>
      <c r="V47" s="909"/>
      <c r="W47" s="909"/>
      <c r="X47" s="909"/>
      <c r="Y47" s="909"/>
      <c r="Z47" s="909"/>
      <c r="AA47" s="909"/>
      <c r="AB47" s="909"/>
      <c r="AC47" s="909"/>
      <c r="AD47" s="98"/>
      <c r="AQ47" s="32" t="s">
        <v>397</v>
      </c>
      <c r="AR47" s="29" t="e">
        <f>#REF!</f>
        <v>#REF!</v>
      </c>
      <c r="AY47"/>
      <c r="AZ47"/>
      <c r="BA47"/>
      <c r="BB47"/>
      <c r="BC47"/>
      <c r="BD47"/>
      <c r="BE47"/>
      <c r="BF47"/>
      <c r="BG47"/>
      <c r="BH47"/>
      <c r="BI47"/>
      <c r="BJ47"/>
      <c r="BK47"/>
    </row>
    <row r="48" spans="1:63" ht="12.75" customHeight="1" thickBot="1">
      <c r="A48" s="767"/>
      <c r="B48" s="1027"/>
      <c r="C48" s="1027"/>
      <c r="D48" s="1027"/>
      <c r="E48" s="1027"/>
      <c r="F48" s="1027"/>
      <c r="G48" s="1027"/>
      <c r="H48" s="1027"/>
      <c r="I48" s="1027"/>
      <c r="J48" s="1027"/>
      <c r="K48" s="1027"/>
      <c r="L48" s="1027"/>
      <c r="M48" s="1027"/>
      <c r="N48" s="1027"/>
      <c r="O48" s="1027"/>
      <c r="P48" s="1027"/>
      <c r="Q48" s="1027"/>
      <c r="R48" s="1027"/>
      <c r="S48" s="1027"/>
      <c r="T48" s="1027"/>
      <c r="U48" s="1027"/>
      <c r="V48" s="1027"/>
      <c r="W48" s="1027"/>
      <c r="X48" s="1027"/>
      <c r="Y48" s="1027"/>
      <c r="Z48" s="1027"/>
      <c r="AA48" s="1027"/>
      <c r="AB48" s="1027"/>
      <c r="AC48" s="1027"/>
      <c r="AD48" s="305"/>
      <c r="AQ48" s="32" t="s">
        <v>398</v>
      </c>
      <c r="AR48" s="114" t="e">
        <f>#REF!</f>
        <v>#REF!</v>
      </c>
      <c r="AY48"/>
      <c r="AZ48"/>
      <c r="BA48"/>
      <c r="BB48"/>
      <c r="BC48"/>
      <c r="BD48"/>
      <c r="BE48"/>
      <c r="BF48"/>
      <c r="BG48"/>
      <c r="BH48"/>
      <c r="BI48"/>
      <c r="BJ48"/>
      <c r="BK48"/>
    </row>
    <row r="49" spans="1:63" ht="12.75" customHeight="1" thickBot="1">
      <c r="A49" s="767"/>
      <c r="B49" s="1027"/>
      <c r="C49" s="1027"/>
      <c r="D49" s="1027"/>
      <c r="E49" s="1027"/>
      <c r="F49" s="1027"/>
      <c r="G49" s="1027"/>
      <c r="H49" s="1027"/>
      <c r="I49" s="1027"/>
      <c r="J49" s="1027"/>
      <c r="K49" s="1027"/>
      <c r="L49" s="1027"/>
      <c r="M49" s="1027"/>
      <c r="N49" s="1027"/>
      <c r="O49" s="1027"/>
      <c r="P49" s="1027"/>
      <c r="Q49" s="1027"/>
      <c r="R49" s="1027"/>
      <c r="S49" s="1027"/>
      <c r="T49" s="1027"/>
      <c r="U49" s="1027"/>
      <c r="V49" s="1027"/>
      <c r="W49" s="1027"/>
      <c r="X49" s="1027"/>
      <c r="Y49" s="1027"/>
      <c r="Z49" s="1027"/>
      <c r="AA49" s="1027"/>
      <c r="AB49" s="1027"/>
      <c r="AC49" s="1027"/>
      <c r="AD49" s="305"/>
      <c r="AQ49" s="32" t="s">
        <v>399</v>
      </c>
      <c r="AR49" s="23" t="e">
        <f>#REF!</f>
        <v>#REF!</v>
      </c>
      <c r="AY49"/>
      <c r="AZ49"/>
      <c r="BA49"/>
      <c r="BB49"/>
      <c r="BC49"/>
      <c r="BD49"/>
      <c r="BE49"/>
      <c r="BF49"/>
      <c r="BG49"/>
      <c r="BH49"/>
      <c r="BI49"/>
      <c r="BJ49"/>
      <c r="BK49"/>
    </row>
    <row r="50" spans="1:63" ht="12.75" customHeight="1" thickBot="1">
      <c r="A50" s="767"/>
      <c r="B50" s="1027"/>
      <c r="C50" s="1027"/>
      <c r="D50" s="1027"/>
      <c r="E50" s="1027"/>
      <c r="F50" s="1027"/>
      <c r="G50" s="1027"/>
      <c r="H50" s="1027"/>
      <c r="I50" s="1027"/>
      <c r="J50" s="1027"/>
      <c r="K50" s="1027"/>
      <c r="L50" s="1027"/>
      <c r="M50" s="1027"/>
      <c r="N50" s="1027"/>
      <c r="O50" s="1027"/>
      <c r="P50" s="1027"/>
      <c r="Q50" s="1027"/>
      <c r="R50" s="1027"/>
      <c r="S50" s="1027"/>
      <c r="T50" s="1027"/>
      <c r="U50" s="1027"/>
      <c r="V50" s="1027"/>
      <c r="W50" s="1027"/>
      <c r="X50" s="1027"/>
      <c r="Y50" s="1027"/>
      <c r="Z50" s="1028"/>
      <c r="AA50" s="1028"/>
      <c r="AB50" s="1028"/>
      <c r="AC50" s="1028"/>
      <c r="AD50" s="305"/>
      <c r="AQ50" s="32" t="s">
        <v>400</v>
      </c>
      <c r="AR50" s="29" t="e">
        <f>#REF!</f>
        <v>#REF!</v>
      </c>
      <c r="AY50"/>
      <c r="AZ50"/>
      <c r="BA50"/>
      <c r="BB50"/>
      <c r="BC50"/>
      <c r="BD50"/>
      <c r="BE50"/>
      <c r="BF50"/>
      <c r="BG50"/>
      <c r="BH50"/>
      <c r="BI50"/>
      <c r="BJ50"/>
      <c r="BK50"/>
    </row>
    <row r="51" spans="1:63" ht="12.75" customHeight="1" thickBot="1">
      <c r="A51" s="768"/>
      <c r="B51" s="768"/>
      <c r="C51" s="768"/>
      <c r="D51" s="768"/>
      <c r="E51" s="768"/>
      <c r="F51" s="768"/>
      <c r="G51" s="768"/>
      <c r="H51" s="768"/>
      <c r="I51" s="768"/>
      <c r="J51" s="768"/>
      <c r="K51" s="768"/>
      <c r="L51" s="768"/>
      <c r="M51" s="768"/>
      <c r="N51" s="768"/>
      <c r="O51" s="768"/>
      <c r="P51" s="768"/>
      <c r="Q51" s="768"/>
      <c r="R51" s="768"/>
      <c r="S51" s="768"/>
      <c r="T51" s="768"/>
      <c r="U51" s="768"/>
      <c r="V51" s="768"/>
      <c r="W51" s="768"/>
      <c r="X51" s="768"/>
      <c r="Y51" s="768"/>
      <c r="Z51" s="741" t="s">
        <v>401</v>
      </c>
      <c r="AA51" s="742"/>
      <c r="AB51" s="742"/>
      <c r="AC51" s="742"/>
      <c r="AD51" s="743"/>
      <c r="AQ51" s="32" t="s">
        <v>402</v>
      </c>
      <c r="AR51" s="23" t="e">
        <f>#REF!</f>
        <v>#REF!</v>
      </c>
      <c r="AY51"/>
      <c r="AZ51"/>
      <c r="BA51"/>
      <c r="BB51"/>
      <c r="BC51"/>
      <c r="BD51"/>
      <c r="BE51"/>
      <c r="BF51"/>
      <c r="BG51"/>
      <c r="BH51"/>
      <c r="BI51"/>
      <c r="BJ51"/>
      <c r="BK51"/>
    </row>
    <row r="52" spans="1:63" s="106" customFormat="1" ht="12.75" customHeight="1" thickBot="1">
      <c r="AQ52" s="123" t="s">
        <v>403</v>
      </c>
      <c r="AR52" s="124" t="e">
        <f>#REF!</f>
        <v>#REF!</v>
      </c>
    </row>
    <row r="53" spans="1:63" s="106" customFormat="1" ht="18.75" customHeight="1" thickBot="1">
      <c r="AQ53" s="125" t="s">
        <v>404</v>
      </c>
      <c r="AR53" s="126" t="e">
        <f>#REF!</f>
        <v>#REF!</v>
      </c>
    </row>
    <row r="54" spans="1:63" s="106" customFormat="1" ht="263.45" thickBot="1">
      <c r="AQ54" s="125" t="s">
        <v>405</v>
      </c>
      <c r="AR54" s="127" t="e">
        <f>#REF!</f>
        <v>#REF!</v>
      </c>
    </row>
    <row r="55" spans="1:63" s="106" customFormat="1" ht="252" thickBot="1">
      <c r="AQ55" s="125" t="s">
        <v>406</v>
      </c>
      <c r="AR55" s="124" t="e">
        <f>#REF!</f>
        <v>#REF!</v>
      </c>
    </row>
    <row r="56" spans="1:63" s="106" customFormat="1" ht="172.15" thickBot="1">
      <c r="AQ56" s="125" t="s">
        <v>407</v>
      </c>
      <c r="AR56" s="127" t="e">
        <f>#REF!</f>
        <v>#REF!</v>
      </c>
    </row>
    <row r="57" spans="1:63" s="106" customFormat="1" ht="252" thickBot="1">
      <c r="AQ57" s="123" t="s">
        <v>408</v>
      </c>
      <c r="AR57" s="128" t="e">
        <f>#REF!</f>
        <v>#REF!</v>
      </c>
    </row>
    <row r="58" spans="1:63" s="106" customFormat="1" ht="149.44999999999999" thickBot="1">
      <c r="AQ58" s="125" t="s">
        <v>409</v>
      </c>
      <c r="AR58" s="126" t="e">
        <f>#REF!</f>
        <v>#REF!</v>
      </c>
    </row>
    <row r="59" spans="1:63" s="106" customFormat="1" ht="263.45" thickBot="1">
      <c r="AQ59" s="125" t="s">
        <v>410</v>
      </c>
      <c r="AR59" s="124" t="e">
        <f>#REF!</f>
        <v>#REF!</v>
      </c>
    </row>
    <row r="60" spans="1:63" s="106" customFormat="1" ht="252" thickBot="1">
      <c r="AQ60" s="125" t="s">
        <v>411</v>
      </c>
      <c r="AR60" s="129" t="e">
        <f>#REF!</f>
        <v>#REF!</v>
      </c>
      <c r="AS60" s="130"/>
    </row>
    <row r="61" spans="1:63" s="106" customFormat="1" ht="172.15" thickBot="1">
      <c r="AQ61" s="125" t="s">
        <v>412</v>
      </c>
      <c r="AR61" s="127" t="e">
        <f>#REF!</f>
        <v>#REF!</v>
      </c>
      <c r="AS61" s="130"/>
    </row>
    <row r="62" spans="1:63" s="106" customFormat="1" ht="252" thickBot="1">
      <c r="AQ62" s="123" t="s">
        <v>413</v>
      </c>
      <c r="AR62" s="129" t="e">
        <f>#REF!</f>
        <v>#REF!</v>
      </c>
      <c r="AS62" s="131"/>
    </row>
    <row r="63" spans="1:63" s="106" customFormat="1" ht="13.9" thickBot="1">
      <c r="AQ63" s="132" t="s">
        <v>414</v>
      </c>
      <c r="AR63" s="133">
        <f>E26</f>
        <v>0</v>
      </c>
      <c r="AS63" s="131"/>
    </row>
    <row r="64" spans="1:63" s="106" customFormat="1" ht="13.9" thickBot="1">
      <c r="AQ64" s="132" t="s">
        <v>415</v>
      </c>
      <c r="AR64" s="134">
        <f>H26</f>
        <v>3.15</v>
      </c>
      <c r="AS64" s="130"/>
    </row>
    <row r="65" spans="43:45" s="106" customFormat="1" ht="14.45" thickBot="1">
      <c r="AQ65" s="135" t="s">
        <v>416</v>
      </c>
      <c r="AR65" s="134">
        <f>N26</f>
        <v>0</v>
      </c>
      <c r="AS65" s="130"/>
    </row>
    <row r="66" spans="43:45" s="106" customFormat="1" ht="15.75" customHeight="1" thickBot="1">
      <c r="AQ66" s="135" t="s">
        <v>417</v>
      </c>
      <c r="AR66" s="133">
        <f>E27</f>
        <v>0</v>
      </c>
      <c r="AS66" s="130"/>
    </row>
    <row r="67" spans="43:45" s="106" customFormat="1" ht="20.25" customHeight="1" thickBot="1">
      <c r="AQ67" s="135" t="s">
        <v>418</v>
      </c>
      <c r="AR67" s="134">
        <f>H27</f>
        <v>0</v>
      </c>
    </row>
    <row r="68" spans="43:45" s="106" customFormat="1" ht="12.75" customHeight="1" thickBot="1">
      <c r="AQ68" s="135" t="s">
        <v>419</v>
      </c>
      <c r="AR68" s="136">
        <f>N27</f>
        <v>0</v>
      </c>
    </row>
    <row r="69" spans="43:45" s="106" customFormat="1" ht="16.5" customHeight="1" thickBot="1">
      <c r="AQ69" s="135" t="s">
        <v>420</v>
      </c>
      <c r="AR69" s="134">
        <f>E28</f>
        <v>0</v>
      </c>
    </row>
    <row r="70" spans="43:45" s="106" customFormat="1" ht="26.25" customHeight="1" thickBot="1">
      <c r="AQ70" s="135" t="s">
        <v>421</v>
      </c>
      <c r="AR70" s="136">
        <f>H28</f>
        <v>0</v>
      </c>
    </row>
    <row r="71" spans="43:45" s="106" customFormat="1" ht="18" customHeight="1" thickBot="1">
      <c r="AQ71" s="135" t="s">
        <v>422</v>
      </c>
      <c r="AR71" s="134">
        <f>N28</f>
        <v>0</v>
      </c>
    </row>
    <row r="72" spans="43:45" s="106" customFormat="1" ht="15.75" customHeight="1" thickBot="1">
      <c r="AQ72" s="135" t="s">
        <v>423</v>
      </c>
      <c r="AR72" s="137">
        <f>E29</f>
        <v>0</v>
      </c>
    </row>
    <row r="73" spans="43:45" s="106" customFormat="1" ht="25.5" customHeight="1" thickBot="1">
      <c r="AQ73" s="135" t="s">
        <v>424</v>
      </c>
      <c r="AR73" s="134">
        <f>H29</f>
        <v>0</v>
      </c>
    </row>
    <row r="74" spans="43:45" s="106" customFormat="1" ht="30.75" customHeight="1" thickBot="1">
      <c r="AQ74" s="135" t="s">
        <v>425</v>
      </c>
      <c r="AR74" s="134">
        <f>N29</f>
        <v>0</v>
      </c>
    </row>
    <row r="75" spans="43:45" s="106" customFormat="1" ht="31.5" customHeight="1" thickBot="1">
      <c r="AQ75" s="135" t="s">
        <v>426</v>
      </c>
      <c r="AR75" s="134">
        <f>E30</f>
        <v>0</v>
      </c>
    </row>
    <row r="76" spans="43:45" s="106" customFormat="1" ht="26.25" customHeight="1" thickBot="1">
      <c r="AQ76" s="135" t="s">
        <v>427</v>
      </c>
      <c r="AR76" s="134">
        <f>H30</f>
        <v>1.01</v>
      </c>
    </row>
    <row r="77" spans="43:45" s="106" customFormat="1" ht="30.75" customHeight="1" thickBot="1">
      <c r="AQ77" s="135" t="s">
        <v>428</v>
      </c>
      <c r="AR77" s="138">
        <f>N30</f>
        <v>0</v>
      </c>
    </row>
    <row r="78" spans="43:45" s="106" customFormat="1" ht="32.25" customHeight="1" thickBot="1">
      <c r="AQ78" s="135" t="s">
        <v>429</v>
      </c>
      <c r="AR78" s="133">
        <f>E31</f>
        <v>0</v>
      </c>
    </row>
    <row r="79" spans="43:45" s="106" customFormat="1" ht="36" customHeight="1" thickBot="1">
      <c r="AQ79" s="139" t="s">
        <v>430</v>
      </c>
      <c r="AR79" s="138">
        <f>H31</f>
        <v>0</v>
      </c>
    </row>
    <row r="80" spans="43:45" s="106" customFormat="1" ht="274.89999999999998" thickBot="1">
      <c r="AQ80" s="125" t="s">
        <v>431</v>
      </c>
      <c r="AR80" s="134">
        <f>K31</f>
        <v>1.37</v>
      </c>
    </row>
    <row r="81" spans="43:45" s="106" customFormat="1" ht="24.75" customHeight="1" thickBot="1">
      <c r="AQ81" s="140" t="s">
        <v>432</v>
      </c>
      <c r="AR81" s="134">
        <f>N31</f>
        <v>0</v>
      </c>
    </row>
    <row r="82" spans="43:45" s="106" customFormat="1" ht="15" customHeight="1" thickBot="1">
      <c r="AQ82" s="140" t="s">
        <v>433</v>
      </c>
      <c r="AR82" s="133">
        <f>E32</f>
        <v>0</v>
      </c>
    </row>
    <row r="83" spans="43:45" s="106" customFormat="1" ht="27" customHeight="1" thickBot="1">
      <c r="AQ83" s="125" t="s">
        <v>434</v>
      </c>
      <c r="AR83" s="138">
        <f>H32</f>
        <v>0</v>
      </c>
    </row>
    <row r="84" spans="43:45" s="106" customFormat="1" ht="33" customHeight="1" thickBot="1">
      <c r="AQ84" s="140" t="s">
        <v>435</v>
      </c>
      <c r="AR84" s="134">
        <f>K32</f>
        <v>0</v>
      </c>
    </row>
    <row r="85" spans="43:45" s="106" customFormat="1" ht="33.75" customHeight="1" thickBot="1">
      <c r="AQ85" s="140" t="s">
        <v>436</v>
      </c>
      <c r="AR85" s="134">
        <f>N32</f>
        <v>0</v>
      </c>
      <c r="AS85" s="141"/>
    </row>
    <row r="86" spans="43:45" s="106" customFormat="1" ht="291" thickBot="1">
      <c r="AQ86" s="140" t="s">
        <v>437</v>
      </c>
      <c r="AR86" s="133">
        <f>E33</f>
        <v>0</v>
      </c>
    </row>
    <row r="87" spans="43:45" s="106" customFormat="1" ht="297.60000000000002" thickBot="1">
      <c r="AQ87" s="125" t="s">
        <v>434</v>
      </c>
      <c r="AR87" s="138">
        <f>H33</f>
        <v>0</v>
      </c>
    </row>
    <row r="88" spans="43:45" s="106" customFormat="1" ht="297.60000000000002" thickBot="1">
      <c r="AQ88" s="125" t="s">
        <v>435</v>
      </c>
      <c r="AR88" s="134">
        <f>K33</f>
        <v>0</v>
      </c>
    </row>
    <row r="89" spans="43:45" s="106" customFormat="1" ht="298.14999999999998" thickBot="1">
      <c r="AQ89" s="125" t="s">
        <v>438</v>
      </c>
      <c r="AR89" s="134">
        <f>N33</f>
        <v>0</v>
      </c>
    </row>
    <row r="90" spans="43:45" s="106" customFormat="1" ht="286.14999999999998" thickBot="1">
      <c r="AQ90" s="125" t="s">
        <v>439</v>
      </c>
      <c r="AR90" s="142">
        <f>E34</f>
        <v>0</v>
      </c>
    </row>
    <row r="91" spans="43:45" s="106" customFormat="1" ht="309" thickBot="1">
      <c r="AQ91" s="125" t="s">
        <v>440</v>
      </c>
      <c r="AR91" s="138">
        <f>N34</f>
        <v>0</v>
      </c>
    </row>
    <row r="92" spans="43:45" s="106" customFormat="1" ht="132.6" thickBot="1">
      <c r="AQ92" s="140" t="s">
        <v>441</v>
      </c>
      <c r="AR92" s="142">
        <f>E36</f>
        <v>0</v>
      </c>
    </row>
    <row r="93" spans="43:45" s="106" customFormat="1" ht="172.15" thickBot="1">
      <c r="AQ93" s="140" t="s">
        <v>442</v>
      </c>
      <c r="AR93" s="134">
        <f>N36</f>
        <v>0</v>
      </c>
    </row>
    <row r="94" spans="43:45" s="106" customFormat="1" ht="132.6" thickBot="1">
      <c r="AQ94" s="140" t="s">
        <v>443</v>
      </c>
      <c r="AR94" s="134">
        <f>N37</f>
        <v>1.35</v>
      </c>
    </row>
    <row r="95" spans="43:45" s="106" customFormat="1" ht="13.9" thickBot="1">
      <c r="AQ95" s="140" t="str">
        <f>A38</f>
        <v>∑</v>
      </c>
      <c r="AR95" s="133">
        <f>E38</f>
        <v>0</v>
      </c>
    </row>
    <row r="96" spans="43:45" s="106" customFormat="1" ht="210.6" thickBot="1">
      <c r="AQ96" s="140" t="s">
        <v>444</v>
      </c>
      <c r="AR96" s="134">
        <f>N38</f>
        <v>1.35</v>
      </c>
    </row>
    <row r="97" spans="43:44" s="106" customFormat="1" ht="13.9" thickBot="1">
      <c r="AQ97" s="132" t="s">
        <v>445</v>
      </c>
      <c r="AR97" s="142">
        <f>AA24</f>
        <v>0</v>
      </c>
    </row>
    <row r="98" spans="43:44" s="106" customFormat="1" ht="13.9" thickBot="1">
      <c r="AQ98" s="132" t="s">
        <v>446</v>
      </c>
      <c r="AR98" s="142">
        <f>AA25</f>
        <v>0</v>
      </c>
    </row>
    <row r="99" spans="43:44" s="106" customFormat="1" ht="13.9" thickBot="1">
      <c r="AQ99" s="132" t="s">
        <v>447</v>
      </c>
      <c r="AR99" s="133">
        <f>AA26</f>
        <v>0</v>
      </c>
    </row>
    <row r="100" spans="43:44" s="106" customFormat="1" ht="13.9" thickBot="1">
      <c r="AQ100" s="132" t="s">
        <v>448</v>
      </c>
      <c r="AR100" s="134" t="str">
        <f>AA27&amp;AC27</f>
        <v/>
      </c>
    </row>
    <row r="101" spans="43:44" s="106" customFormat="1" ht="13.9" thickBot="1">
      <c r="AQ101" s="132" t="s">
        <v>449</v>
      </c>
      <c r="AR101" s="134" t="str">
        <f>AA28&amp;AC28</f>
        <v/>
      </c>
    </row>
    <row r="102" spans="43:44" s="106" customFormat="1" ht="13.9" thickBot="1">
      <c r="AQ102" s="132" t="s">
        <v>450</v>
      </c>
      <c r="AR102" s="134">
        <f>AA29</f>
        <v>0</v>
      </c>
    </row>
    <row r="103" spans="43:44" s="106" customFormat="1" ht="13.9" thickBot="1">
      <c r="AQ103" s="132" t="s">
        <v>451</v>
      </c>
      <c r="AR103" s="133">
        <f>AA30</f>
        <v>0</v>
      </c>
    </row>
    <row r="104" spans="43:44" s="106" customFormat="1" ht="13.9" thickBot="1">
      <c r="AQ104" s="132" t="s">
        <v>452</v>
      </c>
      <c r="AR104" s="133">
        <f>AA31</f>
        <v>0</v>
      </c>
    </row>
    <row r="105" spans="43:44" s="106" customFormat="1" ht="13.9" thickBot="1">
      <c r="AQ105" s="132" t="s">
        <v>453</v>
      </c>
      <c r="AR105" s="142">
        <f>AA32</f>
        <v>0</v>
      </c>
    </row>
    <row r="106" spans="43:44" s="106" customFormat="1" ht="13.9" thickBot="1">
      <c r="AQ106" s="132" t="s">
        <v>368</v>
      </c>
      <c r="AR106" s="138" t="e">
        <f>AA33</f>
        <v>#DIV/0!</v>
      </c>
    </row>
    <row r="107" spans="43:44" s="106" customFormat="1" ht="13.9" thickBot="1">
      <c r="AQ107" s="132" t="s">
        <v>371</v>
      </c>
      <c r="AR107" s="142" t="e">
        <f t="shared" ref="AR107:AR111" si="0">AA34</f>
        <v>#DIV/0!</v>
      </c>
    </row>
    <row r="108" spans="43:44" s="106" customFormat="1" ht="13.9" thickBot="1">
      <c r="AQ108" s="132" t="s">
        <v>373</v>
      </c>
      <c r="AR108" s="133" t="str">
        <f t="shared" si="0"/>
        <v/>
      </c>
    </row>
    <row r="109" spans="43:44" ht="13.9" thickBot="1">
      <c r="AQ109" s="298" t="s">
        <v>454</v>
      </c>
      <c r="AR109" s="30">
        <f t="shared" si="0"/>
        <v>0</v>
      </c>
    </row>
    <row r="110" spans="43:44" ht="13.9" thickBot="1">
      <c r="AQ110" s="298" t="str">
        <f>IF(OR(AS67=501,AS67="730*"),"*** % Passing 1 inch sieve","% Passing 1 inch sieve")</f>
        <v>% Passing 1 inch sieve</v>
      </c>
      <c r="AR110" s="30">
        <f t="shared" si="0"/>
        <v>0</v>
      </c>
    </row>
    <row r="111" spans="43:44" ht="13.9" thickBot="1">
      <c r="AQ111" s="298" t="str">
        <f>IF(OR(AS67=501,AS67="730*"), "** % Passing No. 200 sieve","% Passing No. 200 sieve")</f>
        <v>% Passing No. 200 sieve</v>
      </c>
      <c r="AR111" s="31">
        <f t="shared" si="0"/>
        <v>0</v>
      </c>
    </row>
  </sheetData>
  <sheetProtection algorithmName="SHA-512" hashValue="bWuEwlPZnndtPiqdEqmwnJXyGw2/++hS4mD3F+7COFK2ihzpKZS2STKlYj3ycHBeYDTayjhg1TziwRFoKAU8vQ==" saltValue="LYnhl6icQeadhQt7/ghMXw==" spinCount="100000" sheet="1" formatCells="0" selectLockedCells="1"/>
  <dataConsolidate/>
  <mergeCells count="207">
    <mergeCell ref="S25:AC25"/>
    <mergeCell ref="S26:AC26"/>
    <mergeCell ref="S30:AC30"/>
    <mergeCell ref="S31:AC31"/>
    <mergeCell ref="H36:J36"/>
    <mergeCell ref="H37:J37"/>
    <mergeCell ref="S39:Z39"/>
    <mergeCell ref="AA39:AC39"/>
    <mergeCell ref="AA37:AC37"/>
    <mergeCell ref="K37:M37"/>
    <mergeCell ref="S33:Z33"/>
    <mergeCell ref="AA34:AC34"/>
    <mergeCell ref="S34:Z34"/>
    <mergeCell ref="AA35:AC35"/>
    <mergeCell ref="K33:M33"/>
    <mergeCell ref="N33:P33"/>
    <mergeCell ref="N37:P37"/>
    <mergeCell ref="S32:AC32"/>
    <mergeCell ref="S36:Z36"/>
    <mergeCell ref="K32:M32"/>
    <mergeCell ref="A36:D36"/>
    <mergeCell ref="K24:M24"/>
    <mergeCell ref="K25:M25"/>
    <mergeCell ref="K31:M31"/>
    <mergeCell ref="H32:J32"/>
    <mergeCell ref="E28:G28"/>
    <mergeCell ref="H25:J25"/>
    <mergeCell ref="H24:J24"/>
    <mergeCell ref="A24:D25"/>
    <mergeCell ref="H28:J28"/>
    <mergeCell ref="H31:J31"/>
    <mergeCell ref="A29:D29"/>
    <mergeCell ref="A34:D35"/>
    <mergeCell ref="A26:D26"/>
    <mergeCell ref="E27:G27"/>
    <mergeCell ref="K26:M26"/>
    <mergeCell ref="K27:M27"/>
    <mergeCell ref="E33:G33"/>
    <mergeCell ref="E29:G29"/>
    <mergeCell ref="E31:G31"/>
    <mergeCell ref="H26:J26"/>
    <mergeCell ref="E34:G35"/>
    <mergeCell ref="H34:J35"/>
    <mergeCell ref="E32:G32"/>
    <mergeCell ref="E36:G36"/>
    <mergeCell ref="AA29:AC29"/>
    <mergeCell ref="AA28:AB28"/>
    <mergeCell ref="A39:G39"/>
    <mergeCell ref="J39:M39"/>
    <mergeCell ref="H39:I39"/>
    <mergeCell ref="Z42:AC42"/>
    <mergeCell ref="A44:F44"/>
    <mergeCell ref="A47:D47"/>
    <mergeCell ref="P43:Y43"/>
    <mergeCell ref="Z43:AC43"/>
    <mergeCell ref="N39:P39"/>
    <mergeCell ref="A45:AC45"/>
    <mergeCell ref="A46:AC46"/>
    <mergeCell ref="E47:AC47"/>
    <mergeCell ref="A40:L40"/>
    <mergeCell ref="X41:Y41"/>
    <mergeCell ref="M40:AC40"/>
    <mergeCell ref="G44:AC44"/>
    <mergeCell ref="M41:W41"/>
    <mergeCell ref="Z41:AC41"/>
    <mergeCell ref="E42:L42"/>
    <mergeCell ref="M42:W42"/>
    <mergeCell ref="X42:Y42"/>
    <mergeCell ref="A30:D30"/>
    <mergeCell ref="A38:D38"/>
    <mergeCell ref="E38:G38"/>
    <mergeCell ref="A37:B37"/>
    <mergeCell ref="C37:D37"/>
    <mergeCell ref="K28:M28"/>
    <mergeCell ref="N28:P28"/>
    <mergeCell ref="H29:J29"/>
    <mergeCell ref="K34:M35"/>
    <mergeCell ref="E30:G30"/>
    <mergeCell ref="H30:J30"/>
    <mergeCell ref="K30:M30"/>
    <mergeCell ref="N34:P35"/>
    <mergeCell ref="K36:M36"/>
    <mergeCell ref="N36:P36"/>
    <mergeCell ref="N32:P32"/>
    <mergeCell ref="A31:D31"/>
    <mergeCell ref="A32:D32"/>
    <mergeCell ref="A33:D33"/>
    <mergeCell ref="K38:M38"/>
    <mergeCell ref="H38:J38"/>
    <mergeCell ref="N38:P38"/>
    <mergeCell ref="E37:G37"/>
    <mergeCell ref="K29:M29"/>
    <mergeCell ref="O7:U7"/>
    <mergeCell ref="S13:V13"/>
    <mergeCell ref="AA12:AC12"/>
    <mergeCell ref="A13:J13"/>
    <mergeCell ref="A22:I22"/>
    <mergeCell ref="J22:K22"/>
    <mergeCell ref="Q22:R22"/>
    <mergeCell ref="S22:U22"/>
    <mergeCell ref="Z22:AA22"/>
    <mergeCell ref="AB22:AC22"/>
    <mergeCell ref="AA16:AC16"/>
    <mergeCell ref="AA18:AC18"/>
    <mergeCell ref="AA17:AC17"/>
    <mergeCell ref="U16:Y16"/>
    <mergeCell ref="A20:C20"/>
    <mergeCell ref="D20:L20"/>
    <mergeCell ref="X21:AC21"/>
    <mergeCell ref="A8:AC8"/>
    <mergeCell ref="S11:U11"/>
    <mergeCell ref="S10:U10"/>
    <mergeCell ref="M20:T20"/>
    <mergeCell ref="U20:W20"/>
    <mergeCell ref="X20:AC20"/>
    <mergeCell ref="A21:C21"/>
    <mergeCell ref="E25:G25"/>
    <mergeCell ref="AA15:AC15"/>
    <mergeCell ref="A28:D28"/>
    <mergeCell ref="E26:G26"/>
    <mergeCell ref="A27:D27"/>
    <mergeCell ref="A2:F2"/>
    <mergeCell ref="Y11:Z11"/>
    <mergeCell ref="Y12:Z12"/>
    <mergeCell ref="V11:X11"/>
    <mergeCell ref="P2:U2"/>
    <mergeCell ref="V2:AC2"/>
    <mergeCell ref="V3:AC3"/>
    <mergeCell ref="V4:AC4"/>
    <mergeCell ref="G2:O2"/>
    <mergeCell ref="G3:O3"/>
    <mergeCell ref="Y9:Z9"/>
    <mergeCell ref="A3:F3"/>
    <mergeCell ref="P3:U3"/>
    <mergeCell ref="D9:R9"/>
    <mergeCell ref="D10:R10"/>
    <mergeCell ref="D11:R11"/>
    <mergeCell ref="D12:R12"/>
    <mergeCell ref="A9:C9"/>
    <mergeCell ref="V7:AC7"/>
    <mergeCell ref="A1:AD1"/>
    <mergeCell ref="A14:Y14"/>
    <mergeCell ref="AA9:AC9"/>
    <mergeCell ref="AA10:AC10"/>
    <mergeCell ref="AA11:AC11"/>
    <mergeCell ref="S12:U12"/>
    <mergeCell ref="G4:O4"/>
    <mergeCell ref="G5:O5"/>
    <mergeCell ref="A5:F5"/>
    <mergeCell ref="P4:U4"/>
    <mergeCell ref="A4:F4"/>
    <mergeCell ref="P5:U5"/>
    <mergeCell ref="V5:AC5"/>
    <mergeCell ref="V10:X10"/>
    <mergeCell ref="M13:R13"/>
    <mergeCell ref="AB13:AC13"/>
    <mergeCell ref="AA14:AC14"/>
    <mergeCell ref="A10:C10"/>
    <mergeCell ref="K13:L13"/>
    <mergeCell ref="A7:F7"/>
    <mergeCell ref="V9:X9"/>
    <mergeCell ref="S9:U9"/>
    <mergeCell ref="G7:N7"/>
    <mergeCell ref="Y10:Z10"/>
    <mergeCell ref="N24:P24"/>
    <mergeCell ref="A11:C11"/>
    <mergeCell ref="E24:G24"/>
    <mergeCell ref="A23:P23"/>
    <mergeCell ref="S23:AC23"/>
    <mergeCell ref="D21:L21"/>
    <mergeCell ref="M21:T21"/>
    <mergeCell ref="A15:C15"/>
    <mergeCell ref="V12:X12"/>
    <mergeCell ref="X13:AA13"/>
    <mergeCell ref="A12:C12"/>
    <mergeCell ref="V22:Y22"/>
    <mergeCell ref="D15:T15"/>
    <mergeCell ref="L22:P22"/>
    <mergeCell ref="A16:C16"/>
    <mergeCell ref="D16:T16"/>
    <mergeCell ref="A19:W19"/>
    <mergeCell ref="S24:AC24"/>
    <mergeCell ref="U15:Y15"/>
    <mergeCell ref="Z51:AD51"/>
    <mergeCell ref="AA33:AC33"/>
    <mergeCell ref="S38:Z38"/>
    <mergeCell ref="AA38:AC38"/>
    <mergeCell ref="AA36:AC36"/>
    <mergeCell ref="U21:W21"/>
    <mergeCell ref="S28:Z28"/>
    <mergeCell ref="S27:Z27"/>
    <mergeCell ref="N25:P25"/>
    <mergeCell ref="N31:P31"/>
    <mergeCell ref="AA27:AB27"/>
    <mergeCell ref="N27:P27"/>
    <mergeCell ref="S35:Z35"/>
    <mergeCell ref="N29:P29"/>
    <mergeCell ref="N30:P30"/>
    <mergeCell ref="S29:Z29"/>
    <mergeCell ref="S37:Z37"/>
    <mergeCell ref="N26:P26"/>
    <mergeCell ref="A48:AC48"/>
    <mergeCell ref="A49:AC49"/>
    <mergeCell ref="A50:AC50"/>
    <mergeCell ref="A51:Y51"/>
    <mergeCell ref="H27:J27"/>
    <mergeCell ref="H33:J33"/>
  </mergeCells>
  <phoneticPr fontId="3" type="noConversion"/>
  <conditionalFormatting sqref="A16:A18 AD21:AF21 AH21:AM21">
    <cfRule type="containsErrors" dxfId="16" priority="70" stopIfTrue="1">
      <formula>ISERROR(A16)</formula>
    </cfRule>
  </conditionalFormatting>
  <conditionalFormatting sqref="A10:D12">
    <cfRule type="containsErrors" dxfId="15" priority="33">
      <formula>ISERROR(A10)</formula>
    </cfRule>
  </conditionalFormatting>
  <conditionalFormatting sqref="A21:L21 U21:AC21">
    <cfRule type="containsErrors" dxfId="14" priority="31">
      <formula>ISERROR(A21)</formula>
    </cfRule>
  </conditionalFormatting>
  <conditionalFormatting sqref="E37:G37">
    <cfRule type="cellIs" dxfId="13" priority="89" stopIfTrue="1" operator="between">
      <formula>0.45</formula>
      <formula>0.439</formula>
    </cfRule>
  </conditionalFormatting>
  <conditionalFormatting sqref="G7:N7">
    <cfRule type="containsText" dxfId="12" priority="17" operator="containsText" text="Mix ID Required">
      <formula>NOT(ISERROR(SEARCH("Mix ID Required",G7)))</formula>
    </cfRule>
  </conditionalFormatting>
  <conditionalFormatting sqref="J22:K22">
    <cfRule type="expression" dxfId="11" priority="21">
      <formula>$A$22="concentration of CaCl₂ is"</formula>
    </cfRule>
  </conditionalFormatting>
  <conditionalFormatting sqref="N26:P37">
    <cfRule type="cellIs" dxfId="10" priority="19" operator="equal">
      <formula>0</formula>
    </cfRule>
  </conditionalFormatting>
  <conditionalFormatting sqref="N38:P38">
    <cfRule type="cellIs" dxfId="9" priority="71" stopIfTrue="1" operator="lessThan">
      <formula>27</formula>
    </cfRule>
    <cfRule type="cellIs" dxfId="8" priority="73" stopIfTrue="1" operator="greaterThan">
      <formula>27</formula>
    </cfRule>
  </conditionalFormatting>
  <conditionalFormatting sqref="N39:P39">
    <cfRule type="containsText" dxfId="7" priority="74" stopIfTrue="1" operator="containsText" text="ERROR!">
      <formula>NOT(ISERROR(SEARCH("ERROR!",N39)))</formula>
    </cfRule>
    <cfRule type="containsText" dxfId="6" priority="75" stopIfTrue="1" operator="containsText" text="Correct">
      <formula>NOT(ISERROR(SEARCH("Correct",N39)))</formula>
    </cfRule>
  </conditionalFormatting>
  <conditionalFormatting sqref="Q22:R22">
    <cfRule type="expression" dxfId="5" priority="20">
      <formula>$A$22="concentration of CaCl₂ is"</formula>
    </cfRule>
  </conditionalFormatting>
  <conditionalFormatting sqref="V7:AC7">
    <cfRule type="containsText" dxfId="4" priority="72" stopIfTrue="1" operator="containsText" text="502 High Early Strength Modified">
      <formula>NOT(ISERROR(SEARCH("502 High Early Strength Modified",V7)))</formula>
    </cfRule>
  </conditionalFormatting>
  <conditionalFormatting sqref="AA33:AC33">
    <cfRule type="cellIs" dxfId="3" priority="80" stopIfTrue="1" operator="greaterThan">
      <formula>0.4</formula>
    </cfRule>
  </conditionalFormatting>
  <conditionalFormatting sqref="AA33:AC39 AA27:AC29">
    <cfRule type="cellIs" dxfId="2" priority="18" stopIfTrue="1" operator="equal">
      <formula>0</formula>
    </cfRule>
  </conditionalFormatting>
  <conditionalFormatting sqref="AA35:AC35">
    <cfRule type="cellIs" dxfId="1" priority="1" stopIfTrue="1" operator="greaterThanOrEqual">
      <formula>66</formula>
    </cfRule>
    <cfRule type="cellIs" dxfId="0" priority="2" stopIfTrue="1" operator="lessThanOrEqual">
      <formula>54.9</formula>
    </cfRule>
  </conditionalFormatting>
  <dataValidations count="18">
    <dataValidation type="list" allowBlank="1" showInputMessage="1" showErrorMessage="1" sqref="AA16:AC16" xr:uid="{00000000-0002-0000-0700-000000000000}">
      <formula1>"pub. utility, well, pond"</formula1>
    </dataValidation>
    <dataValidation type="list" allowBlank="1" showInputMessage="1" showErrorMessage="1" sqref="AA18:AC18" xr:uid="{00000000-0002-0000-0700-000001000000}">
      <formula1>"potable, non-potable"</formula1>
    </dataValidation>
    <dataValidation allowBlank="1" sqref="N39:P39" xr:uid="{00000000-0002-0000-0700-000002000000}"/>
    <dataValidation type="list" allowBlank="1" showInputMessage="1" showErrorMessage="1" sqref="V4:AB4" xr:uid="{00000000-0002-0000-0700-000003000000}">
      <formula1>"Crawfordsville, Fort Wayne, Greenfield, LaPorte, Seymour, Vincennes"</formula1>
    </dataValidation>
    <dataValidation type="list" allowBlank="1" showInputMessage="1" showErrorMessage="1" sqref="V5:AC5" xr:uid="{00000000-0002-0000-0700-000004000000}">
      <formula1>"CMDS,CMDP,CMDS(2),CMDP(2),CMDS(3),CMDP(3),CMDS(4),CMDP(4)"</formula1>
    </dataValidation>
    <dataValidation allowBlank="1" showInputMessage="1" showErrorMessage="1" promptTitle="Entry Applies to 501 Concrete" prompt="Review coarse aggregate gradation. Enter the percentage of dry material passing the specified sieve." sqref="W13" xr:uid="{00000000-0002-0000-0700-000005000000}"/>
    <dataValidation allowBlank="1" showInputMessage="1" showErrorMessage="1" promptTitle="Entry Applies to 501 Concrete" prompt="Review fine aggregate gradation. Enter the percentage of dry material passing the specified sieve." sqref="AB13:AC13" xr:uid="{00000000-0002-0000-0700-000006000000}"/>
    <dataValidation allowBlank="1" showInputMessage="1" showErrorMessage="1" promptTitle="Entry Applies to 501 Concrete" prompt="Review QA coarse aggregate gradation. Enter the percentage of dry aggregate passing the 1 inch sieve." sqref="K13:L13" xr:uid="{00000000-0002-0000-0700-000007000000}"/>
    <dataValidation type="list" allowBlank="1" showInputMessage="1" showErrorMessage="1" sqref="V10:X12" xr:uid="{00000000-0002-0000-0700-000008000000}">
      <formula1>"CS, Gvl, CGvl, BF, NS"</formula1>
    </dataValidation>
    <dataValidation type="list" allowBlank="1" showInputMessage="1" showErrorMessage="1" sqref="Y10:Z12" xr:uid="{00000000-0002-0000-0700-000009000000}">
      <formula1>"AP, A"</formula1>
    </dataValidation>
    <dataValidation allowBlank="1" showInputMessage="1" showErrorMessage="1" promptTitle="INDOT Approved Ledges" prompt="This cell is applicable to AP Quality coarse aggregate only. Please insert the location of the mining operations for the coarse aggregate (e.g. ledges, levels, areas)." sqref="AA10:AC12" xr:uid="{00000000-0002-0000-0700-00000A000000}"/>
    <dataValidation allowBlank="1" showInputMessage="1" showErrorMessage="1" promptTitle="Dosage Range" prompt="The dosage range for AEA or chemical admixtures may not exceed what is stated on the approved list of PCC Admixtures. Use of CaCl solution must also be indicated in units of fluid oz. / cwt. " sqref="X21:AC21" xr:uid="{00000000-0002-0000-0700-00000B000000}"/>
    <dataValidation allowBlank="1" showInputMessage="1" showErrorMessage="1" promptTitle="Entry Applies to 506 Concrete" prompt="Enter the concentration  of the CaCl solution as a percentage." sqref="J22:K22" xr:uid="{00000000-0002-0000-0700-00000C000000}"/>
    <dataValidation allowBlank="1" showInputMessage="1" showErrorMessage="1" promptTitle="Entry Applies to 506 Concrete" prompt="Enter the weight of the CaCl Type L in lbs/gallon. This weight is based on the concentration of the solution." sqref="Q22" xr:uid="{00000000-0002-0000-0700-00000D000000}"/>
    <dataValidation type="list" allowBlank="1" showInputMessage="1" showErrorMessage="1" sqref="U17:Y18" xr:uid="{00000000-0002-0000-0700-00000E000000}">
      <formula1>" Type I Cement,Type IA Cement,Type II Cement,Type III Cement,Type IIIA Cement, Type IP Cement, Type IP-A Cement, Type IS Cement, Type ISA Cement, Type ISM Cement, Class C Fly Ash,Class F Fly Ash,GGBFS GR. 100,GGBFS GR. 120,, SILICA FUME"</formula1>
    </dataValidation>
    <dataValidation type="list" allowBlank="1" showInputMessage="1" showErrorMessage="1" sqref="S10:U12" xr:uid="{00000000-0002-0000-0700-00000F000000}">
      <formula1>"#8, #11,#12, #23, QA#3"</formula1>
    </dataValidation>
    <dataValidation type="list" allowBlank="1" showInputMessage="1" showErrorMessage="1" sqref="V7:AC7" xr:uid="{00000000-0002-0000-0700-000010000000}">
      <formula1>$AG$4:$AG$16</formula1>
    </dataValidation>
    <dataValidation type="list" allowBlank="1" showInputMessage="1" showErrorMessage="1" sqref="U16:Y16" xr:uid="{33570257-CF8B-4F54-9D14-53D13D6D71CA}">
      <formula1>" Type I Cement, Type IL Cement,Type IA Cement,Type II Cement,Type III Cement,Type IIIA Cement, Type IP Cement, Type IP-A Cement, Type IS Cement, Type ISA Cement, Type ISM Cement, Class C Fly Ash,Class F Fly Ash,GGBFS GR. 100,GGBFS GR. 120,, SILICA FUME"</formula1>
    </dataValidation>
  </dataValidations>
  <pageMargins left="0.75" right="0" top="0" bottom="0" header="0" footer="0"/>
  <pageSetup scale="88" orientation="portrait" r:id="rId1"/>
  <headerFooter alignWithMargins="0"/>
  <ignoredErrors>
    <ignoredError sqref="E21:L21 B21:C21 V21:W21 Y21:AC21 X21 AA34:AC34 N39 A11:C12 A10 A17 AB33:AC33 AB35:AC35" evalError="1"/>
    <ignoredError sqref="A16:C16 B10:C10 A18:C18 B17:C17" evalError="1" unlocked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11000000}">
          <x14:formula1>
            <xm:f>'AGG SOURCES'!$A$1:$A$289</xm:f>
          </x14:formula1>
          <xm:sqref>D10:D12</xm:sqref>
        </x14:dataValidation>
        <x14:dataValidation type="list" allowBlank="1" showInputMessage="1" showErrorMessage="1" xr:uid="{00000000-0002-0000-0700-000013000000}">
          <x14:formula1>
            <xm:f>'CEMENT SOURCES'!$A$1:$A$34</xm:f>
          </x14:formula1>
          <xm:sqref>D16:T18</xm:sqref>
        </x14:dataValidation>
        <x14:dataValidation type="list" allowBlank="1" showInputMessage="1" showErrorMessage="1" xr:uid="{00000000-0002-0000-0700-000012000000}">
          <x14:formula1>
            <xm:f>'LATEX MODIFIERS'!$A$2:$A$4</xm:f>
          </x14:formula1>
          <xm:sqref>M21:T21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B1:O45"/>
  <sheetViews>
    <sheetView workbookViewId="0">
      <selection activeCell="F14" sqref="F14"/>
    </sheetView>
  </sheetViews>
  <sheetFormatPr defaultRowHeight="13.15"/>
  <cols>
    <col min="1" max="1" width="1.7109375" customWidth="1"/>
    <col min="2" max="2" width="19.42578125" customWidth="1"/>
    <col min="3" max="10" width="12.7109375" style="1" customWidth="1"/>
    <col min="11" max="11" width="12.7109375" customWidth="1"/>
    <col min="12" max="12" width="12" customWidth="1"/>
    <col min="13" max="13" width="13" customWidth="1"/>
    <col min="14" max="15" width="7.7109375" customWidth="1"/>
  </cols>
  <sheetData>
    <row r="1" spans="2:15" ht="16.5" customHeight="1">
      <c r="B1" s="58"/>
      <c r="C1" s="76"/>
      <c r="D1" s="76"/>
      <c r="E1" s="76"/>
      <c r="F1" s="76"/>
      <c r="G1" s="76"/>
      <c r="H1" s="76"/>
      <c r="I1" s="76"/>
      <c r="J1" s="76"/>
      <c r="K1" s="77"/>
      <c r="L1" s="77"/>
      <c r="M1" s="77"/>
    </row>
    <row r="2" spans="2:15" ht="21.75" customHeight="1">
      <c r="B2" s="86" t="s">
        <v>455</v>
      </c>
      <c r="C2" s="972" t="s">
        <v>244</v>
      </c>
      <c r="D2" s="973"/>
      <c r="E2" s="974"/>
      <c r="F2" s="972" t="s">
        <v>456</v>
      </c>
      <c r="G2" s="974"/>
      <c r="H2" s="972" t="s">
        <v>457</v>
      </c>
      <c r="I2" s="973"/>
      <c r="J2" s="978" t="s">
        <v>458</v>
      </c>
      <c r="K2" s="979"/>
      <c r="L2" s="984" t="s">
        <v>459</v>
      </c>
      <c r="M2" s="985"/>
    </row>
    <row r="3" spans="2:15" ht="15" customHeight="1">
      <c r="B3" s="63" t="s">
        <v>460</v>
      </c>
      <c r="C3" s="975" t="e">
        <f>'MIX DESIGN'!E31/SUM('MIX DESIGN'!E31:G33)</f>
        <v>#DIV/0!</v>
      </c>
      <c r="D3" s="977"/>
      <c r="E3" s="976"/>
      <c r="F3" s="975" t="e">
        <f>'MIX DESIGN'!E32/SUM('MIX DESIGN'!E31:G33)</f>
        <v>#DIV/0!</v>
      </c>
      <c r="G3" s="976"/>
      <c r="H3" s="977" t="e">
        <f>'MIX DESIGN'!E33/SUM('MIX DESIGN'!E31:G33)</f>
        <v>#DIV/0!</v>
      </c>
      <c r="I3" s="977"/>
      <c r="J3" s="980"/>
      <c r="K3" s="981"/>
      <c r="L3" s="986"/>
      <c r="M3" s="987"/>
    </row>
    <row r="4" spans="2:15" ht="15" customHeight="1">
      <c r="B4" s="64" t="s">
        <v>461</v>
      </c>
      <c r="C4" s="975" t="e">
        <f>'MIX DESIGN'!N31/SUM('MIX DESIGN'!N31:P33)</f>
        <v>#DIV/0!</v>
      </c>
      <c r="D4" s="977"/>
      <c r="E4" s="976"/>
      <c r="F4" s="975" t="e">
        <f>'MIX DESIGN'!N32/SUM('MIX DESIGN'!N31:P33)</f>
        <v>#DIV/0!</v>
      </c>
      <c r="G4" s="976"/>
      <c r="H4" s="977" t="e">
        <f>'MIX DESIGN'!N33/SUM('MIX DESIGN'!N31:P33)</f>
        <v>#DIV/0!</v>
      </c>
      <c r="I4" s="977"/>
      <c r="J4" s="982"/>
      <c r="K4" s="983"/>
      <c r="L4" s="988"/>
      <c r="M4" s="989"/>
      <c r="N4" s="560" t="s">
        <v>462</v>
      </c>
      <c r="O4" s="528"/>
    </row>
    <row r="5" spans="2:15" ht="31.5" customHeight="1">
      <c r="B5" s="69" t="s">
        <v>463</v>
      </c>
      <c r="C5" s="65" t="s">
        <v>464</v>
      </c>
      <c r="D5" s="66" t="s">
        <v>465</v>
      </c>
      <c r="E5" s="66" t="s">
        <v>466</v>
      </c>
      <c r="F5" s="65" t="s">
        <v>464</v>
      </c>
      <c r="G5" s="67" t="s">
        <v>465</v>
      </c>
      <c r="H5" s="65" t="s">
        <v>464</v>
      </c>
      <c r="I5" s="66" t="s">
        <v>465</v>
      </c>
      <c r="J5" s="87" t="s">
        <v>464</v>
      </c>
      <c r="K5" s="88" t="s">
        <v>465</v>
      </c>
      <c r="L5" s="68" t="s">
        <v>464</v>
      </c>
      <c r="M5" s="67" t="s">
        <v>465</v>
      </c>
      <c r="N5" s="335" t="s">
        <v>467</v>
      </c>
      <c r="O5" s="62" t="s">
        <v>468</v>
      </c>
    </row>
    <row r="6" spans="2:15" ht="15" customHeight="1">
      <c r="B6" s="70" t="s">
        <v>469</v>
      </c>
      <c r="C6" s="104"/>
      <c r="D6" s="56">
        <f>100-C6</f>
        <v>100</v>
      </c>
      <c r="E6" s="56"/>
      <c r="F6" s="104"/>
      <c r="G6" s="57">
        <f>100-F6</f>
        <v>100</v>
      </c>
      <c r="H6" s="104">
        <v>100</v>
      </c>
      <c r="I6" s="71">
        <f>100-H6</f>
        <v>0</v>
      </c>
      <c r="J6" s="89" t="e">
        <f t="shared" ref="J6:J18" si="0">C$3*C6+F$3*F6+H$3*H6</f>
        <v>#DIV/0!</v>
      </c>
      <c r="K6" s="90" t="e">
        <f t="shared" ref="K6:K18" si="1">C$3*D6+F$3*G6+H$3*I6</f>
        <v>#DIV/0!</v>
      </c>
      <c r="L6" s="59" t="e">
        <f t="shared" ref="L6:L18" si="2">C$4*C6+F$4*F6+H$4*H6</f>
        <v>#DIV/0!</v>
      </c>
      <c r="M6" s="57" t="e">
        <f t="shared" ref="M6:M18" si="3">C$4*D6+F$4*G6+H$4*I6</f>
        <v>#DIV/0!</v>
      </c>
    </row>
    <row r="7" spans="2:15" ht="15" customHeight="1">
      <c r="B7" s="70" t="s">
        <v>470</v>
      </c>
      <c r="C7" s="104"/>
      <c r="D7" s="56">
        <f t="shared" ref="D7:D18" si="4">C6-C7</f>
        <v>0</v>
      </c>
      <c r="E7" s="56"/>
      <c r="F7" s="104"/>
      <c r="G7" s="57">
        <f>F6-F7</f>
        <v>0</v>
      </c>
      <c r="H7" s="104">
        <v>100</v>
      </c>
      <c r="I7" s="56">
        <f>H6-H7</f>
        <v>0</v>
      </c>
      <c r="J7" s="91" t="e">
        <f t="shared" si="0"/>
        <v>#DIV/0!</v>
      </c>
      <c r="K7" s="90" t="e">
        <f t="shared" si="1"/>
        <v>#DIV/0!</v>
      </c>
      <c r="L7" s="59" t="e">
        <f t="shared" si="2"/>
        <v>#DIV/0!</v>
      </c>
      <c r="M7" s="57" t="e">
        <f t="shared" si="3"/>
        <v>#DIV/0!</v>
      </c>
      <c r="N7" s="302">
        <v>0</v>
      </c>
      <c r="O7" s="302">
        <v>0</v>
      </c>
    </row>
    <row r="8" spans="2:15" ht="15" customHeight="1">
      <c r="B8" s="70" t="s">
        <v>471</v>
      </c>
      <c r="C8" s="104"/>
      <c r="D8" s="56">
        <f t="shared" si="4"/>
        <v>0</v>
      </c>
      <c r="E8" s="56"/>
      <c r="F8" s="104"/>
      <c r="G8" s="57">
        <f>F7-F8</f>
        <v>0</v>
      </c>
      <c r="H8" s="104">
        <v>100</v>
      </c>
      <c r="I8" s="56">
        <f>H7-H8</f>
        <v>0</v>
      </c>
      <c r="J8" s="91" t="e">
        <f t="shared" si="0"/>
        <v>#DIV/0!</v>
      </c>
      <c r="K8" s="90" t="e">
        <f t="shared" si="1"/>
        <v>#DIV/0!</v>
      </c>
      <c r="L8" s="59" t="e">
        <f t="shared" si="2"/>
        <v>#DIV/0!</v>
      </c>
      <c r="M8" s="57" t="e">
        <f t="shared" si="3"/>
        <v>#DIV/0!</v>
      </c>
      <c r="N8" s="302">
        <v>0</v>
      </c>
      <c r="O8" s="302">
        <v>16</v>
      </c>
    </row>
    <row r="9" spans="2:15" ht="15" customHeight="1">
      <c r="B9" s="70" t="s">
        <v>472</v>
      </c>
      <c r="C9" s="104"/>
      <c r="D9" s="56">
        <f t="shared" si="4"/>
        <v>0</v>
      </c>
      <c r="E9" s="56"/>
      <c r="F9" s="104"/>
      <c r="G9" s="57">
        <f>F8-F9</f>
        <v>0</v>
      </c>
      <c r="H9" s="104">
        <v>100</v>
      </c>
      <c r="I9" s="56">
        <f t="shared" ref="I9:I17" si="5">H8-H9</f>
        <v>0</v>
      </c>
      <c r="J9" s="91" t="e">
        <f t="shared" si="0"/>
        <v>#DIV/0!</v>
      </c>
      <c r="K9" s="90" t="e">
        <f t="shared" si="1"/>
        <v>#DIV/0!</v>
      </c>
      <c r="L9" s="59" t="e">
        <f t="shared" si="2"/>
        <v>#DIV/0!</v>
      </c>
      <c r="M9" s="57" t="e">
        <f t="shared" si="3"/>
        <v>#DIV/0!</v>
      </c>
      <c r="N9" s="302">
        <v>0</v>
      </c>
      <c r="O9" s="302">
        <v>20</v>
      </c>
    </row>
    <row r="10" spans="2:15" ht="15" customHeight="1">
      <c r="B10" s="70" t="s">
        <v>473</v>
      </c>
      <c r="C10" s="104"/>
      <c r="D10" s="56">
        <f t="shared" si="4"/>
        <v>0</v>
      </c>
      <c r="E10" s="56"/>
      <c r="F10" s="104"/>
      <c r="G10" s="57">
        <f t="shared" ref="G10:G17" si="6">F9-F10</f>
        <v>0</v>
      </c>
      <c r="H10" s="104">
        <v>100</v>
      </c>
      <c r="I10" s="56">
        <f t="shared" si="5"/>
        <v>0</v>
      </c>
      <c r="J10" s="91" t="e">
        <f>C$3*C10+F$3*F10+H$3*H10</f>
        <v>#DIV/0!</v>
      </c>
      <c r="K10" s="90" t="e">
        <f t="shared" si="1"/>
        <v>#DIV/0!</v>
      </c>
      <c r="L10" s="59" t="e">
        <f t="shared" si="2"/>
        <v>#DIV/0!</v>
      </c>
      <c r="M10" s="57" t="e">
        <f t="shared" si="3"/>
        <v>#DIV/0!</v>
      </c>
      <c r="N10" s="302">
        <v>4</v>
      </c>
      <c r="O10" s="302">
        <v>20</v>
      </c>
    </row>
    <row r="11" spans="2:15" ht="15" customHeight="1">
      <c r="B11" s="70" t="s">
        <v>474</v>
      </c>
      <c r="C11" s="104"/>
      <c r="D11" s="56">
        <f t="shared" si="4"/>
        <v>0</v>
      </c>
      <c r="E11" s="56"/>
      <c r="F11" s="104"/>
      <c r="G11" s="57">
        <f t="shared" si="6"/>
        <v>0</v>
      </c>
      <c r="H11" s="104">
        <v>100</v>
      </c>
      <c r="I11" s="56">
        <f>H10-H11</f>
        <v>0</v>
      </c>
      <c r="J11" s="91" t="e">
        <f t="shared" si="0"/>
        <v>#DIV/0!</v>
      </c>
      <c r="K11" s="90" t="e">
        <f t="shared" si="1"/>
        <v>#DIV/0!</v>
      </c>
      <c r="L11" s="59" t="e">
        <f>C$4*C11+F$4*F11+H$4*H11</f>
        <v>#DIV/0!</v>
      </c>
      <c r="M11" s="57" t="e">
        <f t="shared" si="3"/>
        <v>#DIV/0!</v>
      </c>
      <c r="N11" s="302">
        <v>4</v>
      </c>
      <c r="O11" s="302">
        <v>20</v>
      </c>
    </row>
    <row r="12" spans="2:15" ht="15" customHeight="1">
      <c r="B12" s="70" t="s">
        <v>475</v>
      </c>
      <c r="C12" s="104"/>
      <c r="D12" s="56">
        <f t="shared" si="4"/>
        <v>0</v>
      </c>
      <c r="E12" s="56">
        <f>D12</f>
        <v>0</v>
      </c>
      <c r="F12" s="104"/>
      <c r="G12" s="57">
        <f>F11-F12</f>
        <v>0</v>
      </c>
      <c r="H12" s="104">
        <v>100</v>
      </c>
      <c r="I12" s="56">
        <f t="shared" si="5"/>
        <v>0</v>
      </c>
      <c r="J12" s="91" t="e">
        <f>C$3*C12+F$3*F12+H$3*H12</f>
        <v>#DIV/0!</v>
      </c>
      <c r="K12" s="90" t="e">
        <f t="shared" si="1"/>
        <v>#DIV/0!</v>
      </c>
      <c r="L12" s="59" t="e">
        <f t="shared" si="2"/>
        <v>#DIV/0!</v>
      </c>
      <c r="M12" s="57" t="e">
        <f t="shared" si="3"/>
        <v>#DIV/0!</v>
      </c>
      <c r="N12" s="302">
        <v>4</v>
      </c>
      <c r="O12" s="302">
        <v>20</v>
      </c>
    </row>
    <row r="13" spans="2:15" ht="15" customHeight="1">
      <c r="B13" s="70" t="s">
        <v>476</v>
      </c>
      <c r="C13" s="104"/>
      <c r="D13" s="56">
        <f t="shared" si="4"/>
        <v>0</v>
      </c>
      <c r="E13" s="56">
        <f>SUM(D12:D13)</f>
        <v>0</v>
      </c>
      <c r="F13" s="104"/>
      <c r="G13" s="57">
        <f t="shared" si="6"/>
        <v>0</v>
      </c>
      <c r="H13" s="104">
        <v>100</v>
      </c>
      <c r="I13" s="56">
        <f t="shared" si="5"/>
        <v>0</v>
      </c>
      <c r="J13" s="91" t="e">
        <f t="shared" si="0"/>
        <v>#DIV/0!</v>
      </c>
      <c r="K13" s="90" t="e">
        <f t="shared" si="1"/>
        <v>#DIV/0!</v>
      </c>
      <c r="L13" s="59" t="e">
        <f t="shared" si="2"/>
        <v>#DIV/0!</v>
      </c>
      <c r="M13" s="57" t="e">
        <f t="shared" si="3"/>
        <v>#DIV/0!</v>
      </c>
      <c r="N13" s="302">
        <v>0</v>
      </c>
      <c r="O13" s="302">
        <v>12</v>
      </c>
    </row>
    <row r="14" spans="2:15" ht="15" customHeight="1">
      <c r="B14" s="70" t="s">
        <v>477</v>
      </c>
      <c r="C14" s="104"/>
      <c r="D14" s="56">
        <f t="shared" si="4"/>
        <v>0</v>
      </c>
      <c r="E14" s="56">
        <f>SUM(D12:D14)</f>
        <v>0</v>
      </c>
      <c r="F14" s="104"/>
      <c r="G14" s="57">
        <f t="shared" si="6"/>
        <v>0</v>
      </c>
      <c r="H14" s="104">
        <v>100</v>
      </c>
      <c r="I14" s="56">
        <f t="shared" si="5"/>
        <v>0</v>
      </c>
      <c r="J14" s="91" t="e">
        <f t="shared" si="0"/>
        <v>#DIV/0!</v>
      </c>
      <c r="K14" s="90" t="e">
        <f t="shared" si="1"/>
        <v>#DIV/0!</v>
      </c>
      <c r="L14" s="59" t="e">
        <f t="shared" si="2"/>
        <v>#DIV/0!</v>
      </c>
      <c r="M14" s="57" t="e">
        <f t="shared" si="3"/>
        <v>#DIV/0!</v>
      </c>
      <c r="N14" s="302">
        <v>0</v>
      </c>
      <c r="O14" s="302">
        <v>12</v>
      </c>
    </row>
    <row r="15" spans="2:15" ht="15" customHeight="1">
      <c r="B15" s="70" t="s">
        <v>478</v>
      </c>
      <c r="C15" s="104"/>
      <c r="D15" s="56">
        <f t="shared" si="4"/>
        <v>0</v>
      </c>
      <c r="E15" s="56">
        <f>SUM(D12:D15)</f>
        <v>0</v>
      </c>
      <c r="F15" s="104"/>
      <c r="G15" s="57">
        <f t="shared" si="6"/>
        <v>0</v>
      </c>
      <c r="H15" s="104">
        <v>100</v>
      </c>
      <c r="I15" s="56">
        <f t="shared" si="5"/>
        <v>0</v>
      </c>
      <c r="J15" s="91" t="e">
        <f t="shared" si="0"/>
        <v>#DIV/0!</v>
      </c>
      <c r="K15" s="90" t="e">
        <f t="shared" si="1"/>
        <v>#DIV/0!</v>
      </c>
      <c r="L15" s="59" t="e">
        <f t="shared" si="2"/>
        <v>#DIV/0!</v>
      </c>
      <c r="M15" s="57" t="e">
        <f t="shared" si="3"/>
        <v>#DIV/0!</v>
      </c>
      <c r="N15" s="302">
        <v>4</v>
      </c>
      <c r="O15" s="302">
        <v>20</v>
      </c>
    </row>
    <row r="16" spans="2:15" ht="15" customHeight="1">
      <c r="B16" s="70" t="s">
        <v>479</v>
      </c>
      <c r="C16" s="104"/>
      <c r="D16" s="56">
        <f t="shared" si="4"/>
        <v>0</v>
      </c>
      <c r="E16" s="56">
        <f>SUM(D12:D16)</f>
        <v>0</v>
      </c>
      <c r="F16" s="104"/>
      <c r="G16" s="57">
        <f t="shared" si="6"/>
        <v>0</v>
      </c>
      <c r="H16" s="104">
        <v>100</v>
      </c>
      <c r="I16" s="56">
        <f t="shared" si="5"/>
        <v>0</v>
      </c>
      <c r="J16" s="91" t="e">
        <f t="shared" si="0"/>
        <v>#DIV/0!</v>
      </c>
      <c r="K16" s="90" t="e">
        <f t="shared" si="1"/>
        <v>#DIV/0!</v>
      </c>
      <c r="L16" s="59" t="e">
        <f t="shared" si="2"/>
        <v>#DIV/0!</v>
      </c>
      <c r="M16" s="57" t="e">
        <f t="shared" si="3"/>
        <v>#DIV/0!</v>
      </c>
      <c r="N16" s="302">
        <v>4</v>
      </c>
      <c r="O16" s="302">
        <v>20</v>
      </c>
    </row>
    <row r="17" spans="2:15" ht="15" customHeight="1">
      <c r="B17" s="70" t="s">
        <v>480</v>
      </c>
      <c r="C17" s="104"/>
      <c r="D17" s="56">
        <f t="shared" si="4"/>
        <v>0</v>
      </c>
      <c r="E17" s="56">
        <f>SUM(D12:D17)</f>
        <v>0</v>
      </c>
      <c r="F17" s="104"/>
      <c r="G17" s="57">
        <f t="shared" si="6"/>
        <v>0</v>
      </c>
      <c r="H17" s="104">
        <v>100</v>
      </c>
      <c r="I17" s="56">
        <f t="shared" si="5"/>
        <v>0</v>
      </c>
      <c r="J17" s="91" t="e">
        <f t="shared" si="0"/>
        <v>#DIV/0!</v>
      </c>
      <c r="K17" s="90" t="e">
        <f t="shared" si="1"/>
        <v>#DIV/0!</v>
      </c>
      <c r="L17" s="59" t="e">
        <f t="shared" si="2"/>
        <v>#DIV/0!</v>
      </c>
      <c r="M17" s="57" t="e">
        <f t="shared" si="3"/>
        <v>#DIV/0!</v>
      </c>
      <c r="N17" s="302">
        <v>0</v>
      </c>
      <c r="O17" s="302">
        <v>10</v>
      </c>
    </row>
    <row r="18" spans="2:15" ht="15" customHeight="1">
      <c r="B18" s="72" t="s">
        <v>481</v>
      </c>
      <c r="C18" s="105"/>
      <c r="D18" s="73">
        <f t="shared" si="4"/>
        <v>0</v>
      </c>
      <c r="E18" s="73"/>
      <c r="F18" s="105"/>
      <c r="G18" s="74">
        <f>F17-F18</f>
        <v>0</v>
      </c>
      <c r="H18" s="105">
        <v>100</v>
      </c>
      <c r="I18" s="73">
        <f>H17-H18</f>
        <v>0</v>
      </c>
      <c r="J18" s="92" t="e">
        <f t="shared" si="0"/>
        <v>#DIV/0!</v>
      </c>
      <c r="K18" s="93" t="e">
        <f t="shared" si="1"/>
        <v>#DIV/0!</v>
      </c>
      <c r="L18" s="75" t="e">
        <f t="shared" si="2"/>
        <v>#DIV/0!</v>
      </c>
      <c r="M18" s="74" t="e">
        <f t="shared" si="3"/>
        <v>#DIV/0!</v>
      </c>
      <c r="N18" s="302">
        <v>0</v>
      </c>
      <c r="O18" s="302">
        <v>2</v>
      </c>
    </row>
    <row r="19" spans="2:15" ht="15" customHeight="1">
      <c r="C19" s="296"/>
      <c r="D19" s="296"/>
      <c r="E19" s="296"/>
      <c r="F19" s="296"/>
      <c r="G19" s="296"/>
      <c r="H19" s="296"/>
      <c r="I19" s="296"/>
      <c r="J19" s="296"/>
    </row>
    <row r="20" spans="2:15" ht="15" customHeight="1">
      <c r="C20" s="296"/>
      <c r="D20" s="60" t="s">
        <v>482</v>
      </c>
      <c r="E20" s="61">
        <f>SUM(E12:E17)/100</f>
        <v>0</v>
      </c>
      <c r="F20" s="296"/>
      <c r="G20" s="304"/>
      <c r="H20" s="296"/>
      <c r="I20" s="296"/>
      <c r="J20" s="296"/>
    </row>
    <row r="21" spans="2:15" ht="15" customHeight="1">
      <c r="C21" s="296"/>
      <c r="D21" s="296"/>
      <c r="E21" s="296"/>
      <c r="F21" s="296"/>
      <c r="G21" s="296"/>
      <c r="H21" s="296"/>
      <c r="I21" s="296"/>
      <c r="J21" s="296"/>
    </row>
    <row r="22" spans="2:15" ht="15" customHeight="1">
      <c r="C22" s="296"/>
      <c r="D22" s="296"/>
      <c r="E22" s="296"/>
      <c r="F22" s="296"/>
      <c r="G22" s="296"/>
      <c r="H22" s="296"/>
      <c r="I22" s="296"/>
      <c r="J22" s="296"/>
    </row>
    <row r="23" spans="2:15" ht="15" customHeight="1">
      <c r="C23" s="296"/>
      <c r="D23" s="296"/>
      <c r="E23" s="296"/>
      <c r="F23" s="296"/>
      <c r="G23" s="296"/>
      <c r="H23" s="296"/>
      <c r="I23" s="296"/>
      <c r="J23" s="296"/>
    </row>
    <row r="31" spans="2:15">
      <c r="C31" s="296"/>
      <c r="D31" s="296"/>
      <c r="E31" s="296"/>
      <c r="F31" s="296"/>
      <c r="G31" s="296"/>
      <c r="H31" s="296"/>
      <c r="I31" s="296"/>
      <c r="J31" s="296"/>
      <c r="K31" s="5"/>
    </row>
    <row r="41" spans="2:8" ht="13.9">
      <c r="B41" s="80"/>
      <c r="C41" s="81" t="s">
        <v>483</v>
      </c>
      <c r="D41" s="82" t="e">
        <f>SUM(M15:M18)</f>
        <v>#DIV/0!</v>
      </c>
      <c r="E41" s="81" t="s">
        <v>484</v>
      </c>
      <c r="F41" s="83" t="s">
        <v>485</v>
      </c>
      <c r="G41" s="331"/>
      <c r="H41" s="332"/>
    </row>
    <row r="42" spans="2:8" ht="13.9">
      <c r="B42" s="94"/>
      <c r="C42" s="95"/>
      <c r="D42" s="96"/>
      <c r="E42" s="300"/>
      <c r="F42" s="85" t="s">
        <v>486</v>
      </c>
      <c r="G42" s="300"/>
      <c r="H42" s="303"/>
    </row>
    <row r="43" spans="2:8" ht="13.9">
      <c r="B43" s="84"/>
      <c r="C43" s="60" t="s">
        <v>487</v>
      </c>
      <c r="D43" s="79" t="e">
        <f>SUM(M13:M15)</f>
        <v>#DIV/0!</v>
      </c>
      <c r="E43" s="60" t="s">
        <v>488</v>
      </c>
      <c r="F43" s="78" t="s">
        <v>489</v>
      </c>
      <c r="G43" s="296"/>
      <c r="H43" s="297"/>
    </row>
    <row r="44" spans="2:8" ht="13.9">
      <c r="B44" s="16"/>
      <c r="C44" s="300"/>
      <c r="D44" s="300"/>
      <c r="E44" s="300"/>
      <c r="F44" s="85" t="s">
        <v>490</v>
      </c>
      <c r="G44" s="300"/>
      <c r="H44" s="303"/>
    </row>
    <row r="45" spans="2:8" ht="15.6">
      <c r="B45" s="10"/>
      <c r="C45" s="296"/>
      <c r="D45" s="296"/>
      <c r="E45" s="296"/>
      <c r="F45" s="296"/>
      <c r="G45" s="296"/>
      <c r="H45" s="296"/>
    </row>
  </sheetData>
  <sheetProtection password="DE78" sheet="1" objects="1" scenarios="1" formatCells="0" selectLockedCells="1"/>
  <mergeCells count="12">
    <mergeCell ref="N4:O4"/>
    <mergeCell ref="F2:G2"/>
    <mergeCell ref="H2:I2"/>
    <mergeCell ref="J2:K4"/>
    <mergeCell ref="L2:M4"/>
    <mergeCell ref="C2:E2"/>
    <mergeCell ref="F3:G3"/>
    <mergeCell ref="F4:G4"/>
    <mergeCell ref="H3:I3"/>
    <mergeCell ref="H4:I4"/>
    <mergeCell ref="C3:E3"/>
    <mergeCell ref="C4:E4"/>
  </mergeCells>
  <pageMargins left="0" right="0" top="0.39369969378827646" bottom="0.39369969378827646" header="0" footer="0"/>
  <pageSetup scale="7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612CBFCD29024E819FD045922278B2" ma:contentTypeVersion="12" ma:contentTypeDescription="Create a new document." ma:contentTypeScope="" ma:versionID="fdec7491f70feaa1acafd1cf0f058a50">
  <xsd:schema xmlns:xsd="http://www.w3.org/2001/XMLSchema" xmlns:xs="http://www.w3.org/2001/XMLSchema" xmlns:p="http://schemas.microsoft.com/office/2006/metadata/properties" xmlns:ns2="3cc0541f-1247-4d45-8ce1-8224fd0566f6" xmlns:ns3="12984c58-bf28-476c-867d-1e8b1ede739d" targetNamespace="http://schemas.microsoft.com/office/2006/metadata/properties" ma:root="true" ma:fieldsID="93a32f8d3b7ba4621c5b269518aa88c9" ns2:_="" ns3:_="">
    <xsd:import namespace="3cc0541f-1247-4d45-8ce1-8224fd0566f6"/>
    <xsd:import namespace="12984c58-bf28-476c-867d-1e8b1ede73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c0541f-1247-4d45-8ce1-8224fd0566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2984c58-bf28-476c-867d-1e8b1ede739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0a5eb4-4434-46dd-8924-2b804ef491c7}" ma:internalName="TaxCatchAll" ma:showField="CatchAllData" ma:web="12984c58-bf28-476c-867d-1e8b1ede73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2984c58-bf28-476c-867d-1e8b1ede739d" xsi:nil="true"/>
    <lcf76f155ced4ddcb4097134ff3c332f xmlns="3cc0541f-1247-4d45-8ce1-8224fd0566f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90F7A34-7CBE-4755-9491-453CA226A96F}"/>
</file>

<file path=customXml/itemProps2.xml><?xml version="1.0" encoding="utf-8"?>
<ds:datastoreItem xmlns:ds="http://schemas.openxmlformats.org/officeDocument/2006/customXml" ds:itemID="{00B508F1-B618-41AC-8ACF-5041B71862E0}"/>
</file>

<file path=customXml/itemProps3.xml><?xml version="1.0" encoding="utf-8"?>
<ds:datastoreItem xmlns:ds="http://schemas.openxmlformats.org/officeDocument/2006/customXml" ds:itemID="{5D5D9CE4-0E10-4538-8A6A-D65832F82821}"/>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INDOT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mrharris</dc:creator>
  <cp:keywords/>
  <dc:description/>
  <cp:lastModifiedBy/>
  <cp:revision/>
  <dcterms:created xsi:type="dcterms:W3CDTF">2005-02-10T20:23:45Z</dcterms:created>
  <dcterms:modified xsi:type="dcterms:W3CDTF">2026-05-04T21:04:32Z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0x0101005F612CBFCD29024E819FD045922278B2</vt:lpwstr>
  </property>
  <property fmtid="{D5CDD505-2E9C-101B-9397-08002B2CF9AE}" pid="5" name="MediaServiceImageTags">
    <vt:lpwstr/>
  </property>
</Properties>
</file>