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howInkAnnotation="0" codeName="ThisWorkbook"/>
  <mc:AlternateContent xmlns:mc="http://schemas.openxmlformats.org/markup-compatibility/2006">
    <mc:Choice Requires="x15">
      <x15ac:absPath xmlns:x15ac="http://schemas.microsoft.com/office/spreadsheetml/2010/11/ac" url="C:\Users\Public\Documents\Public - 2021\2021 PLA-EVE\________2021-2022 Budgets\Genai\Round 2 - July,  2021\Final\Final Final\Adjust for Mgmt Fee Allocations\"/>
    </mc:Choice>
  </mc:AlternateContent>
  <xr:revisionPtr revIDLastSave="0" documentId="13_ncr:1_{30B6949E-9E3D-4BCE-A5E3-4A10ACB3FF8C}" xr6:coauthVersionLast="47" xr6:coauthVersionMax="47" xr10:uidLastSave="{00000000-0000-0000-0000-000000000000}"/>
  <bookViews>
    <workbookView xWindow="-120" yWindow="-120" windowWidth="19800" windowHeight="11760" tabRatio="911" activeTab="4" xr2:uid="{00000000-000D-0000-FFFF-FFFF00000000}"/>
  </bookViews>
  <sheets>
    <sheet name="1. Instructions" sheetId="22" r:id="rId1"/>
    <sheet name="2. Enrollment Projections" sheetId="1" r:id="rId2"/>
    <sheet name="3. Staffing Plan" sheetId="23" r:id="rId3"/>
    <sheet name="4. Budget &amp; Cash Flow (Year 0)" sheetId="21" r:id="rId4"/>
    <sheet name="5. 5-Year Budget" sheetId="16" r:id="rId5"/>
    <sheet name="CONTROL" sheetId="24" state="veryHidden" r:id="rId6"/>
  </sheets>
  <definedNames>
    <definedName name="AHS">CONTROL!$J$28:$J$30</definedName>
    <definedName name="CorpList">CONTROL!$C$17:$C$306</definedName>
    <definedName name="_xlnm.Print_Area" localSheetId="3">'4. Budget &amp; Cash Flow (Year 0)'!$C$3:$S$113</definedName>
    <definedName name="_xlnm.Print_Area" localSheetId="4">'5. 5-Year Budget'!$L$2:$N$141</definedName>
    <definedName name="_xlnm.Print_Titles" localSheetId="3">'4. Budget &amp; Cash Flow (Year 0)'!$13:$13</definedName>
    <definedName name="Schools">CONTROL!$C$16:$D$306</definedName>
  </definedNames>
  <calcPr calcId="191029"/>
  <customWorkbookViews>
    <customWorkbookView name="ca10146 - Personal View" guid="{78108F25-E067-40AC-B09B-6FE5187CDB4B}" mergeInterval="0" personalView="1" maximized="1" xWindow="1" yWindow="1" windowWidth="1276" windowHeight="803" tabRatio="911" activeSheetId="4"/>
    <customWorkbookView name="Matthew Shaw - Personal View" guid="{4EB07C87-A9F4-403E-8C0F-324FFB87E1FF}" mergeInterval="0" personalView="1" maximized="1" windowWidth="1676" windowHeight="825" tabRatio="911"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6" i="16" l="1"/>
  <c r="K156" i="16"/>
  <c r="J156" i="16"/>
  <c r="I156" i="16"/>
  <c r="H156" i="16"/>
  <c r="O38" i="23"/>
  <c r="S38" i="23" s="1"/>
  <c r="W38" i="23" s="1"/>
  <c r="AA38" i="23" s="1"/>
  <c r="O39" i="23"/>
  <c r="S39" i="23" s="1"/>
  <c r="W39" i="23" s="1"/>
  <c r="AA39" i="23" s="1"/>
  <c r="O37" i="23"/>
  <c r="S37" i="23" s="1"/>
  <c r="W37" i="23" s="1"/>
  <c r="AA37" i="23" s="1"/>
  <c r="I104" i="16" l="1"/>
  <c r="Z15" i="23"/>
  <c r="V15" i="23"/>
  <c r="R15" i="23"/>
  <c r="J15" i="23"/>
  <c r="K151" i="16"/>
  <c r="K104" i="16"/>
  <c r="L104" i="16"/>
  <c r="J104" i="16"/>
  <c r="H104" i="16"/>
  <c r="L151" i="16"/>
  <c r="I151" i="16"/>
  <c r="J150" i="16"/>
  <c r="K150" i="16" s="1"/>
  <c r="J153" i="16"/>
  <c r="K153" i="16" s="1"/>
  <c r="L153" i="16" s="1"/>
  <c r="J154" i="16"/>
  <c r="K154" i="16" s="1"/>
  <c r="L154" i="16" s="1"/>
  <c r="J155" i="16"/>
  <c r="K155" i="16"/>
  <c r="L155" i="16" s="1"/>
  <c r="J152" i="16"/>
  <c r="K152" i="16" s="1"/>
  <c r="L152" i="16" s="1"/>
  <c r="I130" i="16"/>
  <c r="J130" i="16"/>
  <c r="K130" i="16" s="1"/>
  <c r="L130" i="16" s="1"/>
  <c r="I129" i="16"/>
  <c r="J129" i="16"/>
  <c r="K129" i="16" s="1"/>
  <c r="L129" i="16" s="1"/>
  <c r="I125" i="16"/>
  <c r="O34" i="23"/>
  <c r="S34" i="23" s="1"/>
  <c r="O16" i="23"/>
  <c r="S16" i="23" s="1"/>
  <c r="O17" i="23"/>
  <c r="S17" i="23" s="1"/>
  <c r="O18" i="23"/>
  <c r="S18" i="23" s="1"/>
  <c r="K125" i="16"/>
  <c r="L125" i="16" s="1"/>
  <c r="O33" i="23"/>
  <c r="S33" i="23"/>
  <c r="W33" i="23" s="1"/>
  <c r="O15" i="23"/>
  <c r="S15" i="23" s="1"/>
  <c r="H11" i="1"/>
  <c r="R97" i="21"/>
  <c r="Q97" i="21"/>
  <c r="P97" i="21"/>
  <c r="O97" i="21"/>
  <c r="N97" i="21"/>
  <c r="M97" i="21"/>
  <c r="L97" i="21"/>
  <c r="K97" i="21"/>
  <c r="J97" i="21"/>
  <c r="I97" i="21"/>
  <c r="H97" i="21"/>
  <c r="G97" i="21"/>
  <c r="S95" i="21"/>
  <c r="G158" i="16"/>
  <c r="S94" i="21"/>
  <c r="G157" i="16"/>
  <c r="S93" i="21"/>
  <c r="G156" i="16" s="1"/>
  <c r="S92" i="21"/>
  <c r="G155" i="16"/>
  <c r="S91" i="21"/>
  <c r="G154" i="16" s="1"/>
  <c r="S90" i="21"/>
  <c r="G153" i="16" s="1"/>
  <c r="E5" i="21"/>
  <c r="E4" i="21"/>
  <c r="S16" i="21"/>
  <c r="G34" i="16" s="1"/>
  <c r="G43" i="16" s="1"/>
  <c r="S17" i="21"/>
  <c r="I29" i="1"/>
  <c r="L135" i="16" s="1"/>
  <c r="H29" i="1"/>
  <c r="K135" i="16" s="1"/>
  <c r="G29" i="1"/>
  <c r="F29" i="1"/>
  <c r="I135" i="16" s="1"/>
  <c r="F41" i="1"/>
  <c r="E29" i="1"/>
  <c r="H135" i="16" s="1"/>
  <c r="H140" i="16" s="1"/>
  <c r="I33" i="1"/>
  <c r="I43" i="1"/>
  <c r="H33" i="1"/>
  <c r="H43" i="1" s="1"/>
  <c r="G33" i="1"/>
  <c r="F33" i="1"/>
  <c r="I17" i="16" s="1"/>
  <c r="E33" i="1"/>
  <c r="E43" i="1" s="1"/>
  <c r="F8" i="1"/>
  <c r="G306" i="24"/>
  <c r="G305" i="24"/>
  <c r="G304" i="24"/>
  <c r="G303" i="24"/>
  <c r="G302" i="24"/>
  <c r="G301" i="24"/>
  <c r="G300" i="24"/>
  <c r="G299" i="24"/>
  <c r="G298" i="24"/>
  <c r="G297" i="24"/>
  <c r="G296" i="24"/>
  <c r="G295" i="24"/>
  <c r="G294" i="24"/>
  <c r="G293" i="24"/>
  <c r="G292" i="24"/>
  <c r="G291" i="24"/>
  <c r="G290" i="24"/>
  <c r="G289" i="24"/>
  <c r="G288" i="24"/>
  <c r="G287" i="24"/>
  <c r="G286" i="24"/>
  <c r="G285" i="24"/>
  <c r="G284" i="24"/>
  <c r="G283" i="24"/>
  <c r="G282" i="24"/>
  <c r="G281" i="24"/>
  <c r="G280" i="24"/>
  <c r="G279" i="24"/>
  <c r="G278" i="24"/>
  <c r="G277" i="24"/>
  <c r="G276" i="24"/>
  <c r="G275" i="24"/>
  <c r="G274" i="24"/>
  <c r="G273" i="24"/>
  <c r="G272" i="24"/>
  <c r="G271" i="24"/>
  <c r="G270" i="24"/>
  <c r="G269" i="24"/>
  <c r="G268" i="24"/>
  <c r="G267" i="24"/>
  <c r="G266" i="24"/>
  <c r="G265" i="24"/>
  <c r="G264" i="24"/>
  <c r="G263" i="24"/>
  <c r="G262" i="24"/>
  <c r="G261" i="24"/>
  <c r="G260" i="24"/>
  <c r="G259" i="24"/>
  <c r="G258" i="24"/>
  <c r="G257" i="24"/>
  <c r="G256" i="24"/>
  <c r="G255" i="24"/>
  <c r="G254" i="24"/>
  <c r="G253" i="24"/>
  <c r="G252" i="24"/>
  <c r="G251" i="24"/>
  <c r="G250" i="24"/>
  <c r="G249" i="24"/>
  <c r="G248" i="24"/>
  <c r="G247" i="24"/>
  <c r="G246" i="24"/>
  <c r="G245" i="24"/>
  <c r="G244" i="24"/>
  <c r="G243" i="24"/>
  <c r="G242" i="24"/>
  <c r="G241" i="24"/>
  <c r="G240" i="24"/>
  <c r="G239" i="24"/>
  <c r="G238" i="24"/>
  <c r="G237" i="24"/>
  <c r="G236" i="24"/>
  <c r="G235" i="24"/>
  <c r="G234" i="24"/>
  <c r="G233" i="24"/>
  <c r="G232" i="24"/>
  <c r="G231" i="24"/>
  <c r="G230" i="24"/>
  <c r="G229" i="24"/>
  <c r="G228" i="24"/>
  <c r="G227" i="24"/>
  <c r="G226" i="24"/>
  <c r="G225" i="24"/>
  <c r="G224" i="24"/>
  <c r="G223" i="24"/>
  <c r="G222" i="24"/>
  <c r="G221" i="24"/>
  <c r="G220" i="24"/>
  <c r="G219" i="24"/>
  <c r="G218" i="24"/>
  <c r="G217" i="24"/>
  <c r="G216" i="24"/>
  <c r="G215" i="24"/>
  <c r="G214" i="24"/>
  <c r="G213" i="24"/>
  <c r="G212" i="24"/>
  <c r="G211" i="24"/>
  <c r="G210" i="24"/>
  <c r="G209" i="24"/>
  <c r="G208" i="24"/>
  <c r="G207" i="24"/>
  <c r="G206" i="24"/>
  <c r="G205" i="24"/>
  <c r="G204" i="24"/>
  <c r="G203" i="24"/>
  <c r="G202" i="24"/>
  <c r="G201" i="24"/>
  <c r="G200" i="24"/>
  <c r="G199" i="24"/>
  <c r="G198" i="24"/>
  <c r="G197" i="24"/>
  <c r="G196" i="24"/>
  <c r="G195" i="24"/>
  <c r="G194" i="24"/>
  <c r="G193" i="24"/>
  <c r="G192" i="24"/>
  <c r="G191" i="24"/>
  <c r="G190" i="24"/>
  <c r="G189" i="24"/>
  <c r="G188" i="24"/>
  <c r="G187" i="24"/>
  <c r="G186" i="24"/>
  <c r="G185" i="24"/>
  <c r="G184" i="24"/>
  <c r="G183" i="24"/>
  <c r="G182" i="24"/>
  <c r="G181" i="24"/>
  <c r="G180" i="24"/>
  <c r="G179" i="24"/>
  <c r="G178" i="24"/>
  <c r="G177" i="24"/>
  <c r="G176" i="24"/>
  <c r="G175" i="24"/>
  <c r="G174" i="24"/>
  <c r="G173" i="24"/>
  <c r="G172" i="24"/>
  <c r="G171" i="24"/>
  <c r="G170" i="24"/>
  <c r="G169" i="24"/>
  <c r="G168" i="24"/>
  <c r="G167" i="24"/>
  <c r="G166" i="24"/>
  <c r="G165" i="24"/>
  <c r="G164" i="24"/>
  <c r="G163" i="24"/>
  <c r="G162" i="24"/>
  <c r="G161" i="24"/>
  <c r="G160" i="24"/>
  <c r="G159" i="24"/>
  <c r="G158" i="24"/>
  <c r="G157" i="24"/>
  <c r="G156" i="24"/>
  <c r="G155" i="24"/>
  <c r="G154" i="24"/>
  <c r="G153" i="24"/>
  <c r="G152" i="24"/>
  <c r="G151" i="24"/>
  <c r="G150" i="24"/>
  <c r="G149" i="24"/>
  <c r="G148" i="24"/>
  <c r="G147" i="24"/>
  <c r="G146" i="24"/>
  <c r="G145" i="24"/>
  <c r="G144" i="24"/>
  <c r="G143" i="24"/>
  <c r="G142" i="24"/>
  <c r="G141" i="24"/>
  <c r="G140" i="24"/>
  <c r="G139" i="24"/>
  <c r="G138" i="24"/>
  <c r="G137" i="24"/>
  <c r="G136" i="24"/>
  <c r="G135" i="24"/>
  <c r="G134" i="24"/>
  <c r="G133" i="24"/>
  <c r="G132" i="24"/>
  <c r="G131" i="24"/>
  <c r="G130" i="24"/>
  <c r="G129" i="24"/>
  <c r="G128" i="24"/>
  <c r="G127" i="24"/>
  <c r="G126" i="24"/>
  <c r="G125" i="24"/>
  <c r="G124" i="24"/>
  <c r="G123" i="24"/>
  <c r="G122" i="24"/>
  <c r="G121" i="24"/>
  <c r="G120" i="24"/>
  <c r="G119" i="24"/>
  <c r="G118" i="24"/>
  <c r="G117" i="24"/>
  <c r="G116" i="24"/>
  <c r="G115" i="24"/>
  <c r="G114" i="24"/>
  <c r="G113" i="24"/>
  <c r="G112" i="24"/>
  <c r="G111" i="24"/>
  <c r="G110" i="24"/>
  <c r="G109" i="24"/>
  <c r="G108" i="24"/>
  <c r="G107" i="24"/>
  <c r="G106" i="24"/>
  <c r="G105" i="24"/>
  <c r="G104" i="24"/>
  <c r="G103" i="24"/>
  <c r="G102" i="24"/>
  <c r="G101" i="24"/>
  <c r="G100" i="24"/>
  <c r="G99" i="24"/>
  <c r="G98" i="24"/>
  <c r="G97" i="24"/>
  <c r="G96" i="24"/>
  <c r="G95" i="24"/>
  <c r="G94" i="24"/>
  <c r="G93" i="24"/>
  <c r="G92" i="24"/>
  <c r="G91" i="24"/>
  <c r="G90" i="24"/>
  <c r="G89" i="24"/>
  <c r="G88" i="24"/>
  <c r="G87" i="24"/>
  <c r="G86" i="24"/>
  <c r="G85" i="24"/>
  <c r="G84" i="24"/>
  <c r="G83" i="24"/>
  <c r="G82" i="24"/>
  <c r="G81" i="24"/>
  <c r="G80"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G47" i="24"/>
  <c r="G46" i="24"/>
  <c r="G45" i="24"/>
  <c r="G44" i="24"/>
  <c r="G43" i="24"/>
  <c r="G42" i="24"/>
  <c r="G41" i="24"/>
  <c r="G40" i="24"/>
  <c r="G39" i="24"/>
  <c r="G38" i="24"/>
  <c r="G37" i="24"/>
  <c r="G36" i="24"/>
  <c r="G35" i="24"/>
  <c r="G34" i="24"/>
  <c r="G33" i="24"/>
  <c r="G32" i="24"/>
  <c r="G31" i="24"/>
  <c r="G30" i="24"/>
  <c r="G29" i="24"/>
  <c r="G28" i="24"/>
  <c r="G27" i="24"/>
  <c r="G26" i="24"/>
  <c r="G25" i="24"/>
  <c r="G24" i="24"/>
  <c r="G23" i="24"/>
  <c r="G22" i="24"/>
  <c r="G21" i="24"/>
  <c r="G20" i="24"/>
  <c r="G19" i="24"/>
  <c r="G18" i="24"/>
  <c r="E18" i="24"/>
  <c r="E19" i="24"/>
  <c r="E20" i="24"/>
  <c r="E21" i="24"/>
  <c r="E22" i="24"/>
  <c r="E23" i="24"/>
  <c r="E24" i="24"/>
  <c r="E25" i="24"/>
  <c r="E26" i="24"/>
  <c r="E27" i="24"/>
  <c r="E28" i="24"/>
  <c r="E29" i="24"/>
  <c r="E30" i="24"/>
  <c r="E31" i="24"/>
  <c r="E32" i="24"/>
  <c r="E33" i="24"/>
  <c r="E34" i="24"/>
  <c r="E35" i="24"/>
  <c r="E36" i="24"/>
  <c r="E37" i="24"/>
  <c r="E38" i="24"/>
  <c r="E39" i="24"/>
  <c r="E40" i="24"/>
  <c r="E41" i="24"/>
  <c r="E42" i="24"/>
  <c r="E43" i="24"/>
  <c r="E44" i="24"/>
  <c r="E45" i="24"/>
  <c r="E46" i="24"/>
  <c r="E47" i="24"/>
  <c r="E48" i="24"/>
  <c r="E49" i="24"/>
  <c r="E50" i="24"/>
  <c r="E51" i="24"/>
  <c r="E52" i="24"/>
  <c r="E53" i="24"/>
  <c r="E54" i="24"/>
  <c r="E55" i="24"/>
  <c r="E56" i="24"/>
  <c r="E57" i="24"/>
  <c r="E58" i="24"/>
  <c r="E59" i="24"/>
  <c r="E60" i="24"/>
  <c r="E61" i="24"/>
  <c r="E62" i="24"/>
  <c r="E63" i="24"/>
  <c r="E64" i="24"/>
  <c r="E65" i="24"/>
  <c r="E66" i="24"/>
  <c r="E67" i="24"/>
  <c r="E68" i="24"/>
  <c r="E69" i="24"/>
  <c r="E70" i="24"/>
  <c r="E71" i="24"/>
  <c r="E72" i="24"/>
  <c r="E73" i="24"/>
  <c r="E74" i="24"/>
  <c r="E75" i="24"/>
  <c r="E76" i="24"/>
  <c r="E77" i="24"/>
  <c r="E78" i="24"/>
  <c r="E79" i="24"/>
  <c r="E80" i="24"/>
  <c r="E81" i="24"/>
  <c r="E82" i="24"/>
  <c r="E83" i="24"/>
  <c r="E84" i="24"/>
  <c r="E85" i="24"/>
  <c r="E86" i="24"/>
  <c r="E87" i="24"/>
  <c r="E88" i="24"/>
  <c r="E89" i="24"/>
  <c r="E90" i="24"/>
  <c r="E91" i="24"/>
  <c r="E92" i="24"/>
  <c r="E93" i="24"/>
  <c r="E94" i="24"/>
  <c r="E95" i="24"/>
  <c r="E96" i="24"/>
  <c r="E97" i="24"/>
  <c r="E98" i="24"/>
  <c r="E99" i="24"/>
  <c r="E100" i="24"/>
  <c r="E101" i="24"/>
  <c r="E102" i="24"/>
  <c r="E103" i="24"/>
  <c r="E104" i="24"/>
  <c r="E105" i="24"/>
  <c r="E106" i="24"/>
  <c r="E107" i="24"/>
  <c r="E108" i="24"/>
  <c r="E109" i="24"/>
  <c r="E110" i="24"/>
  <c r="E111" i="24"/>
  <c r="E112" i="24"/>
  <c r="E113" i="24"/>
  <c r="E114" i="24"/>
  <c r="E115" i="24"/>
  <c r="E116" i="24"/>
  <c r="E117" i="24"/>
  <c r="E118" i="24"/>
  <c r="E119" i="24"/>
  <c r="E120" i="24"/>
  <c r="E121" i="24"/>
  <c r="E122" i="24"/>
  <c r="E123" i="24"/>
  <c r="E124" i="24"/>
  <c r="E125" i="24"/>
  <c r="E126" i="24"/>
  <c r="E127" i="24"/>
  <c r="E128" i="24"/>
  <c r="E129" i="24"/>
  <c r="E130" i="24"/>
  <c r="E131" i="24"/>
  <c r="E132" i="24"/>
  <c r="E133" i="24"/>
  <c r="E134" i="24"/>
  <c r="E135" i="24"/>
  <c r="E136" i="24"/>
  <c r="E137" i="24"/>
  <c r="E138" i="24"/>
  <c r="E139" i="24"/>
  <c r="E140" i="24"/>
  <c r="E141" i="24"/>
  <c r="E142" i="24"/>
  <c r="E143" i="24"/>
  <c r="E144" i="24"/>
  <c r="E145" i="24"/>
  <c r="E146" i="24"/>
  <c r="E147" i="24"/>
  <c r="E148" i="24"/>
  <c r="E149" i="24"/>
  <c r="E150" i="24"/>
  <c r="E151" i="24"/>
  <c r="E152" i="24"/>
  <c r="E153" i="24"/>
  <c r="E154" i="24"/>
  <c r="E155" i="24"/>
  <c r="E156" i="24"/>
  <c r="E157" i="24"/>
  <c r="E158" i="24"/>
  <c r="E159" i="24"/>
  <c r="E160" i="24"/>
  <c r="E161" i="24"/>
  <c r="E162" i="24"/>
  <c r="E163" i="24"/>
  <c r="E164" i="24"/>
  <c r="E165" i="24"/>
  <c r="E166" i="24"/>
  <c r="E167" i="24"/>
  <c r="E168" i="24"/>
  <c r="E169" i="24"/>
  <c r="E170" i="24"/>
  <c r="E171" i="24"/>
  <c r="E172" i="24"/>
  <c r="E173" i="24"/>
  <c r="E174" i="24"/>
  <c r="E175" i="24"/>
  <c r="E176" i="24"/>
  <c r="E177" i="24"/>
  <c r="E178" i="24"/>
  <c r="E179" i="24"/>
  <c r="E180" i="24"/>
  <c r="E181" i="24"/>
  <c r="E182" i="24"/>
  <c r="E183" i="24"/>
  <c r="E184" i="24"/>
  <c r="E185" i="24"/>
  <c r="E186" i="24"/>
  <c r="E187" i="24"/>
  <c r="E188" i="24"/>
  <c r="E189" i="24"/>
  <c r="E190" i="24"/>
  <c r="E191" i="24"/>
  <c r="E192" i="24"/>
  <c r="E193" i="24"/>
  <c r="E194" i="24"/>
  <c r="E195" i="24"/>
  <c r="E196" i="24"/>
  <c r="E197" i="24"/>
  <c r="E198" i="24"/>
  <c r="E199" i="24"/>
  <c r="E200" i="24"/>
  <c r="E201" i="24"/>
  <c r="E202" i="24"/>
  <c r="E203" i="24"/>
  <c r="E204" i="24"/>
  <c r="E205" i="24"/>
  <c r="E206" i="24"/>
  <c r="E207" i="24"/>
  <c r="E208" i="24"/>
  <c r="E209" i="24"/>
  <c r="E210" i="24"/>
  <c r="E211" i="24"/>
  <c r="E212" i="24"/>
  <c r="E213" i="24"/>
  <c r="E214" i="24"/>
  <c r="E215" i="24"/>
  <c r="E216" i="24"/>
  <c r="E217" i="24"/>
  <c r="E218" i="24"/>
  <c r="E219" i="24"/>
  <c r="E220" i="24"/>
  <c r="E221" i="24"/>
  <c r="E222" i="24"/>
  <c r="E223" i="24"/>
  <c r="E224" i="24"/>
  <c r="E225" i="24"/>
  <c r="E226" i="24"/>
  <c r="E227" i="24"/>
  <c r="E228" i="24"/>
  <c r="E229" i="24"/>
  <c r="E230" i="24"/>
  <c r="E231" i="24"/>
  <c r="E232" i="24"/>
  <c r="E233" i="24"/>
  <c r="E234" i="24"/>
  <c r="E235" i="24"/>
  <c r="E236" i="24"/>
  <c r="E237" i="24"/>
  <c r="E238" i="24"/>
  <c r="E239" i="24"/>
  <c r="E240" i="24"/>
  <c r="E241" i="24"/>
  <c r="E242" i="24"/>
  <c r="E243" i="24"/>
  <c r="E244" i="24"/>
  <c r="E245" i="24"/>
  <c r="E246" i="24"/>
  <c r="E247" i="24"/>
  <c r="E248" i="24"/>
  <c r="E249" i="24"/>
  <c r="E250" i="24"/>
  <c r="E251" i="24"/>
  <c r="E252" i="24"/>
  <c r="E253" i="24"/>
  <c r="E254" i="24"/>
  <c r="E255" i="24"/>
  <c r="E256" i="24"/>
  <c r="E257" i="24"/>
  <c r="E258" i="24"/>
  <c r="E259" i="24"/>
  <c r="E260" i="24"/>
  <c r="E261" i="24"/>
  <c r="E262" i="24"/>
  <c r="E263" i="24"/>
  <c r="E264" i="24"/>
  <c r="E265" i="24"/>
  <c r="E266" i="24"/>
  <c r="E267" i="24"/>
  <c r="E268" i="24"/>
  <c r="E269" i="24"/>
  <c r="E270" i="24"/>
  <c r="E271" i="24"/>
  <c r="E272" i="24"/>
  <c r="E273" i="24"/>
  <c r="E274" i="24"/>
  <c r="E275" i="24"/>
  <c r="E276" i="24"/>
  <c r="E277" i="24"/>
  <c r="E278" i="24"/>
  <c r="E279" i="24"/>
  <c r="E280" i="24"/>
  <c r="E281" i="24"/>
  <c r="E282" i="24"/>
  <c r="E283" i="24"/>
  <c r="E284" i="24"/>
  <c r="E285" i="24"/>
  <c r="E286" i="24"/>
  <c r="E287" i="24"/>
  <c r="E288" i="24"/>
  <c r="E289" i="24"/>
  <c r="E290" i="24"/>
  <c r="E291" i="24"/>
  <c r="E292" i="24"/>
  <c r="E293" i="24"/>
  <c r="E294" i="24"/>
  <c r="E295" i="24"/>
  <c r="E296" i="24"/>
  <c r="E297" i="24"/>
  <c r="E298" i="24"/>
  <c r="E299" i="24"/>
  <c r="E300" i="24"/>
  <c r="E301" i="24"/>
  <c r="E302" i="24"/>
  <c r="E303" i="24"/>
  <c r="E304" i="24"/>
  <c r="E305" i="24"/>
  <c r="E306" i="24"/>
  <c r="AB42" i="23"/>
  <c r="AB41" i="23"/>
  <c r="AB40" i="23"/>
  <c r="AB39" i="23"/>
  <c r="L81" i="16" s="1"/>
  <c r="AB38" i="23"/>
  <c r="L77" i="16" s="1"/>
  <c r="AB27" i="23"/>
  <c r="AB26" i="23"/>
  <c r="AB25" i="23"/>
  <c r="AB24" i="23"/>
  <c r="AB23" i="23"/>
  <c r="X42" i="23"/>
  <c r="X41" i="23"/>
  <c r="X40" i="23"/>
  <c r="X39" i="23"/>
  <c r="K81" i="16" s="1"/>
  <c r="X38" i="23"/>
  <c r="K77" i="16" s="1"/>
  <c r="K86" i="16" s="1"/>
  <c r="X27" i="23"/>
  <c r="X26" i="23"/>
  <c r="X25" i="23"/>
  <c r="X24" i="23"/>
  <c r="X23" i="23"/>
  <c r="T42" i="23"/>
  <c r="T41" i="23"/>
  <c r="T40" i="23"/>
  <c r="T39" i="23"/>
  <c r="J81" i="16" s="1"/>
  <c r="J86" i="16" s="1"/>
  <c r="T38" i="23"/>
  <c r="J77" i="16" s="1"/>
  <c r="T27" i="23"/>
  <c r="T26" i="23"/>
  <c r="T25" i="23"/>
  <c r="T24" i="23"/>
  <c r="T23" i="23"/>
  <c r="P42" i="23"/>
  <c r="P41" i="23"/>
  <c r="P40" i="23"/>
  <c r="P39" i="23"/>
  <c r="I81" i="16" s="1"/>
  <c r="P38" i="23"/>
  <c r="I77" i="16" s="1"/>
  <c r="P27" i="23"/>
  <c r="P26" i="23"/>
  <c r="P25" i="23"/>
  <c r="P24" i="23"/>
  <c r="P23" i="23"/>
  <c r="L42" i="23"/>
  <c r="L41" i="23"/>
  <c r="L40" i="23"/>
  <c r="L39" i="23"/>
  <c r="H81" i="16" s="1"/>
  <c r="L38" i="23"/>
  <c r="H77" i="16" s="1"/>
  <c r="H86" i="16" s="1"/>
  <c r="L27" i="23"/>
  <c r="L26" i="23"/>
  <c r="L25" i="23"/>
  <c r="L24" i="23"/>
  <c r="L23" i="23"/>
  <c r="H42" i="23"/>
  <c r="H41" i="23"/>
  <c r="H40" i="23"/>
  <c r="H39" i="23"/>
  <c r="H38" i="23"/>
  <c r="H27" i="23"/>
  <c r="H26" i="23"/>
  <c r="H25" i="23"/>
  <c r="H24" i="23"/>
  <c r="H23" i="23"/>
  <c r="H37" i="23"/>
  <c r="L37" i="23"/>
  <c r="H63" i="16" s="1"/>
  <c r="P37" i="23"/>
  <c r="I63" i="16" s="1"/>
  <c r="T37" i="23"/>
  <c r="J63" i="16" s="1"/>
  <c r="X37" i="23"/>
  <c r="K63" i="16" s="1"/>
  <c r="AB37" i="23"/>
  <c r="L63" i="16" s="1"/>
  <c r="AB22" i="23"/>
  <c r="X22" i="23"/>
  <c r="T22" i="23"/>
  <c r="P22" i="23"/>
  <c r="L22" i="23"/>
  <c r="H22" i="23"/>
  <c r="S102" i="21"/>
  <c r="G167" i="16"/>
  <c r="S101" i="21"/>
  <c r="G165" i="16" s="1"/>
  <c r="S100" i="21"/>
  <c r="G164" i="16"/>
  <c r="S89" i="21"/>
  <c r="G152" i="16" s="1"/>
  <c r="S88" i="21"/>
  <c r="G151" i="16" s="1"/>
  <c r="S87" i="21"/>
  <c r="G150" i="16" s="1"/>
  <c r="S86" i="21"/>
  <c r="G149" i="16" s="1"/>
  <c r="S85" i="21"/>
  <c r="G148" i="16" s="1"/>
  <c r="S84" i="21"/>
  <c r="G147" i="16"/>
  <c r="S83" i="21"/>
  <c r="G146" i="16" s="1"/>
  <c r="S82" i="21"/>
  <c r="G145" i="16"/>
  <c r="S81" i="21"/>
  <c r="G144" i="16"/>
  <c r="S80" i="21"/>
  <c r="G143" i="16" s="1"/>
  <c r="S75" i="21"/>
  <c r="G138" i="16" s="1"/>
  <c r="S74" i="21"/>
  <c r="G137" i="16"/>
  <c r="S73" i="21"/>
  <c r="G136" i="16" s="1"/>
  <c r="S72" i="21"/>
  <c r="G135" i="16" s="1"/>
  <c r="S71" i="21"/>
  <c r="G134" i="16" s="1"/>
  <c r="S70" i="21"/>
  <c r="G133" i="16" s="1"/>
  <c r="S69" i="21"/>
  <c r="G132" i="16"/>
  <c r="S68" i="21"/>
  <c r="G131" i="16"/>
  <c r="S67" i="21"/>
  <c r="G130" i="16" s="1"/>
  <c r="S66" i="21"/>
  <c r="G129" i="16"/>
  <c r="S65" i="21"/>
  <c r="G128" i="16"/>
  <c r="S64" i="21"/>
  <c r="G127" i="16" s="1"/>
  <c r="S63" i="21"/>
  <c r="G126" i="16" s="1"/>
  <c r="S62" i="21"/>
  <c r="G125" i="16" s="1"/>
  <c r="S57" i="21"/>
  <c r="G120" i="16" s="1"/>
  <c r="S56" i="21"/>
  <c r="G119" i="16"/>
  <c r="S50" i="21"/>
  <c r="G113" i="16" s="1"/>
  <c r="S45" i="21"/>
  <c r="G108" i="16" s="1"/>
  <c r="S44" i="21"/>
  <c r="G107" i="16"/>
  <c r="S43" i="21"/>
  <c r="G106" i="16"/>
  <c r="S42" i="21"/>
  <c r="G105" i="16" s="1"/>
  <c r="S41" i="21"/>
  <c r="G104" i="16"/>
  <c r="S40" i="21"/>
  <c r="G103" i="16" s="1"/>
  <c r="S39" i="21"/>
  <c r="G102" i="16" s="1"/>
  <c r="S38" i="21"/>
  <c r="G101" i="16" s="1"/>
  <c r="S33" i="21"/>
  <c r="G96" i="16" s="1"/>
  <c r="S23" i="21"/>
  <c r="G49" i="16" s="1"/>
  <c r="S22" i="21"/>
  <c r="G46" i="16"/>
  <c r="G41" i="16"/>
  <c r="I160" i="16"/>
  <c r="H160" i="16"/>
  <c r="K122" i="16"/>
  <c r="J122" i="16"/>
  <c r="I122" i="16"/>
  <c r="H122" i="16"/>
  <c r="I86" i="16"/>
  <c r="L52" i="16"/>
  <c r="K52" i="16"/>
  <c r="J52" i="16"/>
  <c r="I52" i="16"/>
  <c r="H52" i="16"/>
  <c r="R104" i="21"/>
  <c r="Q104" i="21"/>
  <c r="P104" i="21"/>
  <c r="O104" i="21"/>
  <c r="N104" i="21"/>
  <c r="M104" i="21"/>
  <c r="R77" i="21"/>
  <c r="Q77" i="21"/>
  <c r="P77" i="21"/>
  <c r="O77" i="21"/>
  <c r="N77" i="21"/>
  <c r="M77" i="21"/>
  <c r="R59" i="21"/>
  <c r="Q59" i="21"/>
  <c r="P59" i="21"/>
  <c r="O59" i="21"/>
  <c r="N59" i="21"/>
  <c r="M59" i="21"/>
  <c r="R47" i="21"/>
  <c r="Q47" i="21"/>
  <c r="Q106" i="21" s="1"/>
  <c r="P47" i="21"/>
  <c r="O47" i="21"/>
  <c r="N47" i="21"/>
  <c r="N106" i="21" s="1"/>
  <c r="M47" i="21"/>
  <c r="R35" i="21"/>
  <c r="Q35" i="21"/>
  <c r="P35" i="21"/>
  <c r="O35" i="21"/>
  <c r="O106" i="21" s="1"/>
  <c r="N35" i="21"/>
  <c r="M35" i="21"/>
  <c r="R19" i="21"/>
  <c r="R28" i="21" s="1"/>
  <c r="R26" i="21"/>
  <c r="Q19" i="21"/>
  <c r="Q28" i="21" s="1"/>
  <c r="P19" i="21"/>
  <c r="P26" i="21"/>
  <c r="O19" i="21"/>
  <c r="O28" i="21" s="1"/>
  <c r="O108" i="21" s="1"/>
  <c r="O26" i="21"/>
  <c r="N19" i="21"/>
  <c r="N28" i="21" s="1"/>
  <c r="N26" i="21"/>
  <c r="M19" i="21"/>
  <c r="M26" i="21"/>
  <c r="L19" i="21"/>
  <c r="L26" i="21"/>
  <c r="K19" i="21"/>
  <c r="K26" i="21"/>
  <c r="K28" i="21"/>
  <c r="J19" i="21"/>
  <c r="J26" i="21"/>
  <c r="I19" i="21"/>
  <c r="I28" i="21" s="1"/>
  <c r="I108" i="21" s="1"/>
  <c r="H19" i="21"/>
  <c r="H28" i="21" s="1"/>
  <c r="H26" i="21"/>
  <c r="G19" i="21"/>
  <c r="L35" i="21"/>
  <c r="L106" i="21" s="1"/>
  <c r="K35" i="21"/>
  <c r="J35" i="21"/>
  <c r="I35" i="21"/>
  <c r="I106" i="21" s="1"/>
  <c r="H35" i="21"/>
  <c r="G35" i="21"/>
  <c r="L47" i="21"/>
  <c r="K47" i="21"/>
  <c r="K106" i="21" s="1"/>
  <c r="J47" i="21"/>
  <c r="I47" i="21"/>
  <c r="H47" i="21"/>
  <c r="G47" i="21"/>
  <c r="L53" i="21"/>
  <c r="K53" i="21"/>
  <c r="J53" i="21"/>
  <c r="I53" i="21"/>
  <c r="H53" i="21"/>
  <c r="G53" i="21"/>
  <c r="L59" i="21"/>
  <c r="K59" i="21"/>
  <c r="J59" i="21"/>
  <c r="I59" i="21"/>
  <c r="H59" i="21"/>
  <c r="G59" i="21"/>
  <c r="L77" i="21"/>
  <c r="K77" i="21"/>
  <c r="J77" i="21"/>
  <c r="I77" i="21"/>
  <c r="H77" i="21"/>
  <c r="G77" i="21"/>
  <c r="L104" i="21"/>
  <c r="K104" i="21"/>
  <c r="J104" i="21"/>
  <c r="I104" i="21"/>
  <c r="H104" i="21"/>
  <c r="G104" i="21"/>
  <c r="E5" i="16"/>
  <c r="E4" i="16"/>
  <c r="F4" i="23"/>
  <c r="F3" i="23"/>
  <c r="F7" i="1"/>
  <c r="F6" i="1"/>
  <c r="AB47" i="23"/>
  <c r="AB46" i="23"/>
  <c r="AB45" i="23"/>
  <c r="AB44" i="23"/>
  <c r="AB43" i="23"/>
  <c r="AB36" i="23"/>
  <c r="AB35" i="23"/>
  <c r="X47" i="23"/>
  <c r="X46" i="23"/>
  <c r="X45" i="23"/>
  <c r="X44" i="23"/>
  <c r="X43" i="23"/>
  <c r="X36" i="23"/>
  <c r="X35" i="23"/>
  <c r="T47" i="23"/>
  <c r="T46" i="23"/>
  <c r="T45" i="23"/>
  <c r="T44" i="23"/>
  <c r="T43" i="23"/>
  <c r="T36" i="23"/>
  <c r="T35" i="23"/>
  <c r="T33" i="23"/>
  <c r="P47" i="23"/>
  <c r="P46" i="23"/>
  <c r="P45" i="23"/>
  <c r="P44" i="23"/>
  <c r="P43" i="23"/>
  <c r="P36" i="23"/>
  <c r="P35" i="23"/>
  <c r="P34" i="23"/>
  <c r="I62" i="16" s="1"/>
  <c r="P33" i="23"/>
  <c r="I61" i="16"/>
  <c r="L47" i="23"/>
  <c r="L46" i="23"/>
  <c r="L45" i="23"/>
  <c r="L44" i="23"/>
  <c r="L43" i="23"/>
  <c r="L36" i="23"/>
  <c r="L35" i="23"/>
  <c r="L34" i="23"/>
  <c r="H62" i="16"/>
  <c r="L33" i="23"/>
  <c r="AB29" i="23"/>
  <c r="AB28" i="23"/>
  <c r="AB21" i="23"/>
  <c r="AB20" i="23"/>
  <c r="AB19" i="23"/>
  <c r="X29" i="23"/>
  <c r="X28" i="23"/>
  <c r="X21" i="23"/>
  <c r="X20" i="23"/>
  <c r="X19" i="23"/>
  <c r="T29" i="23"/>
  <c r="T28" i="23"/>
  <c r="T21" i="23"/>
  <c r="T20" i="23"/>
  <c r="T19" i="23"/>
  <c r="P29" i="23"/>
  <c r="P28" i="23"/>
  <c r="P21" i="23"/>
  <c r="P20" i="23"/>
  <c r="P19" i="23"/>
  <c r="P18" i="23"/>
  <c r="I69" i="16" s="1"/>
  <c r="P17" i="23"/>
  <c r="P16" i="23"/>
  <c r="I70" i="16"/>
  <c r="P15" i="23"/>
  <c r="L29" i="23"/>
  <c r="L28" i="23"/>
  <c r="L21" i="23"/>
  <c r="L20" i="23"/>
  <c r="L19" i="23"/>
  <c r="L18" i="23"/>
  <c r="H69" i="16"/>
  <c r="L17" i="23"/>
  <c r="L16" i="23"/>
  <c r="H70" i="16" s="1"/>
  <c r="L15" i="23"/>
  <c r="Z48" i="23"/>
  <c r="AB68" i="23" s="1"/>
  <c r="V48" i="23"/>
  <c r="X68" i="23" s="1"/>
  <c r="R48" i="23"/>
  <c r="T68" i="23" s="1"/>
  <c r="N48" i="23"/>
  <c r="J48" i="23"/>
  <c r="L68" i="23" s="1"/>
  <c r="F48" i="23"/>
  <c r="H47" i="23"/>
  <c r="H46" i="23"/>
  <c r="H45" i="23"/>
  <c r="H44" i="23"/>
  <c r="H43" i="23"/>
  <c r="H36" i="23"/>
  <c r="H35" i="23"/>
  <c r="H34" i="23"/>
  <c r="H33" i="23"/>
  <c r="H29" i="23"/>
  <c r="H28" i="23"/>
  <c r="H21" i="23"/>
  <c r="H20" i="23"/>
  <c r="H19" i="23"/>
  <c r="H18" i="23"/>
  <c r="H17" i="23"/>
  <c r="H16" i="23"/>
  <c r="H15" i="23"/>
  <c r="L122" i="16"/>
  <c r="L86" i="16"/>
  <c r="Z30" i="23"/>
  <c r="L94" i="16"/>
  <c r="V30" i="23"/>
  <c r="R30" i="23"/>
  <c r="N30" i="23"/>
  <c r="J30" i="23"/>
  <c r="F30" i="23"/>
  <c r="H52" i="23" s="1"/>
  <c r="I26" i="21"/>
  <c r="S24" i="21"/>
  <c r="G50" i="16" s="1"/>
  <c r="G26" i="21"/>
  <c r="G28" i="21" s="1"/>
  <c r="Q26" i="21"/>
  <c r="M53" i="21"/>
  <c r="Q53" i="21"/>
  <c r="S51" i="21"/>
  <c r="G114" i="16" s="1"/>
  <c r="R53" i="21"/>
  <c r="P53" i="21"/>
  <c r="O53" i="21"/>
  <c r="N53" i="21"/>
  <c r="H94" i="16"/>
  <c r="J94" i="16"/>
  <c r="K94" i="16"/>
  <c r="I94" i="16"/>
  <c r="G43" i="1"/>
  <c r="I40" i="16"/>
  <c r="I39" i="16"/>
  <c r="I105" i="16"/>
  <c r="I108" i="16"/>
  <c r="I113" i="16"/>
  <c r="I116" i="16" s="1"/>
  <c r="I107" i="16"/>
  <c r="I38" i="16"/>
  <c r="I36" i="16"/>
  <c r="I37" i="16"/>
  <c r="I22" i="16"/>
  <c r="I26" i="16"/>
  <c r="H63" i="23"/>
  <c r="J40" i="16"/>
  <c r="J39" i="16"/>
  <c r="J105" i="16"/>
  <c r="J113" i="16"/>
  <c r="J116" i="16"/>
  <c r="J36" i="16"/>
  <c r="J38" i="16"/>
  <c r="J26" i="16"/>
  <c r="J37" i="16"/>
  <c r="J22" i="16"/>
  <c r="H41" i="1"/>
  <c r="K17" i="16" s="1"/>
  <c r="K40" i="16"/>
  <c r="K101" i="16"/>
  <c r="K103" i="16"/>
  <c r="K105" i="16"/>
  <c r="K36" i="16"/>
  <c r="K26" i="16"/>
  <c r="J61" i="16"/>
  <c r="I41" i="1"/>
  <c r="L163" i="16" s="1"/>
  <c r="L39" i="16"/>
  <c r="L40" i="16"/>
  <c r="L107" i="16"/>
  <c r="L103" i="16"/>
  <c r="L101" i="16"/>
  <c r="L113" i="16"/>
  <c r="L116" i="16"/>
  <c r="L105" i="16"/>
  <c r="L36" i="16"/>
  <c r="L43" i="16" s="1"/>
  <c r="L38" i="16"/>
  <c r="L37" i="16"/>
  <c r="L26" i="16"/>
  <c r="L22" i="16"/>
  <c r="S77" i="21"/>
  <c r="M28" i="21"/>
  <c r="H39" i="16"/>
  <c r="H101" i="16"/>
  <c r="H103" i="16"/>
  <c r="H38" i="16"/>
  <c r="K18" i="16"/>
  <c r="L18" i="16"/>
  <c r="J28" i="21"/>
  <c r="J18" i="16"/>
  <c r="T67" i="23"/>
  <c r="L67" i="23"/>
  <c r="AB67" i="23"/>
  <c r="AB53" i="23"/>
  <c r="L93" i="16" s="1"/>
  <c r="G41" i="1"/>
  <c r="J17" i="16" s="1"/>
  <c r="J31" i="16" s="1"/>
  <c r="K108" i="21" l="1"/>
  <c r="T15" i="23"/>
  <c r="J68" i="16" s="1"/>
  <c r="W15" i="23"/>
  <c r="N108" i="21"/>
  <c r="W17" i="23"/>
  <c r="T17" i="23"/>
  <c r="J43" i="16"/>
  <c r="I110" i="16"/>
  <c r="J54" i="16"/>
  <c r="K43" i="16"/>
  <c r="S104" i="21"/>
  <c r="G106" i="21"/>
  <c r="G108" i="21" s="1"/>
  <c r="L28" i="21"/>
  <c r="L108" i="21" s="1"/>
  <c r="P28" i="21"/>
  <c r="P108" i="21" s="1"/>
  <c r="I18" i="16"/>
  <c r="I31" i="16" s="1"/>
  <c r="I54" i="16" s="1"/>
  <c r="K107" i="16"/>
  <c r="K31" i="16"/>
  <c r="P30" i="23"/>
  <c r="H30" i="23"/>
  <c r="L17" i="16"/>
  <c r="L31" i="16" s="1"/>
  <c r="L54" i="16" s="1"/>
  <c r="H22" i="16"/>
  <c r="J106" i="21"/>
  <c r="J108" i="21" s="1"/>
  <c r="S35" i="21"/>
  <c r="G98" i="16" s="1"/>
  <c r="E41" i="1"/>
  <c r="H17" i="16" s="1"/>
  <c r="H31" i="16" s="1"/>
  <c r="H54" i="16" s="1"/>
  <c r="H26" i="16"/>
  <c r="H105" i="16"/>
  <c r="H110" i="16" s="1"/>
  <c r="K22" i="16"/>
  <c r="S47" i="21"/>
  <c r="S53" i="21"/>
  <c r="H53" i="23"/>
  <c r="I65" i="16"/>
  <c r="H113" i="16"/>
  <c r="H116" i="16" s="1"/>
  <c r="H48" i="23"/>
  <c r="H55" i="23" s="1"/>
  <c r="H106" i="21"/>
  <c r="Q108" i="21"/>
  <c r="G122" i="16"/>
  <c r="P67" i="23"/>
  <c r="X67" i="23"/>
  <c r="J163" i="16"/>
  <c r="J169" i="16" s="1"/>
  <c r="H37" i="16"/>
  <c r="H43" i="16" s="1"/>
  <c r="K37" i="16"/>
  <c r="K113" i="16"/>
  <c r="K116" i="16" s="1"/>
  <c r="I43" i="16"/>
  <c r="S26" i="21"/>
  <c r="H68" i="16"/>
  <c r="H73" i="16" s="1"/>
  <c r="I68" i="16"/>
  <c r="M106" i="21"/>
  <c r="M108" i="21" s="1"/>
  <c r="J107" i="16"/>
  <c r="J135" i="16"/>
  <c r="J140" i="16" s="1"/>
  <c r="S97" i="21"/>
  <c r="H18" i="16"/>
  <c r="H36" i="16"/>
  <c r="H40" i="16"/>
  <c r="K38" i="16"/>
  <c r="K39" i="16"/>
  <c r="G52" i="16"/>
  <c r="G54" i="16" s="1"/>
  <c r="P68" i="23"/>
  <c r="S59" i="21"/>
  <c r="S19" i="21"/>
  <c r="P106" i="21"/>
  <c r="R106" i="21"/>
  <c r="S106" i="21" s="1"/>
  <c r="I140" i="16"/>
  <c r="AB52" i="23"/>
  <c r="L92" i="16" s="1"/>
  <c r="AB63" i="23"/>
  <c r="X53" i="23"/>
  <c r="K93" i="16" s="1"/>
  <c r="T53" i="23"/>
  <c r="J93" i="16" s="1"/>
  <c r="P63" i="23"/>
  <c r="P48" i="23"/>
  <c r="L52" i="23"/>
  <c r="H92" i="16" s="1"/>
  <c r="L53" i="23"/>
  <c r="H93" i="16" s="1"/>
  <c r="L63" i="23"/>
  <c r="L48" i="23"/>
  <c r="L169" i="16"/>
  <c r="H108" i="21"/>
  <c r="S28" i="21"/>
  <c r="G169" i="16"/>
  <c r="L140" i="16"/>
  <c r="K140" i="16"/>
  <c r="I88" i="16"/>
  <c r="G116" i="16"/>
  <c r="I73" i="16"/>
  <c r="R108" i="21"/>
  <c r="W18" i="23"/>
  <c r="T18" i="23"/>
  <c r="J69" i="16" s="1"/>
  <c r="G110" i="16"/>
  <c r="G171" i="16" s="1"/>
  <c r="G173" i="16" s="1"/>
  <c r="X17" i="23"/>
  <c r="AA17" i="23"/>
  <c r="AB17" i="23" s="1"/>
  <c r="AA33" i="23"/>
  <c r="AB33" i="23" s="1"/>
  <c r="X33" i="23"/>
  <c r="W16" i="23"/>
  <c r="T16" i="23"/>
  <c r="L150" i="16"/>
  <c r="L160" i="16" s="1"/>
  <c r="K160" i="16"/>
  <c r="G140" i="16"/>
  <c r="G160" i="16"/>
  <c r="W34" i="23"/>
  <c r="T34" i="23"/>
  <c r="H56" i="23"/>
  <c r="P53" i="23"/>
  <c r="I93" i="16" s="1"/>
  <c r="X63" i="23"/>
  <c r="T52" i="23"/>
  <c r="L30" i="23"/>
  <c r="J160" i="16"/>
  <c r="H163" i="16"/>
  <c r="P52" i="23"/>
  <c r="I163" i="16"/>
  <c r="T63" i="23"/>
  <c r="K163" i="16"/>
  <c r="K169" i="16" s="1"/>
  <c r="H61" i="16"/>
  <c r="H65" i="16" s="1"/>
  <c r="J108" i="16"/>
  <c r="K108" i="16" s="1"/>
  <c r="L108" i="16" s="1"/>
  <c r="L110" i="16" s="1"/>
  <c r="F43" i="1"/>
  <c r="X52" i="23"/>
  <c r="S108" i="21" l="1"/>
  <c r="L68" i="16"/>
  <c r="P55" i="23"/>
  <c r="H54" i="23"/>
  <c r="H65" i="23" s="1"/>
  <c r="AA15" i="23"/>
  <c r="AB15" i="23" s="1"/>
  <c r="X15" i="23"/>
  <c r="K68" i="16" s="1"/>
  <c r="H64" i="23"/>
  <c r="E45" i="1"/>
  <c r="K54" i="16"/>
  <c r="P64" i="23"/>
  <c r="I89" i="16" s="1"/>
  <c r="P54" i="23"/>
  <c r="P56" i="23"/>
  <c r="I92" i="16"/>
  <c r="X16" i="23"/>
  <c r="AA16" i="23"/>
  <c r="AB16" i="23" s="1"/>
  <c r="AA18" i="23"/>
  <c r="AB18" i="23" s="1"/>
  <c r="L69" i="16" s="1"/>
  <c r="X18" i="23"/>
  <c r="K69" i="16" s="1"/>
  <c r="I91" i="16"/>
  <c r="J70" i="16"/>
  <c r="J73" i="16" s="1"/>
  <c r="T30" i="23"/>
  <c r="K61" i="16"/>
  <c r="L61" i="16"/>
  <c r="AA34" i="23"/>
  <c r="AB34" i="23" s="1"/>
  <c r="L62" i="16" s="1"/>
  <c r="X34" i="23"/>
  <c r="K62" i="16" s="1"/>
  <c r="H169" i="16"/>
  <c r="J110" i="16"/>
  <c r="H88" i="16"/>
  <c r="L55" i="23"/>
  <c r="L54" i="23"/>
  <c r="L56" i="23"/>
  <c r="L64" i="23"/>
  <c r="H66" i="23"/>
  <c r="G99" i="16" s="1"/>
  <c r="K110" i="16"/>
  <c r="T48" i="23"/>
  <c r="J62" i="16"/>
  <c r="J65" i="16" s="1"/>
  <c r="J92" i="16"/>
  <c r="K92" i="16"/>
  <c r="I169" i="16"/>
  <c r="X48" i="23" l="1"/>
  <c r="P65" i="23"/>
  <c r="P66" i="23" s="1"/>
  <c r="I96" i="16"/>
  <c r="I98" i="16" s="1"/>
  <c r="I99" i="16" s="1"/>
  <c r="L65" i="23"/>
  <c r="L66" i="23" s="1"/>
  <c r="L70" i="16"/>
  <c r="L73" i="16" s="1"/>
  <c r="AB30" i="23"/>
  <c r="X30" i="23"/>
  <c r="K70" i="16"/>
  <c r="K73" i="16" s="1"/>
  <c r="L65" i="16"/>
  <c r="AB48" i="23"/>
  <c r="T64" i="23"/>
  <c r="T54" i="23"/>
  <c r="T55" i="23"/>
  <c r="T56" i="23"/>
  <c r="J88" i="16"/>
  <c r="H89" i="16"/>
  <c r="H91" i="16"/>
  <c r="H96" i="16" s="1"/>
  <c r="H98" i="16" s="1"/>
  <c r="K65" i="16"/>
  <c r="I171" i="16" l="1"/>
  <c r="I173" i="16" s="1"/>
  <c r="H171" i="16"/>
  <c r="H173" i="16" s="1"/>
  <c r="H99" i="16"/>
  <c r="X64" i="23"/>
  <c r="X54" i="23"/>
  <c r="X55" i="23"/>
  <c r="X56" i="23"/>
  <c r="T65" i="23"/>
  <c r="T66" i="23" s="1"/>
  <c r="AB55" i="23"/>
  <c r="AB64" i="23"/>
  <c r="AB54" i="23"/>
  <c r="AB56" i="23"/>
  <c r="J89" i="16"/>
  <c r="J91" i="16"/>
  <c r="J96" i="16" s="1"/>
  <c r="J98" i="16" s="1"/>
  <c r="K88" i="16"/>
  <c r="L88" i="16"/>
  <c r="AB65" i="23" l="1"/>
  <c r="X65" i="23"/>
  <c r="X66" i="23" s="1"/>
  <c r="J171" i="16"/>
  <c r="J173" i="16" s="1"/>
  <c r="J99" i="16"/>
  <c r="K89" i="16"/>
  <c r="N89" i="16" s="1"/>
  <c r="K91" i="16"/>
  <c r="K96" i="16" s="1"/>
  <c r="K98" i="16" s="1"/>
  <c r="L89" i="16"/>
  <c r="L91" i="16"/>
  <c r="L96" i="16" s="1"/>
  <c r="L98" i="16" s="1"/>
  <c r="AB66" i="23"/>
  <c r="L99" i="16" l="1"/>
  <c r="L171" i="16"/>
  <c r="L173" i="16" s="1"/>
  <c r="K171" i="16"/>
  <c r="K173" i="16" s="1"/>
  <c r="K99" i="16"/>
  <c r="N9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flackjo</author>
  </authors>
  <commentList>
    <comment ref="D16" authorId="0" shapeId="0" xr:uid="{00000000-0006-0000-0500-000001000000}">
      <text>
        <r>
          <rPr>
            <sz val="9"/>
            <color indexed="81"/>
            <rFont val="Tahoma"/>
            <family val="2"/>
          </rPr>
          <t>2009 = 2009-10</t>
        </r>
      </text>
    </comment>
  </commentList>
</comments>
</file>

<file path=xl/sharedStrings.xml><?xml version="1.0" encoding="utf-8"?>
<sst xmlns="http://schemas.openxmlformats.org/spreadsheetml/2006/main" count="761" uniqueCount="601">
  <si>
    <t>Title I</t>
  </si>
  <si>
    <t>Title II</t>
  </si>
  <si>
    <t xml:space="preserve"> </t>
  </si>
  <si>
    <t>Textbooks</t>
  </si>
  <si>
    <t>Legal Services</t>
  </si>
  <si>
    <t>Payroll Services</t>
  </si>
  <si>
    <t>Travel</t>
  </si>
  <si>
    <t>Year 1</t>
  </si>
  <si>
    <t>Year 2</t>
  </si>
  <si>
    <t>Year 3</t>
  </si>
  <si>
    <t>Year 4</t>
  </si>
  <si>
    <t>Year 5</t>
  </si>
  <si>
    <t>Year 0</t>
  </si>
  <si>
    <t>Professional Development</t>
  </si>
  <si>
    <t>Personnel Expenses</t>
  </si>
  <si>
    <t>Federal Lunch Program</t>
  </si>
  <si>
    <t>Federal Breakfast Reimbursement</t>
  </si>
  <si>
    <t>State Matching Funds for School Lunch Program</t>
  </si>
  <si>
    <t>Textbook Reimbursement</t>
  </si>
  <si>
    <t>Interest Income</t>
  </si>
  <si>
    <t>REVENUES</t>
  </si>
  <si>
    <t>Formative Assessment Grant</t>
  </si>
  <si>
    <t>IDEA- Part B Grant (Special Education)</t>
  </si>
  <si>
    <t>Contributions and Donations from Private Sources</t>
  </si>
  <si>
    <t>Other Fees</t>
  </si>
  <si>
    <t>Other Revenue (please describe)</t>
  </si>
  <si>
    <t>EXPENSES</t>
  </si>
  <si>
    <t>Business Manager/Director of Finance</t>
  </si>
  <si>
    <t>Total Administrative Staff:</t>
  </si>
  <si>
    <t>Teachers - Special Education</t>
  </si>
  <si>
    <t>Substitutes, Assistants, Paraprofessionals, Aides</t>
  </si>
  <si>
    <t>Summer School Staff</t>
  </si>
  <si>
    <t>Total Instructional Staff:</t>
  </si>
  <si>
    <t>Non-Instructional/Support Staff - See Footnotes</t>
  </si>
  <si>
    <t>Librarian</t>
  </si>
  <si>
    <t>Athletic Coaches</t>
  </si>
  <si>
    <t>Total Non-Instructional/Support Staff:</t>
  </si>
  <si>
    <t>Subtotal Wages and Salaries:</t>
  </si>
  <si>
    <t>Total Payroll Taxes and Benefits:</t>
  </si>
  <si>
    <t>Total Personnel Expenses:</t>
  </si>
  <si>
    <t>Library/Media Services (Other than Staff)</t>
  </si>
  <si>
    <t>Student Assessment</t>
  </si>
  <si>
    <t>Instructional Software</t>
  </si>
  <si>
    <t>Total Instructional Supplies and Resources:</t>
  </si>
  <si>
    <t>Governing Board Expenses</t>
  </si>
  <si>
    <t>Audit Services</t>
  </si>
  <si>
    <t>Financial Accounting</t>
  </si>
  <si>
    <t>Printing, Publishing, Duplicating Services</t>
  </si>
  <si>
    <t>Special Education Administration</t>
  </si>
  <si>
    <t>Food Services</t>
  </si>
  <si>
    <t>Water &amp; Sewage</t>
  </si>
  <si>
    <t>Waste Disposal</t>
  </si>
  <si>
    <t>Total Facilities Expenses:</t>
  </si>
  <si>
    <t>Bank Fees</t>
  </si>
  <si>
    <t>Depreciation Expense</t>
  </si>
  <si>
    <t>Total Other Expenses:</t>
  </si>
  <si>
    <t>TOTAL EXPENSES:</t>
  </si>
  <si>
    <t>Footnotes:</t>
  </si>
  <si>
    <t>INSTRUCTIONAL STAFF</t>
  </si>
  <si>
    <t>ADMIN &amp; SUPPORT</t>
  </si>
  <si>
    <t>Total Staff</t>
  </si>
  <si>
    <t>Student/teacher ratio</t>
  </si>
  <si>
    <t>Student/staff ratio</t>
  </si>
  <si>
    <t>June</t>
  </si>
  <si>
    <t>July</t>
  </si>
  <si>
    <t>August</t>
  </si>
  <si>
    <t>September</t>
  </si>
  <si>
    <t>October</t>
  </si>
  <si>
    <t>November</t>
  </si>
  <si>
    <t>December</t>
  </si>
  <si>
    <t>January</t>
  </si>
  <si>
    <t>February</t>
  </si>
  <si>
    <t>March</t>
  </si>
  <si>
    <t>April</t>
  </si>
  <si>
    <t>May</t>
  </si>
  <si>
    <t>1. Instructions</t>
  </si>
  <si>
    <t>2. Enrollment Projection</t>
  </si>
  <si>
    <t>3. Staffing Plan</t>
  </si>
  <si>
    <t>4. Year 0 - Budget and Cash Flow</t>
  </si>
  <si>
    <t>5. 5-Year Budget</t>
  </si>
  <si>
    <t>Notes:</t>
  </si>
  <si>
    <t>School Name:</t>
  </si>
  <si>
    <t>Planned Opening Year:</t>
  </si>
  <si>
    <t>Planned Opening School Year (YYYY):</t>
  </si>
  <si>
    <t>School Enrollment Projections</t>
  </si>
  <si>
    <t>(must align with Charter Application Enrollment Plan)</t>
  </si>
  <si>
    <t>Kindergarten</t>
  </si>
  <si>
    <t>Grade 1</t>
  </si>
  <si>
    <t>Grade 2</t>
  </si>
  <si>
    <t>Grade 3</t>
  </si>
  <si>
    <t>Grade 4</t>
  </si>
  <si>
    <t>Grade 5</t>
  </si>
  <si>
    <t>Grade 6</t>
  </si>
  <si>
    <t>Grade 7</t>
  </si>
  <si>
    <t>Grade 8</t>
  </si>
  <si>
    <t>Grade 9</t>
  </si>
  <si>
    <t>Grade 10</t>
  </si>
  <si>
    <t>Grade 11</t>
  </si>
  <si>
    <t>Grade 12</t>
  </si>
  <si>
    <t>Name of Proposed Charter School:</t>
  </si>
  <si>
    <t>Number</t>
  </si>
  <si>
    <t>Average Salary</t>
  </si>
  <si>
    <t>Total Expense</t>
  </si>
  <si>
    <t>Medicare</t>
  </si>
  <si>
    <t>Unemployment</t>
  </si>
  <si>
    <t>Enrollment</t>
  </si>
  <si>
    <t>• Please provide budget and cash flow projections for the start-up year (Year 0).</t>
  </si>
  <si>
    <t>BENEFITS</t>
  </si>
  <si>
    <t>Rate/Per Employee Expense</t>
  </si>
  <si>
    <t>Total Benefits:</t>
  </si>
  <si>
    <t>Total Admin &amp; Support Staff:</t>
  </si>
  <si>
    <t>SUMMARY</t>
  </si>
  <si>
    <t>Total Salaries:</t>
  </si>
  <si>
    <t>Total Salaries + Benefits:</t>
  </si>
  <si>
    <t>N/A</t>
  </si>
  <si>
    <t xml:space="preserve"> Annual Operating Budget and Cash Flow Projections  -- Fiscal Year 0 -- Pre-Opening  Period</t>
  </si>
  <si>
    <t>Other Expenses - See Footnotes</t>
  </si>
  <si>
    <t>Instructional Supplies and Resources - See Footnotes</t>
  </si>
  <si>
    <t>Year 0 Totals</t>
  </si>
  <si>
    <t>Special Instructions for Schools Contracting with a Management Company:</t>
  </si>
  <si>
    <t>= Information should be entered into light gray shaded cells.</t>
  </si>
  <si>
    <t>Adult Grant:</t>
  </si>
  <si>
    <t>5-Year Projected Staffing Plan</t>
  </si>
  <si>
    <t>Please include a note in the assumptions column and budget narrative if any of of the listed amounts include additional service, consulting, facility, or licensing fees paid to a management company or affiliate of a management company that are not included in Line 97 (CMO/EMO fee). For example, you should note any additional fees for instructional or support supplies and resources; license fees for materials, software, or educational programming; or fees related to the management, sale, or lease of real estate. Please also state whether your facility is leased or purchased from a management company or affiliate of a management company.</t>
  </si>
  <si>
    <t>School Corporation</t>
  </si>
  <si>
    <t>Data Validation List (Complexity)</t>
  </si>
  <si>
    <t>Instructions:</t>
  </si>
  <si>
    <t>+ Ensure all editable cells are unlocked and all un-editable cells are locked.</t>
  </si>
  <si>
    <t>+  On Review Tab, select “Protect Sheet” and make sure only “Select Unlocked Cells” is checked (PERFORM FOR EACH SHEET).</t>
  </si>
  <si>
    <t>+ Enter Password (STORE PASSWORD SOMEWHERE RECOVERABLE).</t>
  </si>
  <si>
    <t>+ To Hide “CONTROL” Sheet</t>
  </si>
  <si>
    <t xml:space="preserve">  - Switch to VBE (press [Alt]+[F11]).</t>
  </si>
  <si>
    <t xml:space="preserve">  - Select Sheet8(CONTROL).</t>
  </si>
  <si>
    <t xml:space="preserve">  - In Properties window, select “2 – xlSheetVeryHidden” from the Visible property's drop-down list.</t>
  </si>
  <si>
    <t xml:space="preserve">  - To Unhide, select “-1 – xlSheetVeryHidden” from the Visible property's drop-down list.</t>
  </si>
  <si>
    <r>
      <t xml:space="preserve">Select from drop-down list </t>
    </r>
    <r>
      <rPr>
        <sz val="10"/>
        <color indexed="8"/>
        <rFont val="Calibri"/>
        <family val="2"/>
      </rPr>
      <t>→</t>
    </r>
  </si>
  <si>
    <t>Adams Central Community Schools</t>
  </si>
  <si>
    <t>Alexandria Com School Corp</t>
  </si>
  <si>
    <t>Anderson Community School Corp</t>
  </si>
  <si>
    <t>Argos Community Schools</t>
  </si>
  <si>
    <t>Attica Consolidated Sch Corp</t>
  </si>
  <si>
    <t>Avon Community School Corp</t>
  </si>
  <si>
    <t>Barr-Reeve Com Schools Inc</t>
  </si>
  <si>
    <t>Bartholomew Con School Corp</t>
  </si>
  <si>
    <t>Batesville Community Sch Corp</t>
  </si>
  <si>
    <t>Baugo Community Schools</t>
  </si>
  <si>
    <t>Beech Grove City Schools</t>
  </si>
  <si>
    <t>Benton Community School Corp</t>
  </si>
  <si>
    <t>Blackford County Schools</t>
  </si>
  <si>
    <t>Bloomfield School District</t>
  </si>
  <si>
    <t>Blue River Valley Schools</t>
  </si>
  <si>
    <t>Bremen Public Schools</t>
  </si>
  <si>
    <t>Brown County School Corporation</t>
  </si>
  <si>
    <t>Brownsburg Community Sch Corp</t>
  </si>
  <si>
    <t>Brownstown Cnt Com Sch Corp</t>
  </si>
  <si>
    <t>C A Beard Memorial School Corp</t>
  </si>
  <si>
    <t>Cannelton City Schools</t>
  </si>
  <si>
    <t>Carmel Clay Schools</t>
  </si>
  <si>
    <t>Carroll Consolidated Sch Corp</t>
  </si>
  <si>
    <t>Caston School Corporation</t>
  </si>
  <si>
    <t>Center Grove Com Sch Corp</t>
  </si>
  <si>
    <t>Centerville-Abington Com Schs</t>
  </si>
  <si>
    <t>Central Noble Com School Corp</t>
  </si>
  <si>
    <t>Clark-Pleasant Com School Corp</t>
  </si>
  <si>
    <t>Clarksville Com School Corp</t>
  </si>
  <si>
    <t>Clay Community Schools</t>
  </si>
  <si>
    <t>Clinton Central School Corp</t>
  </si>
  <si>
    <t>Clinton Prairie School Corp</t>
  </si>
  <si>
    <t>Cloverdale Community Schools</t>
  </si>
  <si>
    <t>Community Schools of Frankfort</t>
  </si>
  <si>
    <t>Concord Community Schools</t>
  </si>
  <si>
    <t>Covington Community Sch Corp</t>
  </si>
  <si>
    <t>Cowan Community School Corp</t>
  </si>
  <si>
    <t>Crawford Co Com School Corp</t>
  </si>
  <si>
    <t>Crawfordsville Com Schools</t>
  </si>
  <si>
    <t>Crothersville Community Schools</t>
  </si>
  <si>
    <t>Crown Point Community Sch Corp</t>
  </si>
  <si>
    <t>Culver Community Schools Corp</t>
  </si>
  <si>
    <t>Daleville Community Schools</t>
  </si>
  <si>
    <t>Danville Community School Corp</t>
  </si>
  <si>
    <t>Decatur County Com Schools</t>
  </si>
  <si>
    <t>DeKalb Co Ctl United Sch Dist</t>
  </si>
  <si>
    <t>DeKalb Co Eastern Com Sch Dist</t>
  </si>
  <si>
    <t>Delaware Community School Corp</t>
  </si>
  <si>
    <t>Delphi Community School Corp</t>
  </si>
  <si>
    <t>Duneland School Corporation</t>
  </si>
  <si>
    <t>East Allen County Schools</t>
  </si>
  <si>
    <t>East Gibson School Corporation</t>
  </si>
  <si>
    <t>East Noble School Corp</t>
  </si>
  <si>
    <t>East Porter County School Corp</t>
  </si>
  <si>
    <t>East Washington School Corp</t>
  </si>
  <si>
    <t>Eastbrook Community Sch Corp</t>
  </si>
  <si>
    <t>Eastern Greene Schools</t>
  </si>
  <si>
    <t>Eastern Hancock Co Com Sch Corp</t>
  </si>
  <si>
    <t>Eastern Howard School Corp</t>
  </si>
  <si>
    <t>Eastern Pulaski Com Sch Corp</t>
  </si>
  <si>
    <t>Edinburgh Community Sch Corp</t>
  </si>
  <si>
    <t>Elkhart Community Schools</t>
  </si>
  <si>
    <t>Elwood Community School Corp</t>
  </si>
  <si>
    <t>Eminence Community School Corp</t>
  </si>
  <si>
    <t>Evansville-Vanderburgh Sch Corp</t>
  </si>
  <si>
    <t>Fairfield Community Schools</t>
  </si>
  <si>
    <t>Fayette County School Corp</t>
  </si>
  <si>
    <t>Flat Rock-Hawcreek School Corp</t>
  </si>
  <si>
    <t>Fort Wayne Community Schools</t>
  </si>
  <si>
    <t>Franklin Community School Corp</t>
  </si>
  <si>
    <t>Franklin County Com Sch Corp</t>
  </si>
  <si>
    <t>Franklin Township Com Sch Corp</t>
  </si>
  <si>
    <t>Frankton-Lapel Community Schs</t>
  </si>
  <si>
    <t>Fremont Community Schools</t>
  </si>
  <si>
    <t>Frontier School Corporation</t>
  </si>
  <si>
    <t>Garrett-Keyser-Butler Com</t>
  </si>
  <si>
    <t>Gary Community School Corp</t>
  </si>
  <si>
    <t>Goshen Community Schools</t>
  </si>
  <si>
    <t>Greater Clark County Schools</t>
  </si>
  <si>
    <t>Greater Jasper Con Schs</t>
  </si>
  <si>
    <t>Greencastle Community Sch Corp</t>
  </si>
  <si>
    <t>Greenfield-Central Com Schools</t>
  </si>
  <si>
    <t>Greensburg Community Schools</t>
  </si>
  <si>
    <t>Greenwood Community Sch Corp</t>
  </si>
  <si>
    <t>Griffith Public Schools</t>
  </si>
  <si>
    <t>Hamilton Community Schools</t>
  </si>
  <si>
    <t>Hamilton Heights School Corp</t>
  </si>
  <si>
    <t>Hamilton Southeastern Schools</t>
  </si>
  <si>
    <t>Hanover Community School Corp</t>
  </si>
  <si>
    <t>Huntington Co Com Sch Corp</t>
  </si>
  <si>
    <t>Indianapolis Public Schools</t>
  </si>
  <si>
    <t>Jac-Cen-Del Community Sch Corp</t>
  </si>
  <si>
    <t>Jay School Corp</t>
  </si>
  <si>
    <t>Jennings County Schools</t>
  </si>
  <si>
    <t>John Glenn School Corporation</t>
  </si>
  <si>
    <t>Kankakee Valley School Corp</t>
  </si>
  <si>
    <t>Knox Community School Corp</t>
  </si>
  <si>
    <t>Kokomo-Center Twp Con Sch Corp</t>
  </si>
  <si>
    <t>Lafayette School Corporation</t>
  </si>
  <si>
    <t>Lake Central School Corp</t>
  </si>
  <si>
    <t>Lake Ridge Schools</t>
  </si>
  <si>
    <t>Lake Station Community Schools</t>
  </si>
  <si>
    <t>Lakeland School Corporation</t>
  </si>
  <si>
    <t>Lanesville Community School Corp</t>
  </si>
  <si>
    <t>LaPorte Community School Corp</t>
  </si>
  <si>
    <t>Lawrenceburg Com School Corp</t>
  </si>
  <si>
    <t>Lebanon Community School Corp</t>
  </si>
  <si>
    <t>Liberty-Perry Com School Corp</t>
  </si>
  <si>
    <t>Linton-Stockton School Corp</t>
  </si>
  <si>
    <t>Logansport Community Sch Corp</t>
  </si>
  <si>
    <t>Loogootee Community Sch Corp</t>
  </si>
  <si>
    <t>M S D Bluffton-Harrison</t>
  </si>
  <si>
    <t>M S D Boone Township</t>
  </si>
  <si>
    <t>M S D Decatur Township</t>
  </si>
  <si>
    <t>M S D Lawrence Township</t>
  </si>
  <si>
    <t>M S D Martinsville Schools</t>
  </si>
  <si>
    <t>M S D Mount Vernon</t>
  </si>
  <si>
    <t>M S D North Posey Co Schools</t>
  </si>
  <si>
    <t>M S D of New Durham Township</t>
  </si>
  <si>
    <t>M S D Perry Township</t>
  </si>
  <si>
    <t>M S D Pike Township</t>
  </si>
  <si>
    <t>M S D Shakamak Schools</t>
  </si>
  <si>
    <t>M S D Southwest Allen County</t>
  </si>
  <si>
    <t>M S D Steuben County</t>
  </si>
  <si>
    <t>M S D Wabash County Schools</t>
  </si>
  <si>
    <t>M S D Warren County</t>
  </si>
  <si>
    <t>M S D Warren Township</t>
  </si>
  <si>
    <t>M S D Washington Township</t>
  </si>
  <si>
    <t>M S D Wayne Township</t>
  </si>
  <si>
    <t>Maconaquah School Corp</t>
  </si>
  <si>
    <t>Madison Consolidated Schools</t>
  </si>
  <si>
    <t>Madison-Grant United Sch Corp</t>
  </si>
  <si>
    <t>Manchester Community Schools</t>
  </si>
  <si>
    <t>Marion Community Schools</t>
  </si>
  <si>
    <t>Medora Community School Corp</t>
  </si>
  <si>
    <t>Merrillville Community School</t>
  </si>
  <si>
    <t>Michigan City Area Schools</t>
  </si>
  <si>
    <t>Middlebury Community Schools</t>
  </si>
  <si>
    <t>Milan Community Schools</t>
  </si>
  <si>
    <t>Mill Creek Community Sch Corp</t>
  </si>
  <si>
    <t>Mississinewa Community School Corp</t>
  </si>
  <si>
    <t>Mitchell Community Schools</t>
  </si>
  <si>
    <t>Monroe Central School Corp</t>
  </si>
  <si>
    <t>Monroe County Com Sch Corp</t>
  </si>
  <si>
    <t>Monroe-Gregg School District</t>
  </si>
  <si>
    <t>Mooresville Con School Corp</t>
  </si>
  <si>
    <t>Mt Vernon Community Sch Corp</t>
  </si>
  <si>
    <t>Muncie Community Schools</t>
  </si>
  <si>
    <t>Nettle Creek School Corp</t>
  </si>
  <si>
    <t>New Albany-Floyd Co Con Sch</t>
  </si>
  <si>
    <t>New Castle Community Sch Corp</t>
  </si>
  <si>
    <t>New Prairie United School Corp</t>
  </si>
  <si>
    <t>Nineveh-Hensley-Jackson United</t>
  </si>
  <si>
    <t>Noblesville Schools</t>
  </si>
  <si>
    <t>North Adams Community Schools</t>
  </si>
  <si>
    <t>North Central Parke Con Sch Corp</t>
  </si>
  <si>
    <t>North Daviess Com Schools</t>
  </si>
  <si>
    <t>North Gibson School Corp</t>
  </si>
  <si>
    <t>North Harrison Com School Corp</t>
  </si>
  <si>
    <t>North Judson-San Pierre Sch Corp</t>
  </si>
  <si>
    <t>North Knox School Corp</t>
  </si>
  <si>
    <t>North Lawrence Com Schools</t>
  </si>
  <si>
    <t>North Miami Community Schools</t>
  </si>
  <si>
    <t>North Montgomery Com Sch Corp</t>
  </si>
  <si>
    <t>North Newton School Corp</t>
  </si>
  <si>
    <t>North Putnam Community Schools</t>
  </si>
  <si>
    <t>North Spencer County Sch Corp</t>
  </si>
  <si>
    <t>North Vermillion Com Sch Corp</t>
  </si>
  <si>
    <t>North West Hendricks Schools</t>
  </si>
  <si>
    <t>North White School Corp</t>
  </si>
  <si>
    <t>Northeast Dubois Co Sch Corp</t>
  </si>
  <si>
    <t>Northeast School Corp</t>
  </si>
  <si>
    <t>Northeastern Wayne Schools</t>
  </si>
  <si>
    <t>Northern Wells Com Schools</t>
  </si>
  <si>
    <t>Northwest Allen County Schools</t>
  </si>
  <si>
    <t>Northwestern Con School Corp</t>
  </si>
  <si>
    <t>Northwestern School Corp</t>
  </si>
  <si>
    <t>Oak Hill United School Corp</t>
  </si>
  <si>
    <t>Oregon-Davis School Corp</t>
  </si>
  <si>
    <t>Orleans Community Schools</t>
  </si>
  <si>
    <t>Paoli Community School Corp</t>
  </si>
  <si>
    <t>Penn-Harris-Madison Sch Corp</t>
  </si>
  <si>
    <t>Perry Central Com Schools Corp</t>
  </si>
  <si>
    <t>Peru Community Schools</t>
  </si>
  <si>
    <t>Pike County School Corp</t>
  </si>
  <si>
    <t>Pioneer Regional School Corp</t>
  </si>
  <si>
    <t>Plainfield Community Sch Corp</t>
  </si>
  <si>
    <t>Plymouth Community School Corp</t>
  </si>
  <si>
    <t>Portage Township Schools</t>
  </si>
  <si>
    <t>Porter Township School Corp</t>
  </si>
  <si>
    <t>Prairie Heights Com Sch Corp</t>
  </si>
  <si>
    <t>Randolph Central School Corp</t>
  </si>
  <si>
    <t>Randolph Eastern School Corp</t>
  </si>
  <si>
    <t>Randolph Southern School Corp</t>
  </si>
  <si>
    <t>Rensselaer Central School Corp</t>
  </si>
  <si>
    <t>Richland-Bean Blossom C S C</t>
  </si>
  <si>
    <t>Richmond Community School</t>
  </si>
  <si>
    <t>Rising Sun-Ohio Co Com</t>
  </si>
  <si>
    <t>River Forest Community Sch Corp</t>
  </si>
  <si>
    <t>Rochester Community Sch Corp</t>
  </si>
  <si>
    <t>Rossville Con School District</t>
  </si>
  <si>
    <t>Rush County Schools</t>
  </si>
  <si>
    <t>Salem Community Schools</t>
  </si>
  <si>
    <t>School City of East Chicago</t>
  </si>
  <si>
    <t>School City of Hammond</t>
  </si>
  <si>
    <t>School City of Hobart</t>
  </si>
  <si>
    <t>School City of Mishawaka</t>
  </si>
  <si>
    <t>School Town of Highland</t>
  </si>
  <si>
    <t>School Town of Munster</t>
  </si>
  <si>
    <t>School Town of Speedway</t>
  </si>
  <si>
    <t>Scott County School District 1</t>
  </si>
  <si>
    <t>Scott County School District 2</t>
  </si>
  <si>
    <t>Seymour Community Schools</t>
  </si>
  <si>
    <t>Shelby Eastern Schools</t>
  </si>
  <si>
    <t>Shelbyville Central Schools</t>
  </si>
  <si>
    <t>Shenandoah School Corporation</t>
  </si>
  <si>
    <t>Sheridan Community Schools</t>
  </si>
  <si>
    <t>Shoals Community School Corp</t>
  </si>
  <si>
    <t>Smith-Green Community Schools</t>
  </si>
  <si>
    <t>South Adams Schools</t>
  </si>
  <si>
    <t>South Bend Community Sch Corp</t>
  </si>
  <si>
    <t>South Central Com School Corp</t>
  </si>
  <si>
    <t>South Dearborn Com School Corp</t>
  </si>
  <si>
    <t>South Gibson School Corp</t>
  </si>
  <si>
    <t>South Harrison Com Schools</t>
  </si>
  <si>
    <t>South Henry School Corp</t>
  </si>
  <si>
    <t>South Knox School Corp</t>
  </si>
  <si>
    <t>South Madison Com Sch Corp</t>
  </si>
  <si>
    <t>South Montgomery Com Sch Corp</t>
  </si>
  <si>
    <t>South Newton School Corp</t>
  </si>
  <si>
    <t>South Putnam Community Schools</t>
  </si>
  <si>
    <t>South Ripley Com Sch Corp</t>
  </si>
  <si>
    <t>South Spencer County Sch Corp</t>
  </si>
  <si>
    <t>South Vermillion Com Sch Corp</t>
  </si>
  <si>
    <t>Southeast Dubois Co Sch Corp</t>
  </si>
  <si>
    <t>Southeast Fountain School Corp</t>
  </si>
  <si>
    <t>Southern Hancock Co Com Sch Corp</t>
  </si>
  <si>
    <t>Southern Wells Com Schools</t>
  </si>
  <si>
    <t>Southwest Dubois Co Sch Corp</t>
  </si>
  <si>
    <t>Southwest Parke Com Sch Corp</t>
  </si>
  <si>
    <t>Southwest School Corp</t>
  </si>
  <si>
    <t>Southwestern Con Sch Shelby Co</t>
  </si>
  <si>
    <t>Southwestern-Jefferson Co Con</t>
  </si>
  <si>
    <t>Spencer-Owen Community Schools</t>
  </si>
  <si>
    <t>Springs Valley Com School Corp</t>
  </si>
  <si>
    <t>Sunman-Dearborn Com Sch Corp</t>
  </si>
  <si>
    <t>Switzerland County School Corp</t>
  </si>
  <si>
    <t>Taylor Community School Corp</t>
  </si>
  <si>
    <t>Tell City-Troy Twp School Corp</t>
  </si>
  <si>
    <t>Tippecanoe School Corp</t>
  </si>
  <si>
    <t>Tippecanoe Valley School Corp</t>
  </si>
  <si>
    <t>Tipton Community School Corp</t>
  </si>
  <si>
    <t>Tri-Central Community Schools</t>
  </si>
  <si>
    <t>Tri-County School Corp</t>
  </si>
  <si>
    <t>Tri-Creek School Corp</t>
  </si>
  <si>
    <t>Triton School Corporation</t>
  </si>
  <si>
    <t>Tri-Township Cons School Corp</t>
  </si>
  <si>
    <t>Twin Lakes School Corp</t>
  </si>
  <si>
    <t>Union Co/Clg Corner Joint Sch Dist</t>
  </si>
  <si>
    <t>Union School Corporation</t>
  </si>
  <si>
    <t>Union Township School Corp</t>
  </si>
  <si>
    <t>Union-North United School Corp</t>
  </si>
  <si>
    <t>Valparaiso Community Schools</t>
  </si>
  <si>
    <t>Vigo County School Corp</t>
  </si>
  <si>
    <t>Vincennes Community Sch Corp</t>
  </si>
  <si>
    <t>Wabash City Schools</t>
  </si>
  <si>
    <t>Wa-Nee Community Schools</t>
  </si>
  <si>
    <t>Warrick County School Corp</t>
  </si>
  <si>
    <t>Warsaw Community Schools</t>
  </si>
  <si>
    <t>Washington Com Schools Inc</t>
  </si>
  <si>
    <t>Wawasee Community School Corp</t>
  </si>
  <si>
    <t>Wes-Del Community Schools</t>
  </si>
  <si>
    <t>West Central School Corp</t>
  </si>
  <si>
    <t>West Clark Community Schools</t>
  </si>
  <si>
    <t>West Lafayette Com School Corp</t>
  </si>
  <si>
    <t>West Noble School Corporation</t>
  </si>
  <si>
    <t>West Washington School Corp</t>
  </si>
  <si>
    <t>Western Boone Co Com Sch Dist</t>
  </si>
  <si>
    <t>Western School Corp</t>
  </si>
  <si>
    <t>Western Wayne Schools</t>
  </si>
  <si>
    <t>Westfield-Washington Schools</t>
  </si>
  <si>
    <t>Westview School Corporation</t>
  </si>
  <si>
    <t>White River Valley Sch Dist</t>
  </si>
  <si>
    <t>Whiting School City</t>
  </si>
  <si>
    <t>Whitko Community School Corp</t>
  </si>
  <si>
    <t>Whitley Co Cons Schools</t>
  </si>
  <si>
    <t>Zionsville Community Schools</t>
  </si>
  <si>
    <t>Planned Location:</t>
  </si>
  <si>
    <t>• Please provide 5-year budget projections (Year 1 - Year 5). Year 0 data will automatically populate once Tab 4 is completed. Note that the information provided in Tab 3 must align with the personnel expenses provided in Tab 5 or Tab 5 will throw an ERROR.</t>
  </si>
  <si>
    <t>• Applicants proposing to operate a network of schools should add a worksheet or attach a separate file reflecting the consolidated network's 5-Year pro-forma budget, reflecting all components - including the regional back office/central office - of the Indiana network.
• This template is not intended to be exhaustive. If it is unclear to which line a particular item of revenue or expense belongs, add it to the closest approximation or to one of the "other" categories and make a note in the budget narrative.</t>
  </si>
  <si>
    <t>• Please provide a summary of the school's projected enrollment for the proposed grade span for the next five years.</t>
  </si>
  <si>
    <t>• Please provide a list of administrative, instructional, and other staff along with estimates of proposed salaries and benefits. Please include both full and part-time employees and contractors. Projected salary and benefits should align with Year 0 and 5-Year budgets.
• The estimated "average salary" for each position should include all taxable amounts (including taxable fringe benefits, stipends, bonuses, awards, and allowances).
• "Other Insurance" includes health care, long-term care, life, disability.
• "Other Benefits" are non-taxable benefits (e.g., educational assistance, dependent care assistance, transportation benefits, non-taxable fringe benefits, etc.).</t>
  </si>
  <si>
    <t>FY 2020</t>
  </si>
  <si>
    <t>FY 2021</t>
  </si>
  <si>
    <t>FY 20 Index</t>
  </si>
  <si>
    <t>FY 21 Index</t>
  </si>
  <si>
    <t>Lewis Cass School Corp</t>
  </si>
  <si>
    <t>Yorktown Community Schools</t>
  </si>
  <si>
    <t>FY 20 $/ADM</t>
  </si>
  <si>
    <t>FY 21 $/ADM</t>
  </si>
  <si>
    <t>Select from drop-down list →</t>
  </si>
  <si>
    <t>Average Salary (1)</t>
  </si>
  <si>
    <t>Health Insurance (2)</t>
  </si>
  <si>
    <t>Retirement Contributions</t>
  </si>
  <si>
    <t>(2) This is a competitive grant. Funding is not guaranteed. The funding for the PCSP grant is distributed through a reimbursement process. Contact IDOE's Office of Title Grants and Support for more information.</t>
  </si>
  <si>
    <t>Health Insurance</t>
  </si>
  <si>
    <t>Social Security/Medicare/Unemployment</t>
  </si>
  <si>
    <t>Public Charter School Program Grant (2)</t>
  </si>
  <si>
    <t>Payroll Taxes and Benefits - From Tab 3</t>
  </si>
  <si>
    <t>Total Adult Enrollment:</t>
  </si>
  <si>
    <t>Total K-12 Enrollment:</t>
  </si>
  <si>
    <t>Projected New School Annual Operating Budget  -- YEARS 1 - 5 (Fiscal Year July 1-June 30)</t>
  </si>
  <si>
    <t>Complexity Multiplier:</t>
  </si>
  <si>
    <t>Foundation Amount:</t>
  </si>
  <si>
    <t>ELL Adjustment:</t>
  </si>
  <si>
    <t>Sped Grant (mild/mod):</t>
  </si>
  <si>
    <t>Grants</t>
  </si>
  <si>
    <t>ALL GRANTS/INDEXES MUST BE ADJUSTED UPON PASSAGE OF NEW BIENNIAL BUDGET.</t>
  </si>
  <si>
    <t>All Grant amounts are from 2019 Biennial Budget. Complexity Index Data (Columns D &amp; F) are taken from LSA Budget Projections Run (04/23/19). For first year of biennium (2019-20), Column E (FY 20) is used for Year 1 and Column G (FY 21) is used for Years 2-5.
For second year of biennium (2020-21), Column G (FY 21) is used for all Years 1-5.</t>
  </si>
  <si>
    <t>$/ADM = "Foundation Amount" + ("Complexity Multiplier" * "Complexity Index")</t>
  </si>
  <si>
    <t xml:space="preserve">     (not currently calculated - See IC 20-43-6-3(b) STEP 4)</t>
  </si>
  <si>
    <t xml:space="preserve">     (not calculated for severe disabilities - See IC 20-43-7-6)</t>
  </si>
  <si>
    <t xml:space="preserve">  </t>
  </si>
  <si>
    <t>Special Education Grant - From Tab 2</t>
  </si>
  <si>
    <t>REQUIRED</t>
  </si>
  <si>
    <t>Instructions for 5-Year Budget Projections Workbook</t>
  </si>
  <si>
    <t>Planned Location (School Corporation):</t>
  </si>
  <si>
    <t>Ver. 01.28.2021</t>
  </si>
  <si>
    <t>Special Education</t>
  </si>
  <si>
    <t>English Learners</t>
  </si>
  <si>
    <t>K-12 Distribution (3)</t>
  </si>
  <si>
    <t>Adult Distribution (4)</t>
  </si>
  <si>
    <t>Adult Learners (1)</t>
  </si>
  <si>
    <t>Virtual Students (2)</t>
  </si>
  <si>
    <t>Qualify for Free/Reduced Priced Lunch</t>
  </si>
  <si>
    <t>Estimated % of Students:</t>
  </si>
  <si>
    <t>Yes</t>
  </si>
  <si>
    <t>No</t>
  </si>
  <si>
    <t>Adult High School?</t>
  </si>
  <si>
    <t>Is the proposal for an Adult High School (please see requirements below):</t>
  </si>
  <si>
    <t>Notes &amp; Definitions</t>
  </si>
  <si>
    <t>Honors Diploma Grant</t>
  </si>
  <si>
    <t>Special Education Grant</t>
  </si>
  <si>
    <t>CTE Grant</t>
  </si>
  <si>
    <t>Charter and Innovation Network School Grant</t>
  </si>
  <si>
    <t>High Ability (Gifted and Talented) Program</t>
  </si>
  <si>
    <t>Remediation Program Grant</t>
  </si>
  <si>
    <t>Teacher Appreciation Grant</t>
  </si>
  <si>
    <t>Other State Grants (please describe) (1)</t>
  </si>
  <si>
    <t>Total State Revenue:</t>
  </si>
  <si>
    <t>State Revenue - See Footnotes</t>
  </si>
  <si>
    <t>Charter Facilities Assistance Program Grant (2011)</t>
  </si>
  <si>
    <t>Other Federal Revenue (please describe)</t>
  </si>
  <si>
    <t>Student Fees</t>
  </si>
  <si>
    <t>Executive Administration: Office of Superintendent</t>
  </si>
  <si>
    <t>School Administration: Office of the Principal</t>
  </si>
  <si>
    <t>Instructional Staff</t>
  </si>
  <si>
    <t>Teachers - Regular</t>
  </si>
  <si>
    <t>Social Workers, Guidence Counselors, Therapists</t>
  </si>
  <si>
    <t>Instructional Support Staff (4)</t>
  </si>
  <si>
    <t>Other Support Staff (please describe) (5)</t>
  </si>
  <si>
    <t>Nurse</t>
  </si>
  <si>
    <t>Information Technology</t>
  </si>
  <si>
    <t>Maintenance of Buildings, Grounds, Equipment (including Custodial Staff)</t>
  </si>
  <si>
    <t>Security Personnel</t>
  </si>
  <si>
    <t>Retirement Contributions (3)</t>
  </si>
  <si>
    <t>Social Security</t>
  </si>
  <si>
    <t>Other Compensation (4)</t>
  </si>
  <si>
    <t>The information provided herein does not, and is not intended to, constitute legal advice. Schools should consult an attorney and/or accountant for any questions about employment and employment tax matters before completing this worksheet.</t>
  </si>
  <si>
    <r>
      <t xml:space="preserve">•  Complete all relevant Grey Shaded areas -&gt; Name of Position, Number of Positions, Average Salary, Health Insurance, Retirement Contribution, and Other Benefits.
•  Projected salary and benefits should align with Year 0 and 5-Year budgets.
•  Please see footnotes below for additional information </t>
    </r>
    <r>
      <rPr>
        <u/>
        <sz val="11"/>
        <rFont val="Calibri"/>
        <family val="2"/>
      </rPr>
      <t>before</t>
    </r>
    <r>
      <rPr>
        <sz val="11"/>
        <rFont val="Calibri"/>
        <family val="2"/>
      </rPr>
      <t xml:space="preserve"> completing the worksheet.</t>
    </r>
  </si>
  <si>
    <t>Administrative Staff - See Footnote (3)</t>
  </si>
  <si>
    <t>Technology Supporting Instruction (computers, tablets, etc.)</t>
  </si>
  <si>
    <t>Enrichment Programs (athletics or extra-curricular activities)</t>
  </si>
  <si>
    <t>Other Instruction Supplies (not including technology)</t>
  </si>
  <si>
    <t>Administrative Resources</t>
  </si>
  <si>
    <t>Administrative Technology - Computers &amp; Software (not SiS)</t>
  </si>
  <si>
    <t>Other Administrative Expenses (please describe)</t>
  </si>
  <si>
    <t>Total Administrative Resources:</t>
  </si>
  <si>
    <t>Other Governing Board Expenses (please describe)</t>
  </si>
  <si>
    <t>Telecommunication &amp; IT Services</t>
  </si>
  <si>
    <t>Insurance (non-facility)</t>
  </si>
  <si>
    <t>Mail Services</t>
  </si>
  <si>
    <t>Student Information Services or Systems</t>
  </si>
  <si>
    <t>Transportation Services</t>
  </si>
  <si>
    <t>Marketing Expenses</t>
  </si>
  <si>
    <t>Other Services (please describe)</t>
  </si>
  <si>
    <t>Total Professional Purchased or Other Services:</t>
  </si>
  <si>
    <t>Capital Improvements</t>
  </si>
  <si>
    <t>Facility Lease/Mortgage Payments (please describe)</t>
  </si>
  <si>
    <t>Operating Leases</t>
  </si>
  <si>
    <t>Other Principal Payments</t>
  </si>
  <si>
    <t>Interest Payments</t>
  </si>
  <si>
    <t>Interest Expense</t>
  </si>
  <si>
    <t>Insurance (Facility)</t>
  </si>
  <si>
    <t>Purchase of Furniture, Fixtures, &amp; Equipment</t>
  </si>
  <si>
    <t>Electric &amp; Gas</t>
  </si>
  <si>
    <t>Repair and Maintenance Services (including cost of supplies)</t>
  </si>
  <si>
    <t>Custodial Services (including cost of suppliesl)</t>
  </si>
  <si>
    <t>Purchased or Other Services (do not include staff expenses)</t>
  </si>
  <si>
    <t>Facilities Expenses (do not include staff expenses, e.g. custodian)</t>
  </si>
  <si>
    <t>Security Services</t>
  </si>
  <si>
    <t>Other Facility Expenses (please describe)</t>
  </si>
  <si>
    <t>Other Expenses (please describe)</t>
  </si>
  <si>
    <t>Indiana Charter School Board Administrative Fee (6)</t>
  </si>
  <si>
    <t>Management Fee (7)</t>
  </si>
  <si>
    <t>Escrow (9)</t>
  </si>
  <si>
    <t>(1) Including, but not limited to: alternative education program grants (IC 20-30-8); educational technology plan grants (IC 20-20-13); school safety plan grants (IC 5-2-10.1-6); secured school fund grants (IC 10-21-1-2); dual language pilot program grants (IC 20-20-41-2); teacher and student achievement fund grants (IC 20-20-43-3); student and parent support services grants (IC 20-34-9); etc.</t>
  </si>
  <si>
    <t>(3)  Office of Superintendent includes the Head of School, School Leader, Executive Director, Chief Executive Officer, as well as associate or assistant executive positions; Office of the Principal includes Vice- and Assistant Principals; Other School Administration includes Chief Academic Officers; Directors, Deans, and Coordinators of: Curriculum, Instruction, Faculty, Students, Assessment, Student Affairs, Student Achievement, and similar positions.</t>
  </si>
  <si>
    <t>(4)  Includes Staffing for Instruction and Curriculum Development, Instructional Staff Training, etc.</t>
  </si>
  <si>
    <t>(5)  Secretary; Receptionist; Attendance Clerk; Office Manager, Cafeteria Worker, and other full or part-time employees not specifically described.</t>
  </si>
  <si>
    <r>
      <t xml:space="preserve">(2)  </t>
    </r>
    <r>
      <rPr>
        <b/>
        <sz val="11"/>
        <color indexed="8"/>
        <rFont val="Calibri"/>
        <family val="2"/>
      </rPr>
      <t>Health Insurance</t>
    </r>
    <r>
      <rPr>
        <sz val="11"/>
        <color theme="1"/>
        <rFont val="Calibri"/>
        <family val="2"/>
        <scheme val="minor"/>
      </rPr>
      <t xml:space="preserve"> includes Group Life Insurance, Group Health Insurance, Group Accident Insurance, Other Authorized Group Insurance, and Workers Compensation Insurance.</t>
    </r>
  </si>
  <si>
    <r>
      <t xml:space="preserve">(3) </t>
    </r>
    <r>
      <rPr>
        <b/>
        <sz val="11"/>
        <color indexed="8"/>
        <rFont val="Calibri"/>
        <family val="2"/>
      </rPr>
      <t>Retirement Contributions</t>
    </r>
    <r>
      <rPr>
        <sz val="11"/>
        <color theme="1"/>
        <rFont val="Calibri"/>
        <family val="2"/>
        <scheme val="minor"/>
      </rPr>
      <t xml:space="preserve"> includes Severance/Early Retirement Pay, Public Employees Retirement Fund, Teachers Retirement Fund, Public Employees Retirement Fund (Optional Contribution), Teacher Retirement Fund (Optional Contribution).</t>
    </r>
  </si>
  <si>
    <r>
      <t xml:space="preserve">(1)  Amounts paid to "employees" regardless of whether they are full-time, part-time, or limited-time should be listed in the </t>
    </r>
    <r>
      <rPr>
        <b/>
        <sz val="11"/>
        <color indexed="8"/>
        <rFont val="Calibri"/>
        <family val="2"/>
      </rPr>
      <t>Average Salary</t>
    </r>
    <r>
      <rPr>
        <sz val="11"/>
        <color theme="1"/>
        <rFont val="Calibri"/>
        <family val="2"/>
        <scheme val="minor"/>
      </rPr>
      <t xml:space="preserve"> column (Rows 15-47) for each year. All pay provided to an employee for services performed should be included, including salaries, vacation allowances, bonuses, stipends, commissions, and taxable fringe benefits. For more information, see https://www.irs.gov/publications/p15. </t>
    </r>
  </si>
  <si>
    <r>
      <rPr>
        <b/>
        <sz val="11"/>
        <color indexed="8"/>
        <rFont val="Calibri"/>
        <family val="2"/>
      </rPr>
      <t>A note about classifying workers</t>
    </r>
    <r>
      <rPr>
        <sz val="11"/>
        <color theme="1"/>
        <rFont val="Calibri"/>
        <family val="2"/>
        <scheme val="minor"/>
      </rPr>
      <t xml:space="preserve">:
Very generally, an individual who performs services for you is your "employee" if you have the right to control what work will be done and how it will be done. An individual who performs services for you is an "independent contractor" if the you have the right to control or direct </t>
    </r>
    <r>
      <rPr>
        <u/>
        <sz val="11"/>
        <color indexed="8"/>
        <rFont val="Calibri"/>
        <family val="2"/>
      </rPr>
      <t>only</t>
    </r>
    <r>
      <rPr>
        <sz val="11"/>
        <color theme="1"/>
        <rFont val="Calibri"/>
        <family val="2"/>
        <scheme val="minor"/>
      </rPr>
      <t xml:space="preserve"> the result of the work and not what will be done and how it will be done. This is an important distinction because an employee's wages are subject to employment tax withholding and an independent contractor is subject to self-employment tax.  However, there are many factors used by the IRS to determine whether an individual is an employee or independent contractor.  See, https://www.irs.gov/businesses/small-businesses-self-employed/independent-contractor-self-employed-or-employee. Please note that the IRS has issued a number of rulings and advisory opinions holding, based on the specific facts, that an individual rendering services as a substitute teacher should be considered to be an employee and not an independent contractor. Misclassification of an employee as an independent contractor may result in additional payroll taxes due, as well as possible interest and penalties. </t>
    </r>
    <r>
      <rPr>
        <b/>
        <sz val="11"/>
        <color indexed="8"/>
        <rFont val="Calibri"/>
        <family val="2"/>
      </rPr>
      <t xml:space="preserve">Please consult your attorney before classifying an employee. Payments made to "independent contractors" should be listed as  "Other Compensation" on Row 57, and explained in the budget narrative. Do not include payments made to independent contractors on Rows 15-47. 
</t>
    </r>
  </si>
  <si>
    <t xml:space="preserve">• All organizers submitting a charter application to the Indiana Charter School Board must complete all four BLUE tabs of the Budget Projections Workbook. No information is required to be entered into WHITE cells, they will autofill as information is entered into GREY cells. 
• Column and Row references in these instructions are to the Excel spreadsheet Column or Row. </t>
  </si>
  <si>
    <t>(6)  One half percent (0.5%) of basic tuition support or adult learner grant amount received by the school.</t>
  </si>
  <si>
    <t>(7)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</si>
  <si>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(8)  Schools are required to maintain an account in reserve to cover expenses for school closing.  $10,000 should be placed in reserve starting in year 2 with a balance of $30,000 by year 4.</t>
  </si>
  <si>
    <t>If a line item is completed that includes the words "(please describe)" a specific description of the item must be provided in the appropriate box in Column L.
Failure to provide a description as requested will result in rejection of the submission.</t>
  </si>
  <si>
    <t>Additional Information</t>
  </si>
  <si>
    <t>Other State Grants (Row 29)</t>
  </si>
  <si>
    <t>Other Federal Revenue (Row 41)</t>
  </si>
  <si>
    <t>Federal Revenue - See Footnotes</t>
  </si>
  <si>
    <t>Other Revenue</t>
  </si>
  <si>
    <t>Total Federal Revenue:</t>
  </si>
  <si>
    <t>Total Other Revenue:</t>
  </si>
  <si>
    <t>TOTAL REVENUE:</t>
  </si>
  <si>
    <t>Other Support Staff (Row 78)</t>
  </si>
  <si>
    <t>Other Compensation (please describe)</t>
  </si>
  <si>
    <t>Other Compensation (Row 94)</t>
  </si>
  <si>
    <t>Other Administrative Expenses (Row 114)</t>
  </si>
  <si>
    <t>Other Governing Board Expenses (Row 120)</t>
  </si>
  <si>
    <t>Other Services (Row 138)</t>
  </si>
  <si>
    <t>Other Expenses (Row 167)</t>
  </si>
  <si>
    <t>CHANGE IN NET ASSETS:</t>
  </si>
  <si>
    <t>REVENUE</t>
  </si>
  <si>
    <t>Wages, Benefits, &amp; Payroll Taxes</t>
  </si>
  <si>
    <t>Total Governing Board Expenses:</t>
  </si>
  <si>
    <t>If a line item is completed that includes the words "(please describe)" a specific description of the item must be provided in the appropriate box in Column N on Tab 5.
Failure to provide a description as requested will result in rejection of the submission.</t>
  </si>
  <si>
    <t>(1) This is a competitive grant. Funding is not guaranteed. The funding for the PCSP grant is distributed through a reimbursement process. Contact IDOE's Office of Title Grants and Support for more information.</t>
  </si>
  <si>
    <t>Public Charter School Program Grant (1)</t>
  </si>
  <si>
    <t>Other Services (please describe on Tab 5)</t>
  </si>
  <si>
    <t>Other Governing Board Expenses (please describe on Tab 5)</t>
  </si>
  <si>
    <t>Other Administrative Expenses (please describe on Tab 5)</t>
  </si>
  <si>
    <t>Other Revenue (please describe on Tab 5)</t>
  </si>
  <si>
    <t>Other Federal Revenue (please describe on Tab 5)</t>
  </si>
  <si>
    <t>Management Fee (2)</t>
  </si>
  <si>
    <t>(2) Include only those fees (per-pupil, contingent, or fixed) paid to a management company for educational or management services and describe how the fee is calculated in the budget narrative. All amounts separate from a specific “management fee” paid to a management company or an affiliate of the management company must be included elsewhere in the worksheet (e.g., lease payments, instructional supplies, software, technology, etc.) and described in the “Additional Information” Column.</t>
  </si>
  <si>
    <t>Other School Administration</t>
  </si>
  <si>
    <t>Lease, Mortgage, &amp; Other Facilities (Rows 143, 158)</t>
  </si>
  <si>
    <t>Basic Tuition Support / Adult Grant - From Tab 2</t>
  </si>
  <si>
    <r>
      <t xml:space="preserve">1) An "adult high school" is a charter school that has a majority of enrolled students that: (1) belong to a graduation cohort that has already graduated; or (2) are over the age of eighteen (18) years of age; at the time the student was first enrolled at the school. ICSB is prohibited from authorizing an adult high school unless the general assembly has made a specific appropriation for the high school pursuant to Indiana Code 20-24-7-13.5. </t>
    </r>
    <r>
      <rPr>
        <u/>
        <sz val="11"/>
        <rFont val="Calibri"/>
        <family val="2"/>
      </rPr>
      <t>If you are proposing an adult high school, complete Row 31 only</t>
    </r>
    <r>
      <rPr>
        <sz val="11"/>
        <rFont val="Calibri"/>
        <family val="2"/>
      </rPr>
      <t>.
2) A "virtual student" is defined as a student for whom at least fifty percent (50%) of the instructional services received from the school is virtual instruction. Virtual instruction means instruction that  is provided in an interactive learning environment created through technology in which students are separated from their teacher by time or space, or both. Students receiving more than 50% of their instruction virtually generate eighty-five percent (85%) of the foundation formula amount rather than 100%. The analysis is applicable on a per student basis.
3) The "basic" tuition support grant for K-12 schools is equal to the following formula:
     (Foundation Amount X ADM) + ((Complexity Multiplier  X Complexity Index) X ADM)
The Distribution calculations are an estimate based on projected enrollment multiplied by  basic tuition support in the amounts as set forth in the most recently passed (2020-21 FY) budget. The school's actual distribution will be based on the school's ADM count of eligible pupils enrolled in the school on two count dates (in September and February) multiplied by the basic tuition support calculation in the amounts as set forth in the 2022-23 FY Budget. In the absence of an approved FY 2022-23 FY budget, the above Distribution calculations use the FY 2021 amounts for all five (5) years: Foundation = $5,703; Complexity Multiplier = $3,675. The Special Education Grant (for mild to moderate disabilities) is equal to $2,300.
Complexity provides additional funding to school corporations serving proportionally more students from low-income families. It is based on the percentage of a school corporation's students receiving SNAP, TANF, or foster care services. The calculation uses the Complexity Index for the school corporation in which the proposed charter school will be located- the school's actual Complexity Index amount will likely differ. 
4)  The Adult Learner Grant amount for adult high schools is $6,750. The Adult Distribution is calculated by multiplying Total Enrollment by the Adult Grant. However, ICSB cannot authorize a new adult high school unless a specific appropriation for such school has been made by the General Assembly.</t>
    </r>
  </si>
  <si>
    <r>
      <t xml:space="preserve">(4) </t>
    </r>
    <r>
      <rPr>
        <b/>
        <sz val="11"/>
        <color indexed="8"/>
        <rFont val="Calibri"/>
        <family val="2"/>
      </rPr>
      <t>Other Compensation</t>
    </r>
    <r>
      <rPr>
        <sz val="11"/>
        <color theme="1"/>
        <rFont val="Calibri"/>
        <family val="2"/>
        <scheme val="minor"/>
      </rPr>
      <t xml:space="preserve"> - Includes any other benefits not otherwise classified above, including payments made to independent contractors. This cell should reflect the sum total of all Other Compensation for the year.</t>
    </r>
  </si>
  <si>
    <t>Other Revenue (Row 50)</t>
  </si>
  <si>
    <t xml:space="preserve">Genai Excellence Academy, Inc </t>
  </si>
  <si>
    <t>2021-2022</t>
  </si>
  <si>
    <t xml:space="preserve">Teacher </t>
  </si>
  <si>
    <t>Teaching Assistant</t>
  </si>
  <si>
    <t>Specials Teacher</t>
  </si>
  <si>
    <t>Principal</t>
  </si>
  <si>
    <t>Admin staff</t>
  </si>
  <si>
    <t>Enrollment Coordinator</t>
  </si>
  <si>
    <t>AP</t>
  </si>
  <si>
    <t>CSP grant</t>
  </si>
  <si>
    <t>Instructional Support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</si>
</sst>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0.0%"/>
    <numFmt numFmtId="167" formatCode="0.0000"/>
    <numFmt numFmtId="168" formatCode="###0.0000;###0.0000"/>
    <numFmt numFmtId="169" formatCode="&quot;$&quot;#,##0.00"/>
  </numFmts>
  <fonts count="50" x14ac:knownFonts="1">
    <font>
      <sz val="11"/>
      <color theme="1"/>
      <name val="Calibri"/>
      <family val="2"/>
      <scheme val="minor"/>
    </font>
    <font>
      <sz val="10"/>
      <name val="Arial"/>
      <family val="2"/>
    </font>
    <font>
      <b/>
      <sz val="14"/>
      <name val="Calibri"/>
      <family val="2"/>
    </font>
    <font>
      <sz val="10"/>
      <name val="Verdana"/>
      <family val="2"/>
    </font>
    <font>
      <sz val="9"/>
      <color indexed="81"/>
      <name val="Tahoma"/>
      <family val="2"/>
    </font>
    <font>
      <sz val="10"/>
      <color indexed="8"/>
      <name val="Calibri"/>
      <family val="2"/>
    </font>
    <font>
      <sz val="11"/>
      <name val="Calibri"/>
      <family val="2"/>
    </font>
    <font>
      <b/>
      <sz val="11"/>
      <name val="Calibri"/>
      <family val="2"/>
    </font>
    <font>
      <b/>
      <i/>
      <sz val="11"/>
      <name val="Calibri"/>
      <family val="2"/>
    </font>
    <font>
      <b/>
      <u/>
      <sz val="11"/>
      <name val="Calibri"/>
      <family val="2"/>
    </font>
    <font>
      <b/>
      <sz val="11"/>
      <color indexed="8"/>
      <name val="Calibri"/>
      <family val="2"/>
    </font>
    <font>
      <u/>
      <sz val="11"/>
      <name val="Calibri"/>
      <family val="2"/>
    </font>
    <font>
      <u/>
      <sz val="11"/>
      <color indexed="8"/>
      <name val="Calibri"/>
      <family val="2"/>
    </font>
    <font>
      <sz val="11"/>
      <color theme="1"/>
      <name val="Calibri"/>
      <family val="2"/>
      <scheme val="minor"/>
    </font>
    <font>
      <b/>
      <sz val="11"/>
      <color theme="0"/>
      <name val="Calibri"/>
      <family val="2"/>
      <scheme val="minor"/>
    </font>
    <font>
      <u/>
      <sz val="10"/>
      <color theme="10"/>
      <name val="Arial"/>
      <family val="2"/>
    </font>
    <font>
      <b/>
      <sz val="11"/>
      <color theme="1"/>
      <name val="Calibri"/>
      <family val="2"/>
      <scheme val="minor"/>
    </font>
    <font>
      <b/>
      <sz val="10"/>
      <color theme="1"/>
      <name val="Calibri"/>
      <family val="2"/>
      <scheme val="minor"/>
    </font>
    <font>
      <sz val="10"/>
      <color theme="1"/>
      <name val="Calibri"/>
      <family val="2"/>
      <scheme val="minor"/>
    </font>
    <font>
      <b/>
      <sz val="14"/>
      <name val="Calibri"/>
      <family val="2"/>
      <scheme val="minor"/>
    </font>
    <font>
      <b/>
      <sz val="10"/>
      <name val="Calibri"/>
      <family val="2"/>
      <scheme val="minor"/>
    </font>
    <font>
      <sz val="11"/>
      <name val="Calibri"/>
      <family val="2"/>
      <scheme val="minor"/>
    </font>
    <font>
      <sz val="10"/>
      <name val="Calibri"/>
      <family val="2"/>
      <scheme val="minor"/>
    </font>
    <font>
      <b/>
      <sz val="10"/>
      <color theme="0"/>
      <name val="Calibri"/>
      <family val="2"/>
      <scheme val="minor"/>
    </font>
    <font>
      <b/>
      <sz val="14"/>
      <color theme="1"/>
      <name val="Calibri"/>
      <family val="2"/>
      <scheme val="minor"/>
    </font>
    <font>
      <sz val="10"/>
      <color rgb="FF000000"/>
      <name val="Calibri"/>
      <family val="2"/>
      <scheme val="minor"/>
    </font>
    <font>
      <sz val="11"/>
      <color theme="1"/>
      <name val="Calibri"/>
      <family val="2"/>
    </font>
    <font>
      <b/>
      <sz val="11"/>
      <color theme="1"/>
      <name val="Calibri"/>
      <family val="2"/>
    </font>
    <font>
      <b/>
      <sz val="11"/>
      <name val="Calibri"/>
      <family val="2"/>
      <scheme val="minor"/>
    </font>
    <font>
      <u/>
      <sz val="11"/>
      <color theme="10"/>
      <name val="Calibri"/>
      <family val="2"/>
      <scheme val="minor"/>
    </font>
    <font>
      <u/>
      <sz val="11"/>
      <color theme="10"/>
      <name val="Calibri"/>
      <family val="2"/>
    </font>
    <font>
      <b/>
      <i/>
      <sz val="11"/>
      <name val="Calibri"/>
      <family val="2"/>
      <scheme val="minor"/>
    </font>
    <font>
      <i/>
      <sz val="11"/>
      <name val="Calibri"/>
      <family val="2"/>
      <scheme val="minor"/>
    </font>
    <font>
      <sz val="11"/>
      <color rgb="FF0070C0"/>
      <name val="Calibri"/>
      <family val="2"/>
    </font>
    <font>
      <u val="singleAccounting"/>
      <sz val="10"/>
      <color theme="1"/>
      <name val="Calibri"/>
      <family val="2"/>
      <scheme val="minor"/>
    </font>
    <font>
      <sz val="14"/>
      <color theme="1"/>
      <name val="Calibri"/>
      <family val="2"/>
      <scheme val="minor"/>
    </font>
    <font>
      <sz val="11"/>
      <color theme="3" tint="0.39997558519241921"/>
      <name val="Calibri"/>
      <family val="2"/>
      <scheme val="minor"/>
    </font>
    <font>
      <b/>
      <u/>
      <sz val="11"/>
      <color theme="1"/>
      <name val="Calibri"/>
      <family val="2"/>
      <scheme val="minor"/>
    </font>
    <font>
      <b/>
      <sz val="11"/>
      <color rgb="FFFF0000"/>
      <name val="Calibri"/>
      <family val="2"/>
      <scheme val="minor"/>
    </font>
    <font>
      <i/>
      <sz val="11"/>
      <color theme="1"/>
      <name val="Calibri"/>
      <family val="2"/>
      <scheme val="minor"/>
    </font>
    <font>
      <b/>
      <i/>
      <sz val="11"/>
      <color rgb="FFFF0000"/>
      <name val="Calibri"/>
      <family val="2"/>
      <scheme val="minor"/>
    </font>
    <font>
      <u/>
      <sz val="11"/>
      <color theme="1"/>
      <name val="Calibri"/>
      <family val="2"/>
      <scheme val="minor"/>
    </font>
    <font>
      <b/>
      <sz val="11"/>
      <color rgb="FFFF0000"/>
      <name val="Calibri"/>
      <family val="2"/>
    </font>
    <font>
      <sz val="14"/>
      <color theme="1"/>
      <name val="Calibri"/>
      <family val="2"/>
    </font>
    <font>
      <b/>
      <sz val="14"/>
      <color theme="1"/>
      <name val="Calibri"/>
      <family val="2"/>
    </font>
    <font>
      <u/>
      <sz val="11"/>
      <name val="Calibri"/>
      <family val="2"/>
      <scheme val="minor"/>
    </font>
    <font>
      <b/>
      <sz val="12"/>
      <color theme="1"/>
      <name val="Calibri"/>
      <family val="2"/>
      <scheme val="minor"/>
    </font>
    <font>
      <b/>
      <u/>
      <sz val="10"/>
      <color theme="1"/>
      <name val="Calibri"/>
      <family val="2"/>
      <scheme val="minor"/>
    </font>
    <font>
      <sz val="12"/>
      <color theme="1"/>
      <name val="Calibri"/>
      <family val="2"/>
      <scheme val="minor"/>
    </font>
    <font>
      <sz val="12"/>
      <color theme="1"/>
      <name val="Times New Roman"/>
      <family val="1"/>
    </font>
  </fonts>
  <fills count="10">
    <fill>
      <patternFill patternType="none"/>
    </fill>
    <fill>
      <patternFill patternType="gray125"/>
    </fill>
    <fill>
      <patternFill patternType="solid">
        <fgColor indexed="9"/>
        <bgColor indexed="64"/>
      </patternFill>
    </fill>
    <fill>
      <patternFill patternType="solid">
        <fgColor indexed="6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59999389629810485"/>
        <bgColor theme="4" tint="0.79998168889431442"/>
      </patternFill>
    </fill>
    <fill>
      <patternFill patternType="solid">
        <fgColor theme="4"/>
        <bgColor theme="4"/>
      </patternFill>
    </fill>
    <fill>
      <patternFill patternType="solid">
        <fgColor theme="0" tint="-0.249977111117893"/>
        <bgColor indexed="64"/>
      </patternFill>
    </fill>
    <fill>
      <patternFill patternType="solid">
        <fgColor theme="1"/>
        <bgColor indexed="64"/>
      </patternFill>
    </fill>
  </fills>
  <borders count="54">
    <border>
      <left/>
      <right/>
      <top/>
      <bottom/>
      <diagonal/>
    </border>
    <border>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diagonal/>
    </border>
    <border>
      <left/>
      <right/>
      <top style="medium">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style="thin">
        <color theme="0"/>
      </bottom>
      <diagonal/>
    </border>
    <border>
      <left style="medium">
        <color indexed="64"/>
      </left>
      <right/>
      <top style="thin">
        <color theme="0" tint="-0.24994659260841701"/>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medium">
        <color indexed="64"/>
      </left>
      <right/>
      <top style="thin">
        <color theme="0" tint="-0.24994659260841701"/>
      </top>
      <bottom/>
      <diagonal/>
    </border>
    <border>
      <left/>
      <right style="medium">
        <color indexed="64"/>
      </right>
      <top style="thin">
        <color theme="0" tint="-0.24994659260841701"/>
      </top>
      <bottom/>
      <diagonal/>
    </border>
    <border>
      <left style="medium">
        <color indexed="64"/>
      </left>
      <right/>
      <top/>
      <bottom style="thin">
        <color theme="0" tint="-0.24994659260841701"/>
      </bottom>
      <diagonal/>
    </border>
    <border>
      <left/>
      <right style="medium">
        <color indexed="64"/>
      </right>
      <top/>
      <bottom style="thin">
        <color theme="0" tint="-0.24994659260841701"/>
      </bottom>
      <diagonal/>
    </border>
    <border>
      <left style="medium">
        <color indexed="64"/>
      </left>
      <right style="thin">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medium">
        <color indexed="64"/>
      </left>
      <right style="thin">
        <color indexed="64"/>
      </right>
      <top/>
      <bottom style="thin">
        <color theme="0" tint="-0.24994659260841701"/>
      </bottom>
      <diagonal/>
    </border>
    <border>
      <left style="thin">
        <color indexed="64"/>
      </left>
      <right style="medium">
        <color indexed="64"/>
      </right>
      <top/>
      <bottom style="thin">
        <color theme="0" tint="-0.24994659260841701"/>
      </bottom>
      <diagonal/>
    </border>
    <border>
      <left style="medium">
        <color indexed="64"/>
      </left>
      <right/>
      <top style="thin">
        <color indexed="64"/>
      </top>
      <bottom style="thin">
        <color theme="0" tint="-0.24994659260841701"/>
      </bottom>
      <diagonal/>
    </border>
    <border>
      <left/>
      <right style="medium">
        <color indexed="64"/>
      </right>
      <top style="thin">
        <color indexed="64"/>
      </top>
      <bottom style="thin">
        <color theme="0" tint="-0.24994659260841701"/>
      </bottom>
      <diagonal/>
    </border>
    <border>
      <left style="medium">
        <color indexed="64"/>
      </left>
      <right/>
      <top style="thin">
        <color theme="0" tint="-0.24994659260841701"/>
      </top>
      <bottom style="thin">
        <color indexed="64"/>
      </bottom>
      <diagonal/>
    </border>
    <border>
      <left/>
      <right style="medium">
        <color indexed="64"/>
      </right>
      <top style="thin">
        <color theme="0" tint="-0.24994659260841701"/>
      </top>
      <bottom style="thin">
        <color indexed="64"/>
      </bottom>
      <diagonal/>
    </border>
  </borders>
  <cellStyleXfs count="8">
    <xf numFmtId="0" fontId="0" fillId="0" borderId="0"/>
    <xf numFmtId="43"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alignment vertical="top"/>
      <protection locked="0"/>
    </xf>
    <xf numFmtId="0" fontId="1" fillId="0" borderId="0"/>
    <xf numFmtId="0" fontId="1" fillId="0" borderId="0"/>
    <xf numFmtId="0" fontId="3" fillId="0" borderId="0"/>
  </cellStyleXfs>
  <cellXfs count="687">
    <xf numFmtId="0" fontId="0" fillId="0" borderId="0" xfId="0"/>
    <xf numFmtId="0" fontId="17" fillId="0" borderId="0" xfId="0" applyFont="1" applyFill="1" applyAlignment="1" applyProtection="1">
      <alignment horizontal="center" vertical="center"/>
    </xf>
    <xf numFmtId="49" fontId="18" fillId="0" borderId="0" xfId="0" applyNumberFormat="1" applyFont="1" applyFill="1" applyAlignment="1" applyProtection="1">
      <alignment vertical="center"/>
    </xf>
    <xf numFmtId="0" fontId="18" fillId="0" borderId="0" xfId="0" applyFont="1" applyFill="1" applyAlignment="1" applyProtection="1">
      <alignment vertical="center"/>
    </xf>
    <xf numFmtId="0" fontId="18" fillId="4" borderId="1" xfId="0" applyFont="1" applyFill="1" applyBorder="1" applyAlignment="1" applyProtection="1">
      <alignment vertical="center"/>
    </xf>
    <xf numFmtId="0" fontId="17" fillId="4" borderId="1" xfId="0" applyFont="1" applyFill="1" applyBorder="1" applyAlignment="1" applyProtection="1">
      <alignment horizontal="center" vertical="center"/>
    </xf>
    <xf numFmtId="0" fontId="17" fillId="4" borderId="0" xfId="0" applyFont="1" applyFill="1" applyBorder="1" applyAlignment="1" applyProtection="1">
      <alignment horizontal="center" vertical="center"/>
    </xf>
    <xf numFmtId="0" fontId="17" fillId="4" borderId="2" xfId="0" applyFont="1" applyFill="1" applyBorder="1" applyAlignment="1" applyProtection="1">
      <alignment horizontal="center" vertical="center"/>
    </xf>
    <xf numFmtId="0" fontId="17" fillId="4" borderId="2" xfId="0" applyFont="1" applyFill="1" applyBorder="1" applyAlignment="1" applyProtection="1">
      <alignment vertical="center"/>
    </xf>
    <xf numFmtId="0" fontId="17" fillId="4" borderId="3" xfId="0" applyFont="1" applyFill="1" applyBorder="1" applyAlignment="1" applyProtection="1">
      <alignment horizontal="center" vertical="center"/>
    </xf>
    <xf numFmtId="0" fontId="17" fillId="4" borderId="4" xfId="0" applyFont="1" applyFill="1" applyBorder="1" applyAlignment="1" applyProtection="1">
      <alignment horizontal="center" vertical="center"/>
    </xf>
    <xf numFmtId="0" fontId="17" fillId="4" borderId="5" xfId="0" applyFont="1" applyFill="1" applyBorder="1" applyAlignment="1" applyProtection="1">
      <alignment horizontal="center" vertical="center"/>
    </xf>
    <xf numFmtId="0" fontId="17" fillId="4" borderId="6" xfId="0" applyFont="1" applyFill="1" applyBorder="1" applyAlignment="1" applyProtection="1">
      <alignment horizontal="center" vertical="center"/>
    </xf>
    <xf numFmtId="0" fontId="17" fillId="4" borderId="7" xfId="0" applyFont="1" applyFill="1" applyBorder="1" applyAlignment="1" applyProtection="1">
      <alignment horizontal="center" vertical="center"/>
    </xf>
    <xf numFmtId="0" fontId="18" fillId="4" borderId="0" xfId="0" applyFont="1" applyFill="1" applyBorder="1" applyAlignment="1" applyProtection="1">
      <alignment vertical="center" wrapText="1"/>
    </xf>
    <xf numFmtId="0" fontId="19" fillId="4" borderId="8" xfId="0" applyFont="1" applyFill="1" applyBorder="1" applyAlignment="1" applyProtection="1">
      <alignment horizontal="center" vertical="center"/>
    </xf>
    <xf numFmtId="0" fontId="20" fillId="4" borderId="0" xfId="0" applyFont="1" applyFill="1" applyBorder="1" applyAlignment="1" applyProtection="1">
      <alignment vertical="center"/>
    </xf>
    <xf numFmtId="0" fontId="21" fillId="4" borderId="0" xfId="0" applyFont="1" applyFill="1" applyBorder="1" applyAlignment="1" applyProtection="1">
      <alignment horizontal="center" vertical="center"/>
    </xf>
    <xf numFmtId="44" fontId="20" fillId="4" borderId="7" xfId="0" applyNumberFormat="1" applyFont="1" applyFill="1" applyBorder="1" applyAlignment="1" applyProtection="1">
      <alignment horizontal="center" vertical="center"/>
    </xf>
    <xf numFmtId="44" fontId="20" fillId="4" borderId="9" xfId="0" applyNumberFormat="1" applyFont="1" applyFill="1" applyBorder="1" applyAlignment="1" applyProtection="1">
      <alignment horizontal="center" vertical="center"/>
    </xf>
    <xf numFmtId="164" fontId="20" fillId="4" borderId="9" xfId="2" applyNumberFormat="1" applyFont="1" applyFill="1" applyBorder="1" applyAlignment="1" applyProtection="1">
      <alignment horizontal="center" vertical="center" wrapText="1"/>
    </xf>
    <xf numFmtId="0" fontId="16" fillId="4" borderId="10" xfId="0" applyFont="1" applyFill="1" applyBorder="1" applyAlignment="1" applyProtection="1">
      <alignment horizontal="right" vertical="center"/>
    </xf>
    <xf numFmtId="0" fontId="18" fillId="0" borderId="0" xfId="0" applyFont="1" applyFill="1" applyAlignment="1" applyProtection="1">
      <alignment vertical="center" wrapText="1"/>
    </xf>
    <xf numFmtId="0" fontId="18" fillId="4" borderId="11" xfId="0" applyFont="1" applyFill="1" applyBorder="1" applyAlignment="1" applyProtection="1">
      <alignment vertical="center"/>
    </xf>
    <xf numFmtId="0" fontId="18" fillId="4" borderId="12" xfId="0" applyFont="1" applyFill="1" applyBorder="1" applyAlignment="1" applyProtection="1">
      <alignment vertical="center"/>
    </xf>
    <xf numFmtId="0" fontId="18" fillId="4" borderId="13" xfId="0" applyFont="1" applyFill="1" applyBorder="1" applyAlignment="1" applyProtection="1">
      <alignment vertical="center"/>
    </xf>
    <xf numFmtId="0" fontId="18" fillId="4" borderId="14" xfId="0" applyFont="1" applyFill="1" applyBorder="1" applyAlignment="1" applyProtection="1">
      <alignment vertical="center"/>
    </xf>
    <xf numFmtId="0" fontId="18" fillId="0" borderId="0" xfId="0" applyFont="1" applyAlignment="1" applyProtection="1">
      <alignment vertical="center"/>
    </xf>
    <xf numFmtId="0" fontId="20" fillId="4" borderId="15" xfId="0" applyFont="1" applyFill="1" applyBorder="1" applyAlignment="1" applyProtection="1">
      <alignment horizontal="center" vertical="center"/>
    </xf>
    <xf numFmtId="0" fontId="18" fillId="0" borderId="0" xfId="0" applyFont="1" applyFill="1" applyBorder="1" applyAlignment="1" applyProtection="1">
      <alignment vertical="center"/>
    </xf>
    <xf numFmtId="44" fontId="18" fillId="4" borderId="16" xfId="0" applyNumberFormat="1" applyFont="1" applyFill="1" applyBorder="1" applyAlignment="1" applyProtection="1">
      <alignment vertical="center"/>
    </xf>
    <xf numFmtId="44" fontId="18" fillId="4" borderId="7" xfId="0" applyNumberFormat="1" applyFont="1" applyFill="1" applyBorder="1" applyAlignment="1" applyProtection="1">
      <alignment vertical="center"/>
    </xf>
    <xf numFmtId="0" fontId="18" fillId="4" borderId="0" xfId="0" applyFont="1" applyFill="1" applyBorder="1" applyAlignment="1" applyProtection="1">
      <alignment vertical="center"/>
    </xf>
    <xf numFmtId="0" fontId="20" fillId="4" borderId="13" xfId="0" applyFont="1" applyFill="1" applyBorder="1" applyAlignment="1" applyProtection="1">
      <alignment horizontal="center" vertical="center"/>
    </xf>
    <xf numFmtId="0" fontId="20" fillId="4" borderId="16" xfId="0" applyFont="1" applyFill="1" applyBorder="1" applyAlignment="1" applyProtection="1">
      <alignment horizontal="center" vertical="center"/>
    </xf>
    <xf numFmtId="0" fontId="20" fillId="4" borderId="14" xfId="0" applyFont="1" applyFill="1" applyBorder="1" applyAlignment="1" applyProtection="1">
      <alignment horizontal="center" vertical="center"/>
    </xf>
    <xf numFmtId="44" fontId="22" fillId="4" borderId="10" xfId="1" applyNumberFormat="1" applyFont="1" applyFill="1" applyBorder="1" applyAlignment="1" applyProtection="1">
      <alignment horizontal="left" vertical="center"/>
    </xf>
    <xf numFmtId="44" fontId="18" fillId="4" borderId="17" xfId="0" applyNumberFormat="1" applyFont="1" applyFill="1" applyBorder="1" applyAlignment="1" applyProtection="1">
      <alignment vertical="center"/>
    </xf>
    <xf numFmtId="44" fontId="18" fillId="4" borderId="9" xfId="0" applyNumberFormat="1" applyFont="1" applyFill="1" applyBorder="1" applyAlignment="1" applyProtection="1">
      <alignment vertical="center"/>
    </xf>
    <xf numFmtId="44" fontId="22" fillId="5" borderId="18" xfId="1" applyNumberFormat="1" applyFont="1" applyFill="1" applyBorder="1" applyAlignment="1" applyProtection="1">
      <alignment horizontal="left" vertical="center"/>
      <protection locked="0"/>
    </xf>
    <xf numFmtId="44" fontId="22" fillId="5" borderId="19" xfId="1" applyNumberFormat="1" applyFont="1" applyFill="1" applyBorder="1" applyAlignment="1" applyProtection="1">
      <alignment horizontal="left" vertical="center"/>
      <protection locked="0"/>
    </xf>
    <xf numFmtId="44" fontId="22" fillId="5" borderId="20" xfId="1" applyNumberFormat="1" applyFont="1" applyFill="1" applyBorder="1" applyAlignment="1" applyProtection="1">
      <alignment horizontal="left" vertical="center"/>
      <protection locked="0"/>
    </xf>
    <xf numFmtId="44" fontId="18" fillId="4" borderId="18" xfId="0" applyNumberFormat="1" applyFont="1" applyFill="1" applyBorder="1" applyAlignment="1" applyProtection="1">
      <alignment vertical="center"/>
    </xf>
    <xf numFmtId="44" fontId="22" fillId="4" borderId="18" xfId="1" applyNumberFormat="1" applyFont="1" applyFill="1" applyBorder="1" applyAlignment="1" applyProtection="1">
      <alignment horizontal="left" vertical="center"/>
    </xf>
    <xf numFmtId="44" fontId="22" fillId="4" borderId="19" xfId="1" applyNumberFormat="1" applyFont="1" applyFill="1" applyBorder="1" applyAlignment="1" applyProtection="1">
      <alignment horizontal="left" vertical="center"/>
    </xf>
    <xf numFmtId="44" fontId="22" fillId="4" borderId="20" xfId="1" applyNumberFormat="1" applyFont="1" applyFill="1" applyBorder="1" applyAlignment="1" applyProtection="1">
      <alignment horizontal="left" vertical="center"/>
    </xf>
    <xf numFmtId="44" fontId="22" fillId="4" borderId="7" xfId="1" applyNumberFormat="1" applyFont="1" applyFill="1" applyBorder="1" applyAlignment="1" applyProtection="1">
      <alignment horizontal="left" vertical="center"/>
    </xf>
    <xf numFmtId="44" fontId="18" fillId="4" borderId="18" xfId="0" applyNumberFormat="1" applyFont="1" applyFill="1" applyBorder="1" applyAlignment="1" applyProtection="1">
      <alignment horizontal="left" vertical="center"/>
    </xf>
    <xf numFmtId="44" fontId="18" fillId="4" borderId="19" xfId="0" applyNumberFormat="1" applyFont="1" applyFill="1" applyBorder="1" applyAlignment="1" applyProtection="1">
      <alignment horizontal="left" vertical="center"/>
    </xf>
    <xf numFmtId="44" fontId="18" fillId="4" borderId="20" xfId="0" applyNumberFormat="1" applyFont="1" applyFill="1" applyBorder="1" applyAlignment="1" applyProtection="1">
      <alignment horizontal="left" vertical="center"/>
    </xf>
    <xf numFmtId="44" fontId="22" fillId="4" borderId="0" xfId="1" applyNumberFormat="1" applyFont="1" applyFill="1" applyBorder="1" applyAlignment="1" applyProtection="1">
      <alignment horizontal="left" vertical="center"/>
    </xf>
    <xf numFmtId="44" fontId="18" fillId="4" borderId="16" xfId="0" applyNumberFormat="1" applyFont="1" applyFill="1" applyBorder="1" applyAlignment="1" applyProtection="1">
      <alignment horizontal="left" vertical="center"/>
    </xf>
    <xf numFmtId="44" fontId="18" fillId="4" borderId="9" xfId="0" applyNumberFormat="1" applyFont="1" applyFill="1" applyBorder="1" applyAlignment="1" applyProtection="1">
      <alignment horizontal="left" vertical="center"/>
    </xf>
    <xf numFmtId="44" fontId="18" fillId="4" borderId="10" xfId="0" applyNumberFormat="1" applyFont="1" applyFill="1" applyBorder="1" applyAlignment="1" applyProtection="1">
      <alignment vertical="center"/>
    </xf>
    <xf numFmtId="44" fontId="22" fillId="4" borderId="16" xfId="1" applyNumberFormat="1" applyFont="1" applyFill="1" applyBorder="1" applyAlignment="1" applyProtection="1">
      <alignment horizontal="left" vertical="center"/>
    </xf>
    <xf numFmtId="0" fontId="0" fillId="4" borderId="0" xfId="0" applyFill="1" applyBorder="1" applyAlignment="1" applyProtection="1">
      <alignment vertical="center"/>
    </xf>
    <xf numFmtId="0" fontId="0" fillId="4" borderId="1" xfId="0" applyFill="1" applyBorder="1" applyAlignment="1" applyProtection="1">
      <alignment vertical="center"/>
    </xf>
    <xf numFmtId="0" fontId="0" fillId="4" borderId="21" xfId="0" applyFill="1" applyBorder="1" applyAlignment="1" applyProtection="1">
      <alignment vertical="center"/>
    </xf>
    <xf numFmtId="0" fontId="18" fillId="0" borderId="0" xfId="0" applyFont="1" applyAlignment="1">
      <alignment horizontal="center" vertical="center"/>
    </xf>
    <xf numFmtId="0" fontId="18" fillId="6" borderId="37" xfId="0" applyFont="1" applyFill="1" applyBorder="1" applyAlignment="1">
      <alignment horizontal="center" vertical="center"/>
    </xf>
    <xf numFmtId="0" fontId="18" fillId="0" borderId="0" xfId="0" applyFont="1" applyAlignment="1">
      <alignment vertical="center"/>
    </xf>
    <xf numFmtId="0" fontId="22" fillId="0" borderId="0" xfId="0" applyNumberFormat="1" applyFont="1" applyAlignment="1">
      <alignment vertical="center"/>
    </xf>
    <xf numFmtId="0" fontId="18" fillId="6" borderId="37" xfId="0" applyFont="1" applyFill="1" applyBorder="1" applyAlignment="1">
      <alignment vertical="center"/>
    </xf>
    <xf numFmtId="0" fontId="20" fillId="4" borderId="3" xfId="0" applyNumberFormat="1" applyFont="1" applyFill="1" applyBorder="1"/>
    <xf numFmtId="49" fontId="18" fillId="4" borderId="7" xfId="0" applyNumberFormat="1" applyFont="1" applyFill="1" applyBorder="1" applyAlignment="1"/>
    <xf numFmtId="0" fontId="18" fillId="4" borderId="7" xfId="0" applyFont="1" applyFill="1" applyBorder="1" applyAlignment="1">
      <alignment horizontal="center" vertical="center"/>
    </xf>
    <xf numFmtId="0" fontId="18" fillId="4" borderId="7" xfId="0" applyFont="1" applyFill="1" applyBorder="1"/>
    <xf numFmtId="0" fontId="18" fillId="4" borderId="15" xfId="0" applyFont="1" applyFill="1" applyBorder="1"/>
    <xf numFmtId="0" fontId="20" fillId="4" borderId="4" xfId="0" applyNumberFormat="1" applyFont="1" applyFill="1" applyBorder="1"/>
    <xf numFmtId="49" fontId="18" fillId="4" borderId="0" xfId="0" applyNumberFormat="1" applyFont="1" applyFill="1" applyBorder="1" applyAlignment="1"/>
    <xf numFmtId="0" fontId="18" fillId="4" borderId="0" xfId="0" applyFont="1" applyFill="1" applyBorder="1" applyAlignment="1">
      <alignment horizontal="center" vertical="center"/>
    </xf>
    <xf numFmtId="0" fontId="18" fillId="4" borderId="0" xfId="0" applyFont="1" applyFill="1" applyBorder="1"/>
    <xf numFmtId="0" fontId="18" fillId="4" borderId="9" xfId="0" applyFont="1" applyFill="1" applyBorder="1"/>
    <xf numFmtId="0" fontId="20" fillId="4" borderId="5" xfId="0" applyNumberFormat="1" applyFont="1" applyFill="1" applyBorder="1"/>
    <xf numFmtId="49" fontId="18" fillId="4" borderId="10" xfId="0" applyNumberFormat="1" applyFont="1" applyFill="1" applyBorder="1" applyAlignment="1"/>
    <xf numFmtId="0" fontId="18" fillId="4" borderId="10" xfId="0" applyFont="1" applyFill="1" applyBorder="1" applyAlignment="1">
      <alignment horizontal="center" vertical="center"/>
    </xf>
    <xf numFmtId="0" fontId="18" fillId="4" borderId="10" xfId="0" applyFont="1" applyFill="1" applyBorder="1"/>
    <xf numFmtId="0" fontId="18" fillId="4" borderId="17" xfId="0" applyFont="1" applyFill="1" applyBorder="1"/>
    <xf numFmtId="0" fontId="23" fillId="7" borderId="38" xfId="0" applyFont="1" applyFill="1" applyBorder="1" applyAlignment="1">
      <alignment horizontal="center" vertical="center" wrapText="1"/>
    </xf>
    <xf numFmtId="1" fontId="20" fillId="4" borderId="16" xfId="6" applyNumberFormat="1" applyFont="1" applyFill="1" applyBorder="1" applyAlignment="1" applyProtection="1">
      <alignment horizontal="center" vertical="center"/>
    </xf>
    <xf numFmtId="1" fontId="20" fillId="4" borderId="22" xfId="6" applyNumberFormat="1" applyFont="1" applyFill="1" applyBorder="1" applyAlignment="1" applyProtection="1">
      <alignment horizontal="center" vertical="center"/>
    </xf>
    <xf numFmtId="0" fontId="17" fillId="0" borderId="0" xfId="0" applyFont="1" applyAlignment="1">
      <alignment vertical="center"/>
    </xf>
    <xf numFmtId="0" fontId="19" fillId="4" borderId="8" xfId="0" applyFont="1" applyFill="1" applyBorder="1" applyAlignment="1" applyProtection="1">
      <alignment horizontal="center" vertical="center"/>
    </xf>
    <xf numFmtId="0" fontId="17" fillId="4" borderId="0" xfId="0" applyFont="1" applyFill="1" applyBorder="1" applyAlignment="1" applyProtection="1">
      <alignment horizontal="left" vertical="center"/>
    </xf>
    <xf numFmtId="0" fontId="24" fillId="0" borderId="0" xfId="0" applyFont="1" applyAlignment="1">
      <alignment horizontal="center" vertical="center"/>
    </xf>
    <xf numFmtId="0" fontId="0" fillId="0" borderId="0" xfId="0" applyAlignment="1">
      <alignment vertical="center"/>
    </xf>
    <xf numFmtId="44" fontId="18" fillId="4" borderId="0" xfId="0" applyNumberFormat="1" applyFont="1" applyFill="1" applyBorder="1" applyAlignment="1" applyProtection="1">
      <alignment vertical="center"/>
    </xf>
    <xf numFmtId="0" fontId="18" fillId="0" borderId="0" xfId="0" applyFont="1" applyAlignment="1">
      <alignment horizontal="center" vertical="center"/>
    </xf>
    <xf numFmtId="44" fontId="18" fillId="0" borderId="0" xfId="0" applyNumberFormat="1" applyFont="1" applyAlignment="1">
      <alignment vertical="center"/>
    </xf>
    <xf numFmtId="0" fontId="23" fillId="7" borderId="0" xfId="0" applyFont="1" applyFill="1" applyBorder="1" applyAlignment="1">
      <alignment horizontal="center" vertical="center" wrapText="1"/>
    </xf>
    <xf numFmtId="2" fontId="22" fillId="0" borderId="0" xfId="0" applyNumberFormat="1" applyFont="1" applyFill="1" applyBorder="1" applyAlignment="1">
      <alignment horizontal="center" vertical="center"/>
    </xf>
    <xf numFmtId="167" fontId="18" fillId="6" borderId="0" xfId="0" applyNumberFormat="1" applyFont="1" applyFill="1" applyBorder="1" applyAlignment="1">
      <alignment horizontal="center" vertical="center"/>
    </xf>
    <xf numFmtId="167" fontId="18" fillId="0" borderId="0" xfId="0" applyNumberFormat="1" applyFont="1" applyAlignment="1">
      <alignment vertical="center"/>
    </xf>
    <xf numFmtId="2" fontId="18" fillId="6" borderId="0" xfId="0" applyNumberFormat="1" applyFont="1" applyFill="1" applyBorder="1" applyAlignment="1">
      <alignment horizontal="center" vertical="center"/>
    </xf>
    <xf numFmtId="0" fontId="18" fillId="0" borderId="0" xfId="0" applyFont="1" applyAlignment="1">
      <alignment horizontal="center" vertical="center"/>
    </xf>
    <xf numFmtId="0" fontId="22" fillId="0" borderId="0" xfId="0" applyFont="1" applyFill="1" applyBorder="1" applyAlignment="1">
      <alignment horizontal="left" vertical="top" wrapText="1"/>
    </xf>
    <xf numFmtId="0" fontId="22" fillId="0" borderId="0" xfId="0" applyFont="1" applyFill="1" applyBorder="1" applyAlignment="1">
      <alignment horizontal="left" vertical="center" wrapText="1"/>
    </xf>
    <xf numFmtId="0" fontId="22" fillId="0" borderId="39" xfId="0" applyFont="1" applyFill="1" applyBorder="1" applyAlignment="1">
      <alignment horizontal="left" vertical="center"/>
    </xf>
    <xf numFmtId="168" fontId="25" fillId="0" borderId="0" xfId="0" applyNumberFormat="1" applyFont="1" applyFill="1" applyBorder="1" applyAlignment="1">
      <alignment horizontal="center" vertical="center" wrapText="1"/>
    </xf>
    <xf numFmtId="0" fontId="25" fillId="0" borderId="0" xfId="0" applyFont="1" applyFill="1" applyBorder="1" applyAlignment="1">
      <alignment horizontal="left" vertical="top"/>
    </xf>
    <xf numFmtId="44" fontId="22" fillId="0" borderId="0" xfId="6" applyNumberFormat="1" applyFont="1" applyFill="1" applyBorder="1" applyAlignment="1" applyProtection="1">
      <alignment horizontal="center" vertical="center"/>
    </xf>
    <xf numFmtId="44" fontId="18" fillId="4" borderId="0" xfId="0" applyNumberFormat="1" applyFont="1" applyFill="1" applyBorder="1" applyAlignment="1">
      <alignment vertical="center"/>
    </xf>
    <xf numFmtId="44" fontId="18" fillId="4" borderId="2" xfId="0" applyNumberFormat="1" applyFont="1" applyFill="1" applyBorder="1" applyAlignment="1">
      <alignment vertical="center"/>
    </xf>
    <xf numFmtId="0" fontId="22" fillId="0" borderId="0" xfId="0" applyNumberFormat="1" applyFont="1" applyAlignment="1">
      <alignment horizontal="center" vertical="center"/>
    </xf>
    <xf numFmtId="0" fontId="23" fillId="7" borderId="0" xfId="0" applyFont="1" applyFill="1" applyBorder="1" applyAlignment="1">
      <alignment horizontal="center" vertical="center"/>
    </xf>
    <xf numFmtId="0" fontId="25" fillId="0" borderId="0" xfId="0" applyFont="1" applyFill="1" applyBorder="1" applyAlignment="1">
      <alignment horizontal="center" vertical="top"/>
    </xf>
    <xf numFmtId="169" fontId="25" fillId="0" borderId="0" xfId="0" applyNumberFormat="1" applyFont="1" applyFill="1" applyBorder="1" applyAlignment="1">
      <alignment horizontal="center" vertical="top"/>
    </xf>
    <xf numFmtId="44" fontId="22" fillId="4" borderId="0" xfId="6" applyNumberFormat="1" applyFont="1" applyFill="1" applyBorder="1" applyAlignment="1" applyProtection="1">
      <alignment horizontal="center" vertical="center"/>
    </xf>
    <xf numFmtId="44" fontId="18" fillId="4" borderId="10" xfId="0" applyNumberFormat="1" applyFont="1" applyFill="1" applyBorder="1" applyAlignment="1" applyProtection="1">
      <alignment horizontal="center" vertical="center"/>
    </xf>
    <xf numFmtId="44" fontId="22" fillId="4" borderId="23" xfId="6" applyNumberFormat="1" applyFont="1" applyFill="1" applyBorder="1" applyAlignment="1" applyProtection="1">
      <alignment horizontal="center" vertical="center"/>
    </xf>
    <xf numFmtId="44" fontId="18" fillId="4" borderId="24" xfId="0" applyNumberFormat="1" applyFont="1" applyFill="1" applyBorder="1" applyAlignment="1" applyProtection="1">
      <alignment horizontal="center" vertical="center"/>
    </xf>
    <xf numFmtId="1" fontId="20" fillId="4" borderId="18" xfId="6" applyNumberFormat="1" applyFont="1" applyFill="1" applyBorder="1" applyAlignment="1" applyProtection="1">
      <alignment horizontal="center" vertical="center"/>
    </xf>
    <xf numFmtId="1" fontId="22" fillId="4" borderId="2" xfId="6" applyNumberFormat="1" applyFont="1" applyFill="1" applyBorder="1" applyAlignment="1" applyProtection="1">
      <alignment horizontal="left" vertical="center"/>
    </xf>
    <xf numFmtId="0" fontId="18" fillId="4" borderId="2" xfId="0" applyFont="1" applyFill="1" applyBorder="1" applyAlignment="1">
      <alignment horizontal="left" vertical="center"/>
    </xf>
    <xf numFmtId="0" fontId="18" fillId="4" borderId="24" xfId="0" applyFont="1" applyFill="1" applyBorder="1" applyAlignment="1" applyProtection="1">
      <alignment horizontal="left" vertical="center"/>
    </xf>
    <xf numFmtId="0" fontId="16" fillId="0" borderId="0" xfId="0" applyFont="1" applyAlignment="1">
      <alignment horizontal="center" vertical="center"/>
    </xf>
    <xf numFmtId="0" fontId="16" fillId="4" borderId="7" xfId="0" applyFont="1" applyFill="1" applyBorder="1" applyAlignment="1" applyProtection="1">
      <alignment horizontal="center" vertical="center"/>
    </xf>
    <xf numFmtId="0" fontId="0" fillId="4" borderId="16" xfId="0" applyFont="1" applyFill="1" applyBorder="1" applyAlignment="1" applyProtection="1">
      <alignment vertical="center"/>
    </xf>
    <xf numFmtId="0" fontId="0" fillId="4" borderId="7" xfId="0" applyFont="1" applyFill="1" applyBorder="1" applyAlignment="1" applyProtection="1">
      <alignment vertical="center"/>
    </xf>
    <xf numFmtId="0" fontId="16" fillId="4" borderId="9" xfId="0" applyFont="1" applyFill="1" applyBorder="1" applyAlignment="1" applyProtection="1">
      <alignment horizontal="right" vertical="center"/>
    </xf>
    <xf numFmtId="0" fontId="0" fillId="4" borderId="0" xfId="0" applyFont="1" applyFill="1" applyBorder="1" applyAlignment="1" applyProtection="1">
      <alignment vertical="center"/>
    </xf>
    <xf numFmtId="0" fontId="16" fillId="4" borderId="0" xfId="0" applyFont="1" applyFill="1" applyBorder="1" applyAlignment="1" applyProtection="1">
      <alignment horizontal="right" vertical="center"/>
    </xf>
    <xf numFmtId="0" fontId="0" fillId="4" borderId="10" xfId="0" applyFont="1" applyFill="1" applyBorder="1" applyAlignment="1" applyProtection="1">
      <alignment vertical="center"/>
    </xf>
    <xf numFmtId="0" fontId="20" fillId="0" borderId="0" xfId="0" applyFont="1" applyFill="1" applyBorder="1" applyAlignment="1" applyProtection="1">
      <alignment horizontal="center" vertical="center"/>
    </xf>
    <xf numFmtId="0" fontId="18" fillId="4" borderId="0" xfId="0" applyFont="1" applyFill="1" applyBorder="1" applyAlignment="1" applyProtection="1">
      <alignment vertical="center" wrapText="1"/>
    </xf>
    <xf numFmtId="0" fontId="18" fillId="4" borderId="0" xfId="0" applyFont="1" applyFill="1" applyBorder="1" applyAlignment="1" applyProtection="1">
      <alignment vertical="center"/>
    </xf>
    <xf numFmtId="0" fontId="18" fillId="4" borderId="10" xfId="0" applyFont="1" applyFill="1" applyBorder="1" applyAlignment="1" applyProtection="1">
      <alignment vertical="center"/>
    </xf>
    <xf numFmtId="0" fontId="6" fillId="0" borderId="0" xfId="6" applyFont="1" applyFill="1" applyProtection="1"/>
    <xf numFmtId="0" fontId="26" fillId="0" borderId="0" xfId="0" applyFont="1" applyFill="1" applyProtection="1"/>
    <xf numFmtId="0" fontId="27" fillId="0" borderId="0" xfId="0" applyFont="1" applyFill="1" applyBorder="1" applyProtection="1"/>
    <xf numFmtId="0" fontId="26" fillId="0" borderId="0" xfId="0" applyFont="1" applyFill="1" applyBorder="1" applyProtection="1"/>
    <xf numFmtId="0" fontId="6" fillId="4" borderId="11" xfId="6" applyFont="1" applyFill="1" applyBorder="1" applyProtection="1"/>
    <xf numFmtId="0" fontId="6" fillId="4" borderId="8" xfId="6" applyFont="1" applyFill="1" applyBorder="1" applyProtection="1"/>
    <xf numFmtId="0" fontId="6" fillId="4" borderId="12" xfId="6" applyFont="1" applyFill="1" applyBorder="1" applyProtection="1"/>
    <xf numFmtId="0" fontId="6" fillId="4" borderId="13" xfId="6" applyFont="1" applyFill="1" applyBorder="1" applyProtection="1"/>
    <xf numFmtId="0" fontId="6" fillId="4" borderId="14" xfId="6" applyFont="1" applyFill="1" applyBorder="1" applyProtection="1"/>
    <xf numFmtId="0" fontId="6" fillId="5" borderId="18" xfId="6" applyFont="1" applyFill="1" applyBorder="1" applyProtection="1"/>
    <xf numFmtId="0" fontId="6" fillId="4" borderId="0" xfId="6" quotePrefix="1" applyFont="1" applyFill="1" applyBorder="1" applyAlignment="1" applyProtection="1">
      <alignment vertical="center"/>
    </xf>
    <xf numFmtId="0" fontId="6" fillId="4" borderId="0" xfId="6" applyFont="1" applyFill="1" applyBorder="1" applyAlignment="1" applyProtection="1">
      <alignment wrapText="1"/>
    </xf>
    <xf numFmtId="0" fontId="6" fillId="4" borderId="0" xfId="6" applyFont="1" applyFill="1" applyBorder="1" applyAlignment="1" applyProtection="1">
      <alignment horizontal="center"/>
    </xf>
    <xf numFmtId="0" fontId="6" fillId="4" borderId="0" xfId="6" applyFont="1" applyFill="1" applyBorder="1" applyProtection="1"/>
    <xf numFmtId="0" fontId="6" fillId="0" borderId="0" xfId="0" applyFont="1" applyFill="1" applyBorder="1" applyAlignment="1" applyProtection="1">
      <alignment horizontal="left"/>
    </xf>
    <xf numFmtId="0" fontId="28" fillId="4" borderId="0" xfId="6" applyFont="1" applyFill="1" applyBorder="1" applyAlignment="1" applyProtection="1">
      <alignment horizontal="right" vertical="center"/>
    </xf>
    <xf numFmtId="0" fontId="6" fillId="5" borderId="10" xfId="6" applyNumberFormat="1" applyFont="1" applyFill="1" applyBorder="1" applyAlignment="1" applyProtection="1">
      <alignment horizontal="left" vertical="center"/>
      <protection locked="0"/>
    </xf>
    <xf numFmtId="0" fontId="6" fillId="5" borderId="16" xfId="6" applyNumberFormat="1" applyFont="1" applyFill="1" applyBorder="1" applyAlignment="1" applyProtection="1">
      <alignment horizontal="left" vertical="center"/>
      <protection locked="0"/>
    </xf>
    <xf numFmtId="0" fontId="7" fillId="4" borderId="0" xfId="6" quotePrefix="1" applyFont="1" applyFill="1" applyBorder="1" applyAlignment="1" applyProtection="1">
      <alignment horizontal="left"/>
    </xf>
    <xf numFmtId="0" fontId="21" fillId="4" borderId="0" xfId="6" applyFont="1" applyFill="1" applyProtection="1"/>
    <xf numFmtId="0" fontId="6" fillId="4" borderId="10" xfId="6" applyFont="1" applyFill="1" applyBorder="1" applyProtection="1"/>
    <xf numFmtId="0" fontId="6" fillId="4" borderId="0" xfId="6" quotePrefix="1" applyFont="1" applyFill="1" applyBorder="1" applyAlignment="1" applyProtection="1">
      <alignment horizontal="left"/>
    </xf>
    <xf numFmtId="0" fontId="29" fillId="4" borderId="18" xfId="4" applyFont="1" applyFill="1" applyBorder="1" applyAlignment="1" applyProtection="1">
      <alignment horizontal="left" vertical="top"/>
      <protection locked="0"/>
    </xf>
    <xf numFmtId="0" fontId="6" fillId="4" borderId="18" xfId="6" applyFont="1" applyFill="1" applyBorder="1" applyAlignment="1" applyProtection="1">
      <alignment horizontal="left" vertical="center" wrapText="1" indent="1"/>
    </xf>
    <xf numFmtId="0" fontId="6" fillId="0" borderId="0" xfId="6" applyFont="1" applyFill="1" applyAlignment="1" applyProtection="1">
      <alignment vertical="center"/>
    </xf>
    <xf numFmtId="0" fontId="6" fillId="4" borderId="13" xfId="6" applyFont="1" applyFill="1" applyBorder="1" applyAlignment="1" applyProtection="1">
      <alignment vertical="center"/>
    </xf>
    <xf numFmtId="0" fontId="6" fillId="4" borderId="0" xfId="6" quotePrefix="1" applyFont="1" applyFill="1" applyBorder="1" applyAlignment="1" applyProtection="1">
      <alignment horizontal="left" vertical="center"/>
    </xf>
    <xf numFmtId="0" fontId="29" fillId="4" borderId="18" xfId="4" applyFont="1" applyFill="1" applyBorder="1" applyAlignment="1" applyProtection="1">
      <alignment vertical="center"/>
      <protection locked="0"/>
    </xf>
    <xf numFmtId="0" fontId="6" fillId="4" borderId="14" xfId="6" applyFont="1" applyFill="1" applyBorder="1" applyAlignment="1" applyProtection="1">
      <alignment vertical="center"/>
    </xf>
    <xf numFmtId="0" fontId="26" fillId="0" borderId="0" xfId="0" applyFont="1" applyFill="1" applyAlignment="1" applyProtection="1">
      <alignment vertical="center"/>
    </xf>
    <xf numFmtId="0" fontId="6" fillId="0" borderId="0" xfId="0" applyFont="1" applyFill="1" applyBorder="1" applyAlignment="1" applyProtection="1">
      <alignment horizontal="left" vertical="center"/>
    </xf>
    <xf numFmtId="0" fontId="26" fillId="0" borderId="0" xfId="0" applyFont="1" applyFill="1" applyBorder="1" applyAlignment="1" applyProtection="1">
      <alignment vertical="center"/>
    </xf>
    <xf numFmtId="0" fontId="6" fillId="4" borderId="0" xfId="6" applyFont="1" applyFill="1" applyBorder="1" applyAlignment="1" applyProtection="1">
      <alignment vertical="center"/>
    </xf>
    <xf numFmtId="0" fontId="29" fillId="4" borderId="18" xfId="4" applyFont="1" applyFill="1" applyBorder="1" applyAlignment="1" applyProtection="1">
      <alignment vertical="top"/>
      <protection locked="0"/>
    </xf>
    <xf numFmtId="0" fontId="6" fillId="0" borderId="0" xfId="0" applyFont="1" applyFill="1" applyBorder="1" applyAlignment="1" applyProtection="1">
      <alignment horizontal="left" vertical="top" wrapText="1"/>
    </xf>
    <xf numFmtId="0" fontId="21" fillId="4" borderId="18" xfId="6" applyFont="1" applyFill="1" applyBorder="1" applyAlignment="1" applyProtection="1">
      <alignment vertical="top"/>
    </xf>
    <xf numFmtId="0" fontId="30" fillId="4" borderId="0" xfId="4" applyFont="1" applyFill="1" applyAlignment="1" applyProtection="1"/>
    <xf numFmtId="0" fontId="6" fillId="4" borderId="0" xfId="6" quotePrefix="1" applyFont="1" applyFill="1" applyBorder="1" applyAlignment="1" applyProtection="1">
      <alignment horizontal="left" vertical="top" wrapText="1"/>
    </xf>
    <xf numFmtId="0" fontId="6" fillId="4" borderId="6" xfId="6" applyFont="1" applyFill="1" applyBorder="1" applyProtection="1"/>
    <xf numFmtId="0" fontId="6" fillId="4" borderId="1" xfId="6" applyFont="1" applyFill="1" applyBorder="1" applyAlignment="1" applyProtection="1">
      <alignment wrapText="1"/>
    </xf>
    <xf numFmtId="0" fontId="6" fillId="4" borderId="1" xfId="6" applyFont="1" applyFill="1" applyBorder="1" applyProtection="1"/>
    <xf numFmtId="0" fontId="6" fillId="4" borderId="21" xfId="6" applyFont="1" applyFill="1" applyBorder="1" applyAlignment="1" applyProtection="1">
      <alignment horizontal="right"/>
    </xf>
    <xf numFmtId="0" fontId="6" fillId="0" borderId="0" xfId="6" applyFont="1" applyFill="1" applyBorder="1" applyAlignment="1" applyProtection="1"/>
    <xf numFmtId="0" fontId="6" fillId="0" borderId="0" xfId="6" applyFont="1" applyFill="1" applyBorder="1" applyProtection="1"/>
    <xf numFmtId="0" fontId="26" fillId="0" borderId="0" xfId="0" applyFont="1" applyFill="1" applyBorder="1" applyAlignment="1" applyProtection="1">
      <alignment horizontal="center" vertical="center"/>
    </xf>
    <xf numFmtId="0" fontId="26" fillId="4" borderId="11" xfId="0" applyFont="1" applyFill="1" applyBorder="1" applyProtection="1"/>
    <xf numFmtId="0" fontId="26" fillId="4" borderId="8" xfId="0" applyFont="1" applyFill="1" applyBorder="1" applyProtection="1"/>
    <xf numFmtId="0" fontId="26" fillId="4" borderId="12" xfId="0" applyFont="1" applyFill="1" applyBorder="1" applyProtection="1"/>
    <xf numFmtId="0" fontId="26" fillId="4" borderId="13" xfId="0" applyFont="1" applyFill="1" applyBorder="1" applyProtection="1"/>
    <xf numFmtId="0" fontId="26" fillId="4" borderId="0" xfId="0" applyFont="1" applyFill="1" applyBorder="1" applyProtection="1"/>
    <xf numFmtId="0" fontId="0" fillId="4" borderId="0" xfId="0" applyFont="1" applyFill="1" applyAlignment="1" applyProtection="1">
      <alignment horizontal="center" vertical="center"/>
    </xf>
    <xf numFmtId="0" fontId="26" fillId="4" borderId="14" xfId="0" applyFont="1" applyFill="1" applyBorder="1" applyProtection="1"/>
    <xf numFmtId="0" fontId="27" fillId="4" borderId="0" xfId="0" applyFont="1" applyFill="1" applyBorder="1" applyAlignment="1" applyProtection="1">
      <alignment vertical="center"/>
    </xf>
    <xf numFmtId="49" fontId="26" fillId="4" borderId="0" xfId="2" applyNumberFormat="1" applyFont="1" applyFill="1" applyBorder="1" applyAlignment="1" applyProtection="1">
      <alignment vertical="center"/>
    </xf>
    <xf numFmtId="0" fontId="27" fillId="4" borderId="0" xfId="2" quotePrefix="1" applyNumberFormat="1" applyFont="1" applyFill="1" applyBorder="1" applyAlignment="1" applyProtection="1">
      <alignment vertical="center"/>
    </xf>
    <xf numFmtId="0" fontId="26" fillId="4" borderId="0" xfId="0" applyFont="1" applyFill="1" applyBorder="1" applyAlignment="1" applyProtection="1">
      <alignment vertical="center"/>
    </xf>
    <xf numFmtId="0" fontId="26" fillId="4" borderId="0" xfId="0" applyFont="1" applyFill="1" applyBorder="1" applyAlignment="1" applyProtection="1">
      <alignment vertical="center" wrapText="1"/>
    </xf>
    <xf numFmtId="164" fontId="26" fillId="4" borderId="0" xfId="2" applyNumberFormat="1" applyFont="1" applyFill="1" applyBorder="1" applyAlignment="1" applyProtection="1">
      <alignment vertical="center"/>
    </xf>
    <xf numFmtId="0" fontId="27" fillId="4" borderId="0" xfId="2" quotePrefix="1" applyNumberFormat="1" applyFont="1" applyFill="1" applyBorder="1" applyAlignment="1" applyProtection="1">
      <alignment horizontal="left" vertical="center"/>
    </xf>
    <xf numFmtId="0" fontId="27" fillId="4" borderId="0" xfId="0" applyFont="1" applyFill="1" applyBorder="1" applyAlignment="1" applyProtection="1">
      <alignment horizontal="center" vertical="center"/>
    </xf>
    <xf numFmtId="0" fontId="26" fillId="4" borderId="3" xfId="0" applyFont="1" applyFill="1" applyBorder="1" applyProtection="1"/>
    <xf numFmtId="0" fontId="7" fillId="4" borderId="7" xfId="6" applyFont="1" applyFill="1" applyBorder="1" applyAlignment="1" applyProtection="1">
      <alignment horizontal="center" vertical="center"/>
    </xf>
    <xf numFmtId="0" fontId="7" fillId="4" borderId="16" xfId="6" applyFont="1" applyFill="1" applyBorder="1" applyAlignment="1" applyProtection="1">
      <alignment horizontal="center" vertical="center"/>
    </xf>
    <xf numFmtId="0" fontId="7" fillId="4" borderId="15" xfId="6" applyFont="1" applyFill="1" applyBorder="1" applyAlignment="1" applyProtection="1">
      <alignment horizontal="center" vertical="center"/>
    </xf>
    <xf numFmtId="0" fontId="26" fillId="4" borderId="4" xfId="0" applyFont="1" applyFill="1" applyBorder="1" applyProtection="1"/>
    <xf numFmtId="0" fontId="7" fillId="4" borderId="0" xfId="6" applyFont="1" applyFill="1" applyBorder="1" applyAlignment="1" applyProtection="1">
      <alignment horizontal="center" vertical="center"/>
    </xf>
    <xf numFmtId="0" fontId="7" fillId="4" borderId="9" xfId="6" applyFont="1" applyFill="1" applyBorder="1" applyAlignment="1" applyProtection="1">
      <alignment horizontal="center" vertical="center"/>
    </xf>
    <xf numFmtId="0" fontId="6" fillId="4" borderId="9" xfId="6" applyFont="1" applyFill="1" applyBorder="1" applyAlignment="1" applyProtection="1">
      <alignment horizontal="center" vertical="center"/>
    </xf>
    <xf numFmtId="0" fontId="6" fillId="5" borderId="18" xfId="6" applyFont="1" applyFill="1" applyBorder="1" applyAlignment="1" applyProtection="1">
      <alignment horizontal="center" vertical="center"/>
      <protection locked="0"/>
    </xf>
    <xf numFmtId="0" fontId="7" fillId="4" borderId="0" xfId="6" applyFont="1" applyFill="1" applyBorder="1" applyAlignment="1" applyProtection="1">
      <alignment horizontal="left" vertical="center"/>
    </xf>
    <xf numFmtId="1" fontId="6" fillId="4" borderId="0" xfId="6" applyNumberFormat="1" applyFont="1" applyFill="1" applyBorder="1" applyAlignment="1" applyProtection="1">
      <alignment horizontal="center" vertical="center"/>
    </xf>
    <xf numFmtId="1" fontId="6" fillId="4" borderId="9" xfId="6" applyNumberFormat="1" applyFont="1" applyFill="1" applyBorder="1" applyAlignment="1" applyProtection="1">
      <alignment horizontal="center" vertical="center"/>
    </xf>
    <xf numFmtId="0" fontId="28" fillId="0" borderId="0" xfId="0" applyFont="1" applyFill="1" applyBorder="1" applyAlignment="1" applyProtection="1">
      <alignment horizontal="center" vertical="center"/>
    </xf>
    <xf numFmtId="164" fontId="28" fillId="0" borderId="0" xfId="2" applyNumberFormat="1" applyFont="1" applyFill="1" applyBorder="1" applyAlignment="1" applyProtection="1">
      <alignment horizontal="right" vertical="center"/>
    </xf>
    <xf numFmtId="44" fontId="26" fillId="0" borderId="18" xfId="0" applyNumberFormat="1" applyFont="1" applyFill="1" applyBorder="1" applyProtection="1"/>
    <xf numFmtId="44" fontId="26" fillId="0" borderId="0" xfId="0" applyNumberFormat="1" applyFont="1" applyFill="1" applyProtection="1"/>
    <xf numFmtId="0" fontId="6" fillId="4" borderId="17" xfId="6" applyFont="1" applyFill="1" applyBorder="1" applyProtection="1"/>
    <xf numFmtId="6" fontId="0" fillId="0" borderId="0" xfId="0" applyNumberFormat="1" applyFont="1" applyFill="1" applyBorder="1" applyAlignment="1" applyProtection="1">
      <alignment horizontal="right" vertical="center"/>
    </xf>
    <xf numFmtId="0" fontId="26" fillId="4" borderId="6" xfId="0" applyFont="1" applyFill="1" applyBorder="1" applyProtection="1"/>
    <xf numFmtId="0" fontId="26" fillId="4" borderId="1" xfId="0" applyFont="1" applyFill="1" applyBorder="1" applyProtection="1"/>
    <xf numFmtId="0" fontId="26" fillId="4" borderId="21" xfId="0" applyFont="1" applyFill="1" applyBorder="1" applyProtection="1"/>
    <xf numFmtId="0" fontId="0" fillId="0" borderId="0" xfId="0" applyFont="1" applyFill="1" applyBorder="1" applyAlignment="1" applyProtection="1">
      <alignment horizontal="right" vertical="center"/>
    </xf>
    <xf numFmtId="6" fontId="16" fillId="0" borderId="0" xfId="0" applyNumberFormat="1" applyFont="1" applyFill="1" applyBorder="1" applyAlignment="1" applyProtection="1">
      <alignment horizontal="right" vertical="center"/>
    </xf>
    <xf numFmtId="0" fontId="21" fillId="0" borderId="0" xfId="0" applyFont="1" applyFill="1" applyProtection="1"/>
    <xf numFmtId="0" fontId="21" fillId="0" borderId="0" xfId="0" applyFont="1" applyFill="1" applyBorder="1" applyProtection="1"/>
    <xf numFmtId="0" fontId="21" fillId="4" borderId="11" xfId="0" applyFont="1" applyFill="1" applyBorder="1" applyAlignment="1" applyProtection="1">
      <alignment vertical="center"/>
    </xf>
    <xf numFmtId="0" fontId="21" fillId="4" borderId="12" xfId="0" applyFont="1" applyFill="1" applyBorder="1" applyAlignment="1" applyProtection="1">
      <alignment vertical="center"/>
    </xf>
    <xf numFmtId="0" fontId="21" fillId="0" borderId="0" xfId="0" applyFont="1" applyBorder="1" applyProtection="1"/>
    <xf numFmtId="0" fontId="21" fillId="0" borderId="0" xfId="0" applyFont="1" applyProtection="1"/>
    <xf numFmtId="0" fontId="21" fillId="4" borderId="13" xfId="0" applyFont="1" applyFill="1" applyBorder="1" applyAlignment="1" applyProtection="1">
      <alignment vertical="center"/>
    </xf>
    <xf numFmtId="0" fontId="21" fillId="4" borderId="0" xfId="0" applyFont="1" applyFill="1" applyBorder="1" applyAlignment="1" applyProtection="1">
      <alignment vertical="center"/>
    </xf>
    <xf numFmtId="0" fontId="28" fillId="4" borderId="0" xfId="0" applyFont="1" applyFill="1" applyBorder="1" applyAlignment="1" applyProtection="1">
      <alignment vertical="center"/>
    </xf>
    <xf numFmtId="0" fontId="28" fillId="4" borderId="0" xfId="0" applyFont="1" applyFill="1" applyBorder="1" applyAlignment="1" applyProtection="1">
      <alignment horizontal="left" vertical="center"/>
    </xf>
    <xf numFmtId="0" fontId="28" fillId="4" borderId="0" xfId="0" applyFont="1" applyFill="1" applyBorder="1" applyAlignment="1" applyProtection="1">
      <alignment horizontal="center" vertical="center"/>
    </xf>
    <xf numFmtId="0" fontId="21" fillId="4" borderId="14" xfId="0" applyFont="1" applyFill="1" applyBorder="1" applyAlignment="1" applyProtection="1">
      <alignment vertical="center"/>
    </xf>
    <xf numFmtId="0" fontId="28" fillId="0" borderId="0" xfId="0" applyFont="1" applyFill="1" applyProtection="1"/>
    <xf numFmtId="0" fontId="28" fillId="4" borderId="13" xfId="0" applyFont="1" applyFill="1" applyBorder="1" applyAlignment="1" applyProtection="1">
      <alignment vertical="center"/>
    </xf>
    <xf numFmtId="0" fontId="28" fillId="4" borderId="14" xfId="0" applyFont="1" applyFill="1" applyBorder="1" applyAlignment="1" applyProtection="1">
      <alignment vertical="center"/>
    </xf>
    <xf numFmtId="0" fontId="28" fillId="0" borderId="0" xfId="0" applyFont="1" applyBorder="1" applyProtection="1"/>
    <xf numFmtId="0" fontId="28" fillId="0" borderId="0" xfId="0" applyFont="1" applyProtection="1"/>
    <xf numFmtId="0" fontId="21" fillId="4" borderId="3" xfId="0" applyFont="1" applyFill="1" applyBorder="1" applyAlignment="1" applyProtection="1">
      <alignment vertical="center"/>
    </xf>
    <xf numFmtId="0" fontId="21" fillId="4" borderId="7" xfId="0" applyFont="1" applyFill="1" applyBorder="1" applyAlignment="1" applyProtection="1">
      <alignment vertical="center"/>
    </xf>
    <xf numFmtId="0" fontId="21" fillId="4" borderId="15" xfId="0" applyFont="1" applyFill="1" applyBorder="1" applyAlignment="1" applyProtection="1">
      <alignment vertical="center"/>
    </xf>
    <xf numFmtId="0" fontId="21" fillId="4" borderId="9" xfId="0" applyFont="1" applyFill="1" applyBorder="1" applyAlignment="1" applyProtection="1">
      <alignment vertical="center"/>
    </xf>
    <xf numFmtId="0" fontId="21" fillId="4" borderId="4" xfId="0" applyFont="1" applyFill="1" applyBorder="1" applyAlignment="1" applyProtection="1">
      <alignment vertical="center"/>
    </xf>
    <xf numFmtId="0" fontId="28" fillId="4" borderId="0" xfId="0" applyFont="1" applyFill="1" applyBorder="1" applyAlignment="1" applyProtection="1">
      <alignment horizontal="center" vertical="center" wrapText="1"/>
    </xf>
    <xf numFmtId="0" fontId="21" fillId="4" borderId="9" xfId="0" applyFont="1" applyFill="1" applyBorder="1" applyAlignment="1" applyProtection="1">
      <alignment vertical="center" wrapText="1"/>
    </xf>
    <xf numFmtId="0" fontId="21" fillId="4" borderId="14" xfId="0" applyFont="1" applyFill="1" applyBorder="1" applyAlignment="1" applyProtection="1">
      <alignment vertical="center" wrapText="1"/>
    </xf>
    <xf numFmtId="0" fontId="21" fillId="0" borderId="0" xfId="0" applyFont="1" applyBorder="1" applyAlignment="1" applyProtection="1">
      <alignment vertical="center" wrapText="1"/>
    </xf>
    <xf numFmtId="5" fontId="28" fillId="0" borderId="24" xfId="0" applyNumberFormat="1" applyFont="1" applyBorder="1" applyAlignment="1" applyProtection="1">
      <alignment horizontal="center" vertical="center" wrapText="1"/>
    </xf>
    <xf numFmtId="5" fontId="28" fillId="0" borderId="5" xfId="0" applyNumberFormat="1" applyFont="1" applyBorder="1" applyAlignment="1" applyProtection="1">
      <alignment horizontal="center" vertical="center" wrapText="1"/>
    </xf>
    <xf numFmtId="5" fontId="28" fillId="0" borderId="18" xfId="0" applyNumberFormat="1" applyFont="1" applyBorder="1" applyAlignment="1" applyProtection="1">
      <alignment horizontal="center" vertical="center" wrapText="1"/>
    </xf>
    <xf numFmtId="5" fontId="28" fillId="4" borderId="0" xfId="0" applyNumberFormat="1" applyFont="1" applyFill="1" applyBorder="1" applyAlignment="1" applyProtection="1">
      <alignment horizontal="center" vertical="center" wrapText="1"/>
    </xf>
    <xf numFmtId="0" fontId="14" fillId="3" borderId="18" xfId="0" applyFont="1" applyFill="1" applyBorder="1" applyAlignment="1" applyProtection="1">
      <alignment vertical="center"/>
    </xf>
    <xf numFmtId="0" fontId="14" fillId="4" borderId="0" xfId="0" applyFont="1" applyFill="1" applyBorder="1" applyAlignment="1" applyProtection="1">
      <alignment vertical="center"/>
    </xf>
    <xf numFmtId="37" fontId="28" fillId="4" borderId="19" xfId="0" applyNumberFormat="1" applyFont="1" applyFill="1" applyBorder="1" applyAlignment="1" applyProtection="1">
      <alignment horizontal="center" vertical="center"/>
    </xf>
    <xf numFmtId="37" fontId="28" fillId="4" borderId="16" xfId="0" applyNumberFormat="1" applyFont="1" applyFill="1" applyBorder="1" applyAlignment="1" applyProtection="1">
      <alignment horizontal="center" vertical="center"/>
    </xf>
    <xf numFmtId="37" fontId="28" fillId="4" borderId="22" xfId="0" applyNumberFormat="1" applyFont="1" applyFill="1" applyBorder="1" applyAlignment="1" applyProtection="1">
      <alignment horizontal="center" vertical="center"/>
    </xf>
    <xf numFmtId="37" fontId="28" fillId="4" borderId="0" xfId="0" applyNumberFormat="1" applyFont="1" applyFill="1" applyBorder="1" applyAlignment="1" applyProtection="1">
      <alignment horizontal="center" vertical="center"/>
    </xf>
    <xf numFmtId="3" fontId="28" fillId="4" borderId="19" xfId="0" applyNumberFormat="1" applyFont="1" applyFill="1" applyBorder="1" applyAlignment="1" applyProtection="1">
      <alignment horizontal="center" vertical="center"/>
    </xf>
    <xf numFmtId="3" fontId="28" fillId="4" borderId="16" xfId="0" applyNumberFormat="1" applyFont="1" applyFill="1" applyBorder="1" applyAlignment="1" applyProtection="1">
      <alignment horizontal="center" vertical="center"/>
    </xf>
    <xf numFmtId="3" fontId="28" fillId="4" borderId="22" xfId="0" applyNumberFormat="1" applyFont="1" applyFill="1" applyBorder="1" applyAlignment="1" applyProtection="1">
      <alignment horizontal="center" vertical="center"/>
    </xf>
    <xf numFmtId="3" fontId="28" fillId="4" borderId="0" xfId="0" applyNumberFormat="1" applyFont="1" applyFill="1" applyBorder="1" applyAlignment="1" applyProtection="1">
      <alignment horizontal="center" vertical="center"/>
    </xf>
    <xf numFmtId="0" fontId="21" fillId="8" borderId="24" xfId="0" applyFont="1" applyFill="1" applyBorder="1" applyAlignment="1" applyProtection="1">
      <alignment vertical="center"/>
      <protection locked="0"/>
    </xf>
    <xf numFmtId="165" fontId="21" fillId="8" borderId="19" xfId="0" applyNumberFormat="1" applyFont="1" applyFill="1" applyBorder="1" applyAlignment="1" applyProtection="1">
      <alignment horizontal="center" vertical="center"/>
      <protection locked="0"/>
    </xf>
    <xf numFmtId="44" fontId="21" fillId="8" borderId="16" xfId="0" applyNumberFormat="1" applyFont="1" applyFill="1" applyBorder="1" applyAlignment="1" applyProtection="1">
      <alignment horizontal="center" vertical="center"/>
      <protection locked="0"/>
    </xf>
    <xf numFmtId="44" fontId="21" fillId="0" borderId="18" xfId="0" applyNumberFormat="1" applyFont="1" applyFill="1" applyBorder="1" applyAlignment="1" applyProtection="1">
      <alignment horizontal="center" vertical="center"/>
    </xf>
    <xf numFmtId="44" fontId="21" fillId="4" borderId="0" xfId="0" applyNumberFormat="1" applyFont="1" applyFill="1" applyBorder="1" applyAlignment="1" applyProtection="1">
      <alignment horizontal="center" vertical="center"/>
    </xf>
    <xf numFmtId="0" fontId="28" fillId="4" borderId="9" xfId="0" applyFont="1" applyFill="1" applyBorder="1" applyAlignment="1" applyProtection="1">
      <alignment vertical="center"/>
    </xf>
    <xf numFmtId="0" fontId="21" fillId="8" borderId="18" xfId="0" applyFont="1" applyFill="1" applyBorder="1" applyAlignment="1" applyProtection="1">
      <alignment vertical="center"/>
      <protection locked="0"/>
    </xf>
    <xf numFmtId="0" fontId="21" fillId="8" borderId="18" xfId="0" applyFont="1" applyFill="1" applyBorder="1" applyAlignment="1" applyProtection="1">
      <alignment horizontal="left" vertical="center"/>
      <protection locked="0"/>
    </xf>
    <xf numFmtId="0" fontId="21" fillId="4" borderId="0" xfId="0" applyFont="1" applyFill="1" applyBorder="1" applyAlignment="1" applyProtection="1">
      <alignment horizontal="left" vertical="center"/>
    </xf>
    <xf numFmtId="0" fontId="28" fillId="2" borderId="18" xfId="0" applyFont="1" applyFill="1" applyBorder="1" applyAlignment="1" applyProtection="1">
      <alignment vertical="center"/>
    </xf>
    <xf numFmtId="165" fontId="28" fillId="0" borderId="18" xfId="0" applyNumberFormat="1" applyFont="1" applyFill="1" applyBorder="1" applyAlignment="1" applyProtection="1">
      <alignment horizontal="center" vertical="center"/>
    </xf>
    <xf numFmtId="44" fontId="28" fillId="0" borderId="23" xfId="0" applyNumberFormat="1" applyFont="1" applyFill="1" applyBorder="1" applyAlignment="1" applyProtection="1">
      <alignment horizontal="center" vertical="center"/>
    </xf>
    <xf numFmtId="44" fontId="28" fillId="0" borderId="18" xfId="0" applyNumberFormat="1" applyFont="1" applyFill="1" applyBorder="1" applyAlignment="1" applyProtection="1">
      <alignment horizontal="center" vertical="center"/>
    </xf>
    <xf numFmtId="44" fontId="28" fillId="4" borderId="0" xfId="0" applyNumberFormat="1" applyFont="1" applyFill="1" applyBorder="1" applyAlignment="1" applyProtection="1">
      <alignment horizontal="center" vertical="center"/>
    </xf>
    <xf numFmtId="0" fontId="28" fillId="2" borderId="23" xfId="0" applyFont="1" applyFill="1" applyBorder="1" applyAlignment="1" applyProtection="1">
      <alignment vertical="center"/>
    </xf>
    <xf numFmtId="0" fontId="28" fillId="2" borderId="4" xfId="0" applyFont="1" applyFill="1" applyBorder="1" applyAlignment="1" applyProtection="1">
      <alignment vertical="center"/>
    </xf>
    <xf numFmtId="0" fontId="28" fillId="2" borderId="0" xfId="0" applyFont="1" applyFill="1" applyBorder="1" applyAlignment="1" applyProtection="1">
      <alignment vertical="center"/>
    </xf>
    <xf numFmtId="0" fontId="28" fillId="2" borderId="9" xfId="0" applyFont="1" applyFill="1" applyBorder="1" applyAlignment="1" applyProtection="1">
      <alignment vertical="center"/>
    </xf>
    <xf numFmtId="0" fontId="28" fillId="4" borderId="5" xfId="0" applyFont="1" applyFill="1" applyBorder="1" applyAlignment="1" applyProtection="1">
      <alignment horizontal="center" vertical="center"/>
    </xf>
    <xf numFmtId="0" fontId="28" fillId="4" borderId="10" xfId="0" applyFont="1" applyFill="1" applyBorder="1" applyAlignment="1" applyProtection="1">
      <alignment horizontal="center" vertical="center"/>
    </xf>
    <xf numFmtId="0" fontId="28" fillId="4" borderId="17" xfId="0" applyFont="1" applyFill="1" applyBorder="1" applyAlignment="1" applyProtection="1">
      <alignment horizontal="center" vertical="center"/>
    </xf>
    <xf numFmtId="3" fontId="28" fillId="4" borderId="5" xfId="0" applyNumberFormat="1" applyFont="1" applyFill="1" applyBorder="1" applyAlignment="1" applyProtection="1">
      <alignment horizontal="center" vertical="center"/>
    </xf>
    <xf numFmtId="3" fontId="28" fillId="4" borderId="10" xfId="0" applyNumberFormat="1" applyFont="1" applyFill="1" applyBorder="1" applyAlignment="1" applyProtection="1">
      <alignment horizontal="center" vertical="center"/>
    </xf>
    <xf numFmtId="3" fontId="28" fillId="4" borderId="17" xfId="0" applyNumberFormat="1" applyFont="1" applyFill="1" applyBorder="1" applyAlignment="1" applyProtection="1">
      <alignment horizontal="center" vertical="center"/>
    </xf>
    <xf numFmtId="165" fontId="21" fillId="4" borderId="0" xfId="0" applyNumberFormat="1" applyFont="1" applyFill="1" applyBorder="1" applyAlignment="1" applyProtection="1">
      <alignment horizontal="center" vertical="center"/>
    </xf>
    <xf numFmtId="3" fontId="21" fillId="4" borderId="9" xfId="0" applyNumberFormat="1" applyFont="1" applyFill="1" applyBorder="1" applyAlignment="1" applyProtection="1">
      <alignment vertical="center"/>
    </xf>
    <xf numFmtId="0" fontId="21" fillId="8" borderId="18" xfId="0" applyFont="1" applyFill="1" applyBorder="1" applyAlignment="1" applyProtection="1">
      <alignment vertical="center" wrapText="1"/>
      <protection locked="0"/>
    </xf>
    <xf numFmtId="0" fontId="21" fillId="4" borderId="0" xfId="0" applyFont="1" applyFill="1" applyBorder="1" applyAlignment="1" applyProtection="1">
      <alignment vertical="center" wrapText="1"/>
    </xf>
    <xf numFmtId="165" fontId="28" fillId="4" borderId="0" xfId="0" applyNumberFormat="1" applyFont="1" applyFill="1" applyBorder="1" applyAlignment="1" applyProtection="1">
      <alignment horizontal="center" vertical="center"/>
    </xf>
    <xf numFmtId="0" fontId="28" fillId="4" borderId="2" xfId="0" applyFont="1" applyFill="1" applyBorder="1" applyAlignment="1" applyProtection="1">
      <alignment vertical="center"/>
    </xf>
    <xf numFmtId="165" fontId="28" fillId="4" borderId="3" xfId="0" applyNumberFormat="1" applyFont="1" applyFill="1" applyBorder="1" applyAlignment="1" applyProtection="1">
      <alignment horizontal="center" vertical="center"/>
    </xf>
    <xf numFmtId="44" fontId="28" fillId="4" borderId="10" xfId="0" applyNumberFormat="1" applyFont="1" applyFill="1" applyBorder="1" applyAlignment="1" applyProtection="1">
      <alignment horizontal="center" vertical="center"/>
    </xf>
    <xf numFmtId="44" fontId="28" fillId="4" borderId="22" xfId="0" applyNumberFormat="1" applyFont="1" applyFill="1" applyBorder="1" applyAlignment="1" applyProtection="1">
      <alignment horizontal="center" vertical="center"/>
    </xf>
    <xf numFmtId="44" fontId="21" fillId="4" borderId="10" xfId="0" applyNumberFormat="1" applyFont="1" applyFill="1" applyBorder="1" applyAlignment="1" applyProtection="1">
      <alignment horizontal="center" vertical="center"/>
    </xf>
    <xf numFmtId="165" fontId="28" fillId="4" borderId="22" xfId="0" applyNumberFormat="1" applyFont="1" applyFill="1" applyBorder="1" applyAlignment="1" applyProtection="1">
      <alignment horizontal="center" vertical="center"/>
    </xf>
    <xf numFmtId="165" fontId="28" fillId="4" borderId="9" xfId="0" applyNumberFormat="1" applyFont="1" applyFill="1" applyBorder="1" applyAlignment="1" applyProtection="1">
      <alignment horizontal="center" vertical="center"/>
    </xf>
    <xf numFmtId="0" fontId="28" fillId="0" borderId="2" xfId="0" applyFont="1" applyBorder="1" applyAlignment="1" applyProtection="1">
      <alignment horizontal="center" vertical="center" wrapText="1"/>
    </xf>
    <xf numFmtId="5" fontId="28" fillId="4" borderId="2" xfId="0" applyNumberFormat="1" applyFont="1" applyFill="1" applyBorder="1" applyAlignment="1" applyProtection="1">
      <alignment horizontal="center" vertical="center" wrapText="1"/>
    </xf>
    <xf numFmtId="5" fontId="28" fillId="0" borderId="10" xfId="0" applyNumberFormat="1" applyFont="1" applyBorder="1" applyAlignment="1" applyProtection="1">
      <alignment horizontal="center" vertical="center" wrapText="1"/>
    </xf>
    <xf numFmtId="0" fontId="21" fillId="0" borderId="0" xfId="0" applyFont="1" applyFill="1" applyBorder="1" applyAlignment="1" applyProtection="1">
      <alignment vertical="center" wrapText="1"/>
    </xf>
    <xf numFmtId="1" fontId="21" fillId="4" borderId="4" xfId="0" applyNumberFormat="1" applyFont="1" applyFill="1" applyBorder="1" applyAlignment="1" applyProtection="1">
      <alignment horizontal="center" vertical="center"/>
    </xf>
    <xf numFmtId="1" fontId="21" fillId="4" borderId="16" xfId="0" applyNumberFormat="1" applyFont="1" applyFill="1" applyBorder="1" applyAlignment="1" applyProtection="1">
      <alignment horizontal="center" vertical="center"/>
    </xf>
    <xf numFmtId="1" fontId="21" fillId="4" borderId="22" xfId="0" applyNumberFormat="1" applyFont="1" applyFill="1" applyBorder="1" applyAlignment="1" applyProtection="1">
      <alignment horizontal="center" vertical="center"/>
    </xf>
    <xf numFmtId="1" fontId="21" fillId="4" borderId="0" xfId="0" applyNumberFormat="1" applyFont="1" applyFill="1" applyBorder="1" applyAlignment="1" applyProtection="1">
      <alignment horizontal="center" vertical="center"/>
    </xf>
    <xf numFmtId="0" fontId="21" fillId="4" borderId="4" xfId="0" applyFont="1" applyFill="1" applyBorder="1" applyAlignment="1" applyProtection="1">
      <alignment horizontal="center" vertical="center"/>
    </xf>
    <xf numFmtId="0" fontId="21" fillId="4" borderId="7" xfId="0" applyFont="1" applyFill="1" applyBorder="1" applyAlignment="1" applyProtection="1">
      <alignment horizontal="center" vertical="center"/>
    </xf>
    <xf numFmtId="0" fontId="21" fillId="4" borderId="15" xfId="0" applyFont="1" applyFill="1" applyBorder="1" applyAlignment="1" applyProtection="1">
      <alignment horizontal="center" vertical="center"/>
    </xf>
    <xf numFmtId="0" fontId="21" fillId="4" borderId="9" xfId="0" applyFont="1" applyFill="1" applyBorder="1" applyAlignment="1" applyProtection="1">
      <alignment horizontal="center" vertical="center"/>
    </xf>
    <xf numFmtId="0" fontId="21" fillId="0" borderId="24" xfId="0" applyFont="1" applyFill="1" applyBorder="1" applyAlignment="1" applyProtection="1">
      <alignment vertical="center"/>
    </xf>
    <xf numFmtId="1" fontId="21" fillId="4" borderId="2" xfId="0" applyNumberFormat="1" applyFont="1" applyFill="1" applyBorder="1" applyAlignment="1" applyProtection="1">
      <alignment horizontal="center" vertical="center"/>
    </xf>
    <xf numFmtId="44" fontId="21" fillId="8" borderId="18" xfId="0" applyNumberFormat="1" applyFont="1" applyFill="1" applyBorder="1" applyAlignment="1" applyProtection="1">
      <alignment horizontal="center" vertical="center"/>
      <protection locked="0"/>
    </xf>
    <xf numFmtId="0" fontId="21" fillId="4" borderId="2" xfId="0" applyFont="1" applyFill="1" applyBorder="1" applyAlignment="1" applyProtection="1">
      <alignment horizontal="center" vertical="center"/>
    </xf>
    <xf numFmtId="0" fontId="21" fillId="0" borderId="18" xfId="0" applyFont="1" applyFill="1" applyBorder="1" applyAlignment="1" applyProtection="1">
      <alignment vertical="center"/>
    </xf>
    <xf numFmtId="166" fontId="21" fillId="0" borderId="18" xfId="0" applyNumberFormat="1" applyFont="1" applyFill="1" applyBorder="1" applyAlignment="1" applyProtection="1">
      <alignment horizontal="center" vertical="center"/>
    </xf>
    <xf numFmtId="166" fontId="21" fillId="0" borderId="22" xfId="0" applyNumberFormat="1" applyFont="1" applyFill="1" applyBorder="1" applyAlignment="1" applyProtection="1">
      <alignment horizontal="center" vertical="center"/>
    </xf>
    <xf numFmtId="10" fontId="21" fillId="0" borderId="18" xfId="0" applyNumberFormat="1" applyFont="1" applyFill="1" applyBorder="1" applyAlignment="1" applyProtection="1">
      <alignment horizontal="center" vertical="center"/>
    </xf>
    <xf numFmtId="10" fontId="21" fillId="0" borderId="22" xfId="0" applyNumberFormat="1" applyFont="1" applyFill="1" applyBorder="1" applyAlignment="1" applyProtection="1">
      <alignment horizontal="center" vertical="center"/>
    </xf>
    <xf numFmtId="0" fontId="21" fillId="4" borderId="5" xfId="0" applyFont="1" applyFill="1" applyBorder="1" applyAlignment="1" applyProtection="1">
      <alignment vertical="center"/>
    </xf>
    <xf numFmtId="0" fontId="28" fillId="2" borderId="10" xfId="0" applyFont="1" applyFill="1" applyBorder="1" applyAlignment="1" applyProtection="1">
      <alignment vertical="center"/>
    </xf>
    <xf numFmtId="0" fontId="28" fillId="4" borderId="10" xfId="0" applyFont="1" applyFill="1" applyBorder="1" applyAlignment="1" applyProtection="1">
      <alignment vertical="center"/>
    </xf>
    <xf numFmtId="0" fontId="21" fillId="4" borderId="10" xfId="0" applyFont="1" applyFill="1" applyBorder="1" applyAlignment="1" applyProtection="1">
      <alignment vertical="center"/>
    </xf>
    <xf numFmtId="165" fontId="28" fillId="2" borderId="10" xfId="0" applyNumberFormat="1" applyFont="1" applyFill="1" applyBorder="1" applyAlignment="1" applyProtection="1">
      <alignment horizontal="center" vertical="center"/>
    </xf>
    <xf numFmtId="44" fontId="28" fillId="2" borderId="10" xfId="0" applyNumberFormat="1" applyFont="1" applyFill="1" applyBorder="1" applyAlignment="1" applyProtection="1">
      <alignment horizontal="center" vertical="center"/>
    </xf>
    <xf numFmtId="165" fontId="28" fillId="4" borderId="10" xfId="0" applyNumberFormat="1" applyFont="1" applyFill="1" applyBorder="1" applyAlignment="1" applyProtection="1">
      <alignment horizontal="center" vertical="center"/>
    </xf>
    <xf numFmtId="0" fontId="21" fillId="4" borderId="17" xfId="0" applyFont="1" applyFill="1" applyBorder="1" applyAlignment="1" applyProtection="1">
      <alignment vertical="center"/>
    </xf>
    <xf numFmtId="5" fontId="21" fillId="0" borderId="0" xfId="0" applyNumberFormat="1" applyFont="1" applyFill="1" applyBorder="1" applyProtection="1"/>
    <xf numFmtId="165" fontId="28" fillId="2" borderId="0" xfId="0" applyNumberFormat="1" applyFont="1" applyFill="1" applyBorder="1" applyAlignment="1" applyProtection="1">
      <alignment horizontal="center" vertical="center"/>
    </xf>
    <xf numFmtId="44" fontId="28" fillId="2" borderId="0" xfId="0" applyNumberFormat="1" applyFont="1" applyFill="1" applyBorder="1" applyAlignment="1" applyProtection="1">
      <alignment horizontal="center" vertical="center"/>
    </xf>
    <xf numFmtId="0" fontId="28" fillId="2" borderId="7" xfId="0" applyFont="1" applyFill="1" applyBorder="1" applyAlignment="1" applyProtection="1">
      <alignment vertical="center"/>
    </xf>
    <xf numFmtId="0" fontId="28" fillId="4" borderId="7" xfId="0" applyFont="1" applyFill="1" applyBorder="1" applyAlignment="1" applyProtection="1">
      <alignment vertical="center"/>
    </xf>
    <xf numFmtId="165" fontId="28" fillId="2" borderId="7" xfId="0" applyNumberFormat="1" applyFont="1" applyFill="1" applyBorder="1" applyAlignment="1" applyProtection="1">
      <alignment horizontal="center" vertical="center"/>
    </xf>
    <xf numFmtId="44" fontId="28" fillId="2" borderId="7" xfId="0" applyNumberFormat="1" applyFont="1" applyFill="1" applyBorder="1" applyAlignment="1" applyProtection="1">
      <alignment horizontal="center" vertical="center"/>
    </xf>
    <xf numFmtId="44" fontId="28" fillId="4" borderId="7" xfId="0" applyNumberFormat="1" applyFont="1" applyFill="1" applyBorder="1" applyAlignment="1" applyProtection="1">
      <alignment horizontal="center" vertical="center"/>
    </xf>
    <xf numFmtId="165" fontId="28" fillId="4" borderId="7" xfId="0" applyNumberFormat="1" applyFont="1" applyFill="1" applyBorder="1" applyAlignment="1" applyProtection="1">
      <alignment horizontal="center" vertical="center"/>
    </xf>
    <xf numFmtId="0" fontId="14" fillId="9" borderId="18" xfId="0" applyFont="1" applyFill="1" applyBorder="1" applyAlignment="1" applyProtection="1">
      <alignment vertical="center"/>
    </xf>
    <xf numFmtId="42" fontId="28" fillId="4" borderId="0" xfId="0" applyNumberFormat="1" applyFont="1" applyFill="1" applyBorder="1" applyAlignment="1" applyProtection="1">
      <alignment vertical="center"/>
    </xf>
    <xf numFmtId="0" fontId="28" fillId="4" borderId="4" xfId="0" applyFont="1" applyFill="1" applyBorder="1" applyAlignment="1" applyProtection="1">
      <alignment vertical="center"/>
    </xf>
    <xf numFmtId="42" fontId="28" fillId="4" borderId="0" xfId="3" applyNumberFormat="1" applyFont="1" applyFill="1" applyBorder="1" applyAlignment="1" applyProtection="1">
      <alignment vertical="center"/>
    </xf>
    <xf numFmtId="0" fontId="31" fillId="4" borderId="14" xfId="0" applyFont="1" applyFill="1" applyBorder="1" applyAlignment="1" applyProtection="1">
      <alignment vertical="center"/>
    </xf>
    <xf numFmtId="0" fontId="28" fillId="0" borderId="0" xfId="0" applyFont="1" applyFill="1" applyBorder="1" applyProtection="1"/>
    <xf numFmtId="9" fontId="21" fillId="0" borderId="0" xfId="0" applyNumberFormat="1" applyFont="1" applyFill="1" applyBorder="1" applyAlignment="1" applyProtection="1">
      <alignment horizontal="center"/>
    </xf>
    <xf numFmtId="1" fontId="21" fillId="4" borderId="0" xfId="0" applyNumberFormat="1" applyFont="1" applyFill="1" applyBorder="1" applyAlignment="1" applyProtection="1">
      <alignment vertical="center"/>
    </xf>
    <xf numFmtId="44" fontId="28" fillId="4" borderId="9" xfId="0" applyNumberFormat="1" applyFont="1" applyFill="1" applyBorder="1" applyAlignment="1" applyProtection="1">
      <alignment horizontal="center" vertical="center"/>
    </xf>
    <xf numFmtId="44" fontId="28" fillId="4" borderId="9" xfId="0" applyNumberFormat="1" applyFont="1" applyFill="1" applyBorder="1" applyAlignment="1" applyProtection="1">
      <alignment vertical="center"/>
    </xf>
    <xf numFmtId="0" fontId="28" fillId="4" borderId="5" xfId="0" applyFont="1" applyFill="1" applyBorder="1" applyAlignment="1" applyProtection="1">
      <alignment vertical="center"/>
    </xf>
    <xf numFmtId="165" fontId="21" fillId="4" borderId="10" xfId="0" applyNumberFormat="1" applyFont="1" applyFill="1" applyBorder="1" applyAlignment="1" applyProtection="1">
      <alignment horizontal="center" vertical="center"/>
    </xf>
    <xf numFmtId="165" fontId="28" fillId="4" borderId="17" xfId="0" applyNumberFormat="1" applyFont="1" applyFill="1" applyBorder="1" applyAlignment="1" applyProtection="1">
      <alignment horizontal="center" vertical="center"/>
    </xf>
    <xf numFmtId="0" fontId="32" fillId="4" borderId="10" xfId="0" applyFont="1" applyFill="1" applyBorder="1" applyAlignment="1" applyProtection="1">
      <alignment vertical="center"/>
    </xf>
    <xf numFmtId="0" fontId="32" fillId="4" borderId="0" xfId="0" applyFont="1" applyFill="1" applyBorder="1" applyAlignment="1" applyProtection="1">
      <alignment vertical="center"/>
    </xf>
    <xf numFmtId="0" fontId="21" fillId="4" borderId="6" xfId="0" applyFont="1" applyFill="1" applyBorder="1" applyAlignment="1" applyProtection="1">
      <alignment vertical="center"/>
    </xf>
    <xf numFmtId="0" fontId="21" fillId="4" borderId="1" xfId="0" applyFont="1" applyFill="1" applyBorder="1" applyAlignment="1" applyProtection="1">
      <alignment vertical="center"/>
    </xf>
    <xf numFmtId="0" fontId="21" fillId="4" borderId="21" xfId="0" applyFont="1" applyFill="1" applyBorder="1" applyAlignment="1" applyProtection="1">
      <alignment vertical="center"/>
    </xf>
    <xf numFmtId="1" fontId="21" fillId="0" borderId="0" xfId="0" applyNumberFormat="1" applyFont="1" applyFill="1" applyProtection="1"/>
    <xf numFmtId="0" fontId="6" fillId="5" borderId="23" xfId="6" applyFont="1" applyFill="1" applyBorder="1" applyAlignment="1" applyProtection="1">
      <alignment horizontal="center" vertical="center"/>
      <protection locked="0"/>
    </xf>
    <xf numFmtId="0" fontId="6" fillId="4" borderId="0" xfId="6" applyFont="1" applyFill="1" applyBorder="1" applyAlignment="1" applyProtection="1">
      <alignment horizontal="center" vertical="center"/>
    </xf>
    <xf numFmtId="0" fontId="6" fillId="4" borderId="7" xfId="6" applyFont="1" applyFill="1" applyBorder="1" applyAlignment="1" applyProtection="1">
      <alignment horizontal="center" vertical="center"/>
      <protection locked="0"/>
    </xf>
    <xf numFmtId="0" fontId="26" fillId="4" borderId="4" xfId="0" applyFont="1" applyFill="1" applyBorder="1" applyAlignment="1" applyProtection="1"/>
    <xf numFmtId="0" fontId="33" fillId="4" borderId="9" xfId="6" applyFont="1" applyFill="1" applyBorder="1" applyAlignment="1" applyProtection="1">
      <alignment horizontal="center" vertical="center"/>
    </xf>
    <xf numFmtId="0" fontId="9" fillId="4" borderId="0" xfId="6" applyFont="1" applyFill="1" applyBorder="1" applyAlignment="1" applyProtection="1">
      <alignment horizontal="left" vertical="center"/>
    </xf>
    <xf numFmtId="0" fontId="6" fillId="4" borderId="0" xfId="6" applyFont="1" applyFill="1" applyBorder="1" applyAlignment="1" applyProtection="1">
      <alignment horizontal="left" vertical="center"/>
    </xf>
    <xf numFmtId="0" fontId="6" fillId="4" borderId="0" xfId="6" applyFont="1" applyFill="1" applyBorder="1" applyAlignment="1" applyProtection="1">
      <alignment horizontal="left" vertical="center" wrapText="1"/>
    </xf>
    <xf numFmtId="1" fontId="6" fillId="4" borderId="10" xfId="6" applyNumberFormat="1" applyFont="1" applyFill="1" applyBorder="1" applyAlignment="1" applyProtection="1">
      <alignment horizontal="center" vertical="center"/>
    </xf>
    <xf numFmtId="0" fontId="26" fillId="4" borderId="0" xfId="0" applyFont="1" applyFill="1" applyProtection="1"/>
    <xf numFmtId="44" fontId="34" fillId="0" borderId="0" xfId="0" applyNumberFormat="1" applyFont="1" applyAlignment="1">
      <alignment horizontal="left" vertical="center"/>
    </xf>
    <xf numFmtId="0" fontId="27" fillId="4" borderId="0" xfId="0" applyFont="1" applyFill="1" applyBorder="1" applyAlignment="1" applyProtection="1">
      <alignment horizontal="left" vertical="center" indent="2"/>
    </xf>
    <xf numFmtId="9" fontId="6" fillId="5" borderId="18" xfId="6" applyNumberFormat="1" applyFont="1" applyFill="1" applyBorder="1" applyAlignment="1" applyProtection="1">
      <alignment horizontal="center" vertical="center"/>
      <protection locked="0"/>
    </xf>
    <xf numFmtId="9" fontId="26" fillId="0" borderId="0" xfId="0" applyNumberFormat="1" applyFont="1" applyFill="1" applyProtection="1"/>
    <xf numFmtId="1" fontId="26" fillId="0" borderId="0" xfId="0" applyNumberFormat="1" applyFont="1" applyFill="1" applyProtection="1"/>
    <xf numFmtId="0" fontId="35" fillId="4" borderId="0" xfId="0" applyFont="1" applyFill="1" applyAlignment="1" applyProtection="1">
      <alignment horizontal="center" vertical="center"/>
    </xf>
    <xf numFmtId="0" fontId="6" fillId="4" borderId="0" xfId="6" applyFont="1" applyFill="1" applyBorder="1" applyAlignment="1" applyProtection="1">
      <alignment horizontal="center" vertical="center"/>
      <protection locked="0"/>
    </xf>
    <xf numFmtId="0" fontId="16" fillId="4" borderId="0" xfId="0" applyFont="1" applyFill="1" applyAlignment="1">
      <alignment horizontal="center" vertical="center"/>
    </xf>
    <xf numFmtId="0" fontId="0" fillId="4" borderId="0" xfId="0" applyFill="1" applyBorder="1" applyAlignment="1"/>
    <xf numFmtId="0" fontId="16" fillId="4" borderId="0" xfId="0" applyFont="1" applyFill="1" applyAlignment="1"/>
    <xf numFmtId="0" fontId="6" fillId="4" borderId="4" xfId="6" applyFont="1" applyFill="1" applyBorder="1" applyAlignment="1" applyProtection="1">
      <alignment horizontal="center" vertical="center"/>
      <protection locked="0"/>
    </xf>
    <xf numFmtId="9" fontId="6" fillId="4" borderId="4" xfId="6" applyNumberFormat="1" applyFont="1" applyFill="1" applyBorder="1" applyAlignment="1" applyProtection="1">
      <alignment horizontal="center" vertical="center"/>
      <protection locked="0"/>
    </xf>
    <xf numFmtId="44" fontId="26" fillId="4" borderId="0" xfId="0" applyNumberFormat="1" applyFont="1" applyFill="1" applyBorder="1" applyProtection="1"/>
    <xf numFmtId="0" fontId="17" fillId="4" borderId="0" xfId="0" applyFont="1" applyFill="1" applyBorder="1" applyAlignment="1">
      <alignment horizontal="center"/>
    </xf>
    <xf numFmtId="0" fontId="0" fillId="4" borderId="0" xfId="0" applyFont="1" applyFill="1" applyBorder="1" applyAlignment="1">
      <alignment horizontal="left" vertical="center" indent="1"/>
    </xf>
    <xf numFmtId="0" fontId="8" fillId="4" borderId="0" xfId="6" applyFont="1" applyFill="1" applyBorder="1" applyAlignment="1" applyProtection="1">
      <alignment horizontal="center"/>
    </xf>
    <xf numFmtId="0" fontId="26" fillId="4" borderId="25" xfId="0" applyFont="1" applyFill="1" applyBorder="1" applyProtection="1"/>
    <xf numFmtId="1" fontId="6" fillId="4" borderId="18" xfId="6" applyNumberFormat="1" applyFont="1" applyFill="1" applyBorder="1" applyAlignment="1" applyProtection="1">
      <alignment horizontal="center" vertical="center"/>
    </xf>
    <xf numFmtId="0" fontId="6" fillId="4" borderId="18" xfId="6" applyFont="1" applyFill="1" applyBorder="1" applyAlignment="1" applyProtection="1">
      <alignment horizontal="center" vertical="center"/>
    </xf>
    <xf numFmtId="0" fontId="0" fillId="0" borderId="0" xfId="0" applyFont="1" applyFill="1" applyAlignment="1" applyProtection="1">
      <alignment vertical="center"/>
    </xf>
    <xf numFmtId="0" fontId="16" fillId="0" borderId="0" xfId="0" applyFont="1" applyFill="1" applyAlignment="1" applyProtection="1">
      <alignment horizontal="center" vertical="center"/>
    </xf>
    <xf numFmtId="49" fontId="0" fillId="0" borderId="0" xfId="0" applyNumberFormat="1" applyFont="1" applyFill="1" applyAlignment="1" applyProtection="1">
      <alignment vertical="center"/>
    </xf>
    <xf numFmtId="164" fontId="13" fillId="0" borderId="0" xfId="2" applyNumberFormat="1" applyFont="1" applyFill="1" applyAlignment="1" applyProtection="1">
      <alignment vertical="center"/>
    </xf>
    <xf numFmtId="0" fontId="36" fillId="0" borderId="0" xfId="0" applyFont="1" applyFill="1" applyAlignment="1" applyProtection="1">
      <alignment vertical="center"/>
    </xf>
    <xf numFmtId="0" fontId="0" fillId="0" borderId="0" xfId="0" applyFont="1" applyFill="1" applyAlignment="1" applyProtection="1">
      <alignment vertical="center" wrapText="1"/>
    </xf>
    <xf numFmtId="0" fontId="0" fillId="4" borderId="11" xfId="0" applyFont="1" applyFill="1" applyBorder="1" applyAlignment="1" applyProtection="1">
      <alignment vertical="center"/>
    </xf>
    <xf numFmtId="0" fontId="16" fillId="4" borderId="8" xfId="0" applyFont="1" applyFill="1" applyBorder="1" applyAlignment="1" applyProtection="1">
      <alignment horizontal="center" vertical="center"/>
    </xf>
    <xf numFmtId="0" fontId="36" fillId="4" borderId="8" xfId="0" applyFont="1" applyFill="1" applyBorder="1" applyAlignment="1" applyProtection="1">
      <alignment vertical="center"/>
    </xf>
    <xf numFmtId="0" fontId="0" fillId="4" borderId="12" xfId="0" applyFont="1" applyFill="1" applyBorder="1" applyAlignment="1" applyProtection="1">
      <alignment vertical="center"/>
    </xf>
    <xf numFmtId="0" fontId="0" fillId="4" borderId="13" xfId="0" applyFont="1" applyFill="1" applyBorder="1" applyAlignment="1" applyProtection="1">
      <alignment vertical="center"/>
    </xf>
    <xf numFmtId="0" fontId="16" fillId="4" borderId="0" xfId="0" applyFont="1" applyFill="1" applyBorder="1" applyAlignment="1" applyProtection="1">
      <alignment horizontal="center" vertical="center"/>
    </xf>
    <xf numFmtId="49" fontId="0" fillId="4" borderId="0" xfId="0" applyNumberFormat="1" applyFont="1" applyFill="1" applyBorder="1" applyAlignment="1" applyProtection="1">
      <alignment vertical="center"/>
    </xf>
    <xf numFmtId="0" fontId="16" fillId="4" borderId="0" xfId="0" applyFont="1" applyFill="1" applyBorder="1" applyAlignment="1" applyProtection="1">
      <alignment vertical="center"/>
    </xf>
    <xf numFmtId="164" fontId="13" fillId="4" borderId="0" xfId="2" applyNumberFormat="1" applyFont="1" applyFill="1" applyBorder="1" applyAlignment="1" applyProtection="1">
      <alignment vertical="center"/>
    </xf>
    <xf numFmtId="0" fontId="36" fillId="4" borderId="0" xfId="0" applyFont="1" applyFill="1" applyBorder="1" applyAlignment="1" applyProtection="1">
      <alignment vertical="center"/>
    </xf>
    <xf numFmtId="0" fontId="0" fillId="4" borderId="14" xfId="0" applyFont="1" applyFill="1" applyBorder="1" applyAlignment="1" applyProtection="1">
      <alignment vertical="center"/>
    </xf>
    <xf numFmtId="0" fontId="0" fillId="0" borderId="0" xfId="0" applyFont="1" applyAlignment="1" applyProtection="1">
      <alignment vertical="center"/>
    </xf>
    <xf numFmtId="0" fontId="16" fillId="4" borderId="0" xfId="0" applyFont="1" applyFill="1" applyBorder="1" applyAlignment="1" applyProtection="1">
      <alignment horizontal="left" vertical="center"/>
    </xf>
    <xf numFmtId="0" fontId="0" fillId="4" borderId="0" xfId="0" applyFont="1" applyFill="1" applyBorder="1" applyAlignment="1" applyProtection="1">
      <alignment vertical="center" wrapText="1"/>
    </xf>
    <xf numFmtId="49" fontId="16" fillId="4" borderId="0" xfId="0" applyNumberFormat="1" applyFont="1" applyFill="1" applyBorder="1" applyAlignment="1" applyProtection="1">
      <alignment vertical="center"/>
    </xf>
    <xf numFmtId="49" fontId="37" fillId="4" borderId="3" xfId="0" applyNumberFormat="1" applyFont="1" applyFill="1" applyBorder="1" applyAlignment="1" applyProtection="1">
      <alignment vertical="center"/>
    </xf>
    <xf numFmtId="0" fontId="28" fillId="4" borderId="7" xfId="0" applyFont="1" applyFill="1" applyBorder="1" applyAlignment="1" applyProtection="1">
      <alignment horizontal="center" vertical="center"/>
    </xf>
    <xf numFmtId="0" fontId="28" fillId="4" borderId="15" xfId="0" applyFont="1" applyFill="1" applyBorder="1" applyAlignment="1" applyProtection="1">
      <alignment horizontal="center" vertical="center"/>
    </xf>
    <xf numFmtId="0" fontId="16" fillId="4" borderId="3" xfId="0" applyFont="1" applyFill="1" applyBorder="1" applyAlignment="1" applyProtection="1">
      <alignment horizontal="center" vertical="center"/>
    </xf>
    <xf numFmtId="49" fontId="16" fillId="4" borderId="7" xfId="0" applyNumberFormat="1" applyFont="1" applyFill="1" applyBorder="1" applyAlignment="1" applyProtection="1">
      <alignment vertical="center"/>
    </xf>
    <xf numFmtId="0" fontId="28" fillId="4" borderId="7" xfId="0" applyFont="1" applyFill="1" applyBorder="1" applyAlignment="1" applyProtection="1">
      <alignment horizontal="center" vertical="center" wrapText="1"/>
    </xf>
    <xf numFmtId="0" fontId="28" fillId="4" borderId="9"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0" fillId="0" borderId="0" xfId="0" applyFont="1" applyFill="1" applyBorder="1" applyAlignment="1" applyProtection="1">
      <alignment vertical="center"/>
    </xf>
    <xf numFmtId="164" fontId="13" fillId="4" borderId="16" xfId="2" applyNumberFormat="1" applyFont="1" applyFill="1" applyBorder="1" applyAlignment="1" applyProtection="1">
      <alignment vertical="center"/>
    </xf>
    <xf numFmtId="0" fontId="38" fillId="4" borderId="9" xfId="0" applyFont="1" applyFill="1" applyBorder="1" applyAlignment="1" applyProtection="1">
      <alignment vertical="center" wrapText="1"/>
    </xf>
    <xf numFmtId="0" fontId="39" fillId="0" borderId="0" xfId="0" applyFont="1" applyFill="1" applyBorder="1" applyAlignment="1" applyProtection="1">
      <alignment horizontal="left" vertical="center" wrapText="1"/>
    </xf>
    <xf numFmtId="44" fontId="0" fillId="4" borderId="9" xfId="0" applyNumberFormat="1" applyFont="1" applyFill="1" applyBorder="1" applyAlignment="1" applyProtection="1">
      <alignment vertical="center"/>
    </xf>
    <xf numFmtId="44" fontId="13" fillId="4" borderId="18" xfId="2" applyNumberFormat="1" applyFont="1" applyFill="1" applyBorder="1" applyAlignment="1" applyProtection="1">
      <alignment vertical="center"/>
    </xf>
    <xf numFmtId="49" fontId="21" fillId="4" borderId="14" xfId="0" applyNumberFormat="1" applyFont="1" applyFill="1" applyBorder="1" applyAlignment="1" applyProtection="1">
      <alignment horizontal="left" vertical="center"/>
    </xf>
    <xf numFmtId="4" fontId="38" fillId="4" borderId="9" xfId="0" applyNumberFormat="1" applyFont="1" applyFill="1" applyBorder="1" applyAlignment="1" applyProtection="1">
      <alignment vertical="center" wrapText="1"/>
    </xf>
    <xf numFmtId="44" fontId="13" fillId="5" borderId="18" xfId="2" applyNumberFormat="1" applyFont="1" applyFill="1" applyBorder="1" applyAlignment="1" applyProtection="1">
      <alignment vertical="center"/>
      <protection locked="0"/>
    </xf>
    <xf numFmtId="44" fontId="0" fillId="4" borderId="0" xfId="0" applyNumberFormat="1" applyFont="1" applyFill="1" applyBorder="1" applyAlignment="1" applyProtection="1">
      <alignment vertical="center"/>
    </xf>
    <xf numFmtId="0" fontId="38" fillId="4" borderId="9" xfId="0" applyFont="1" applyFill="1" applyBorder="1" applyAlignment="1" applyProtection="1">
      <alignment vertical="center"/>
    </xf>
    <xf numFmtId="0" fontId="36" fillId="4" borderId="9" xfId="0" applyFont="1" applyFill="1" applyBorder="1" applyAlignment="1" applyProtection="1">
      <alignment vertical="center"/>
    </xf>
    <xf numFmtId="0" fontId="0" fillId="4" borderId="14" xfId="0" applyFont="1" applyFill="1" applyBorder="1" applyAlignment="1" applyProtection="1">
      <alignment horizontal="left" vertical="center"/>
    </xf>
    <xf numFmtId="44" fontId="16" fillId="4" borderId="9" xfId="0" applyNumberFormat="1" applyFont="1" applyFill="1" applyBorder="1" applyAlignment="1" applyProtection="1">
      <alignment horizontal="right" vertical="center"/>
    </xf>
    <xf numFmtId="44" fontId="16" fillId="4" borderId="18" xfId="0" applyNumberFormat="1" applyFont="1" applyFill="1" applyBorder="1" applyAlignment="1" applyProtection="1">
      <alignment horizontal="right" vertical="center"/>
    </xf>
    <xf numFmtId="44" fontId="16" fillId="4" borderId="19" xfId="0" applyNumberFormat="1" applyFont="1" applyFill="1" applyBorder="1" applyAlignment="1" applyProtection="1">
      <alignment horizontal="right" vertical="center"/>
    </xf>
    <xf numFmtId="164" fontId="13" fillId="4" borderId="7" xfId="2" applyNumberFormat="1" applyFont="1" applyFill="1" applyBorder="1" applyAlignment="1" applyProtection="1">
      <alignment vertical="center"/>
    </xf>
    <xf numFmtId="44" fontId="0" fillId="4" borderId="22" xfId="0" applyNumberFormat="1" applyFont="1" applyFill="1" applyBorder="1" applyAlignment="1" applyProtection="1">
      <alignment vertical="center"/>
    </xf>
    <xf numFmtId="44" fontId="0" fillId="4" borderId="16" xfId="0" applyNumberFormat="1" applyFont="1" applyFill="1" applyBorder="1" applyAlignment="1" applyProtection="1">
      <alignment vertical="center"/>
    </xf>
    <xf numFmtId="44" fontId="16" fillId="4" borderId="22" xfId="0" applyNumberFormat="1" applyFont="1" applyFill="1" applyBorder="1" applyAlignment="1" applyProtection="1">
      <alignment horizontal="right" vertical="center"/>
    </xf>
    <xf numFmtId="44" fontId="0" fillId="4" borderId="7" xfId="0" applyNumberFormat="1" applyFont="1" applyFill="1" applyBorder="1" applyAlignment="1" applyProtection="1">
      <alignment vertical="center"/>
    </xf>
    <xf numFmtId="0" fontId="16" fillId="4" borderId="10" xfId="0" applyFont="1" applyFill="1" applyBorder="1" applyAlignment="1" applyProtection="1">
      <alignment vertical="center"/>
    </xf>
    <xf numFmtId="164" fontId="13" fillId="4" borderId="10" xfId="2" applyNumberFormat="1" applyFont="1" applyFill="1" applyBorder="1" applyAlignment="1" applyProtection="1">
      <alignment vertical="center"/>
    </xf>
    <xf numFmtId="43" fontId="21" fillId="4" borderId="14" xfId="0" applyNumberFormat="1" applyFont="1" applyFill="1" applyBorder="1" applyAlignment="1" applyProtection="1">
      <alignment horizontal="left" vertical="center"/>
    </xf>
    <xf numFmtId="0" fontId="0" fillId="0" borderId="0" xfId="0" applyFont="1" applyFill="1" applyBorder="1" applyAlignment="1" applyProtection="1">
      <alignment vertical="center" wrapText="1"/>
    </xf>
    <xf numFmtId="0" fontId="38" fillId="4" borderId="17" xfId="0" applyFont="1" applyFill="1" applyBorder="1" applyAlignment="1" applyProtection="1">
      <alignment vertical="center"/>
    </xf>
    <xf numFmtId="44" fontId="16" fillId="4" borderId="0" xfId="0" applyNumberFormat="1" applyFont="1" applyFill="1" applyBorder="1" applyAlignment="1" applyProtection="1">
      <alignment vertical="center"/>
    </xf>
    <xf numFmtId="0" fontId="16" fillId="4" borderId="9" xfId="0" applyFont="1" applyFill="1" applyBorder="1" applyAlignment="1" applyProtection="1">
      <alignment vertical="center"/>
    </xf>
    <xf numFmtId="0" fontId="0" fillId="0" borderId="0" xfId="0" applyFont="1" applyFill="1" applyAlignment="1" applyProtection="1">
      <alignment horizontal="center" vertical="center" wrapText="1"/>
    </xf>
    <xf numFmtId="44" fontId="16" fillId="4" borderId="18" xfId="2" applyNumberFormat="1" applyFont="1" applyFill="1" applyBorder="1" applyAlignment="1" applyProtection="1">
      <alignment vertical="center"/>
    </xf>
    <xf numFmtId="49" fontId="38" fillId="4" borderId="9" xfId="0" applyNumberFormat="1" applyFont="1" applyFill="1" applyBorder="1" applyAlignment="1" applyProtection="1">
      <alignment horizontal="center" vertical="center" wrapText="1"/>
    </xf>
    <xf numFmtId="0" fontId="0" fillId="4" borderId="0" xfId="0" applyFont="1" applyFill="1" applyBorder="1" applyAlignment="1" applyProtection="1">
      <alignment horizontal="center" vertical="center"/>
    </xf>
    <xf numFmtId="0" fontId="0" fillId="4" borderId="7" xfId="0" applyFont="1" applyFill="1" applyBorder="1" applyAlignment="1" applyProtection="1">
      <alignment horizontal="center" vertical="center"/>
    </xf>
    <xf numFmtId="43" fontId="21" fillId="4" borderId="14" xfId="0" applyNumberFormat="1" applyFont="1" applyFill="1" applyBorder="1" applyAlignment="1" applyProtection="1">
      <alignment horizontal="left" vertical="center" wrapText="1"/>
    </xf>
    <xf numFmtId="44" fontId="0" fillId="4" borderId="10" xfId="0" applyNumberFormat="1" applyFont="1" applyFill="1" applyBorder="1" applyAlignment="1" applyProtection="1">
      <alignment vertical="center"/>
    </xf>
    <xf numFmtId="0" fontId="39" fillId="0" borderId="0" xfId="0" applyFont="1" applyFill="1" applyAlignment="1" applyProtection="1">
      <alignment vertical="center" wrapText="1"/>
    </xf>
    <xf numFmtId="0" fontId="40" fillId="4" borderId="9" xfId="0" applyFont="1" applyFill="1" applyBorder="1" applyAlignment="1" applyProtection="1">
      <alignment vertical="center" wrapText="1"/>
    </xf>
    <xf numFmtId="0" fontId="0" fillId="4" borderId="9" xfId="0" applyFont="1" applyFill="1" applyBorder="1" applyAlignment="1" applyProtection="1">
      <alignment vertical="center" wrapText="1"/>
    </xf>
    <xf numFmtId="44" fontId="16" fillId="4" borderId="7" xfId="0" applyNumberFormat="1" applyFont="1" applyFill="1" applyBorder="1" applyAlignment="1" applyProtection="1">
      <alignment vertical="center"/>
    </xf>
    <xf numFmtId="0" fontId="16" fillId="4" borderId="7" xfId="0" applyFont="1" applyFill="1" applyBorder="1" applyAlignment="1" applyProtection="1">
      <alignment vertical="center"/>
    </xf>
    <xf numFmtId="164" fontId="16" fillId="4" borderId="7" xfId="2" applyNumberFormat="1" applyFont="1" applyFill="1" applyBorder="1" applyAlignment="1" applyProtection="1">
      <alignment vertical="center"/>
    </xf>
    <xf numFmtId="0" fontId="16" fillId="4" borderId="10" xfId="0" applyFont="1" applyFill="1" applyBorder="1" applyAlignment="1" applyProtection="1">
      <alignment vertical="center" wrapText="1"/>
    </xf>
    <xf numFmtId="0" fontId="0" fillId="4" borderId="10" xfId="0" applyFont="1" applyFill="1" applyBorder="1" applyAlignment="1" applyProtection="1">
      <alignment vertical="center" wrapText="1"/>
    </xf>
    <xf numFmtId="44" fontId="0" fillId="0" borderId="0" xfId="0" applyNumberFormat="1" applyFont="1" applyFill="1" applyAlignment="1" applyProtection="1">
      <alignment vertical="center" wrapText="1"/>
    </xf>
    <xf numFmtId="164" fontId="16" fillId="4" borderId="10" xfId="2" applyNumberFormat="1" applyFont="1" applyFill="1" applyBorder="1" applyAlignment="1" applyProtection="1">
      <alignment vertical="center"/>
    </xf>
    <xf numFmtId="0" fontId="16" fillId="4" borderId="5" xfId="0" applyFont="1" applyFill="1" applyBorder="1" applyAlignment="1" applyProtection="1">
      <alignment horizontal="center" vertical="center"/>
    </xf>
    <xf numFmtId="49" fontId="16" fillId="4" borderId="10" xfId="0" applyNumberFormat="1" applyFont="1" applyFill="1" applyBorder="1" applyAlignment="1" applyProtection="1">
      <alignment horizontal="right" vertical="center"/>
    </xf>
    <xf numFmtId="0" fontId="38" fillId="4" borderId="10" xfId="0" applyFont="1" applyFill="1" applyBorder="1" applyAlignment="1" applyProtection="1">
      <alignment vertical="center"/>
    </xf>
    <xf numFmtId="0" fontId="0" fillId="0" borderId="0" xfId="0" applyFont="1" applyProtection="1"/>
    <xf numFmtId="0" fontId="0" fillId="4" borderId="13" xfId="0" applyFont="1" applyFill="1" applyBorder="1" applyProtection="1"/>
    <xf numFmtId="0" fontId="0" fillId="4" borderId="0" xfId="0" applyFont="1" applyFill="1" applyBorder="1" applyProtection="1"/>
    <xf numFmtId="0" fontId="0" fillId="4" borderId="14" xfId="0" applyFont="1" applyFill="1" applyBorder="1" applyProtection="1"/>
    <xf numFmtId="0" fontId="0" fillId="0" borderId="13" xfId="0" applyFont="1" applyFill="1" applyBorder="1" applyProtection="1"/>
    <xf numFmtId="0" fontId="0" fillId="0" borderId="0" xfId="0" applyFont="1" applyFill="1" applyBorder="1" applyProtection="1"/>
    <xf numFmtId="0" fontId="0" fillId="0" borderId="0" xfId="0" applyFont="1" applyFill="1" applyBorder="1" applyAlignment="1" applyProtection="1">
      <alignment horizontal="left" vertical="center"/>
    </xf>
    <xf numFmtId="0" fontId="0" fillId="4" borderId="6" xfId="0" applyFont="1" applyFill="1" applyBorder="1" applyAlignment="1" applyProtection="1">
      <alignment vertical="center"/>
    </xf>
    <xf numFmtId="0" fontId="16" fillId="4" borderId="1" xfId="0" applyFont="1" applyFill="1" applyBorder="1" applyAlignment="1" applyProtection="1">
      <alignment horizontal="center" vertical="center"/>
    </xf>
    <xf numFmtId="49" fontId="0" fillId="4" borderId="1" xfId="0" applyNumberFormat="1" applyFont="1" applyFill="1" applyBorder="1" applyAlignment="1" applyProtection="1">
      <alignment vertical="center"/>
    </xf>
    <xf numFmtId="0" fontId="0" fillId="4" borderId="1" xfId="0" applyFont="1" applyFill="1" applyBorder="1" applyAlignment="1" applyProtection="1">
      <alignment vertical="center"/>
    </xf>
    <xf numFmtId="164" fontId="13" fillId="4" borderId="1" xfId="2" applyNumberFormat="1" applyFont="1" applyFill="1" applyBorder="1" applyAlignment="1" applyProtection="1">
      <alignment vertical="center"/>
    </xf>
    <xf numFmtId="0" fontId="36" fillId="4" borderId="1" xfId="0" applyFont="1" applyFill="1" applyBorder="1" applyAlignment="1" applyProtection="1">
      <alignment vertical="center"/>
    </xf>
    <xf numFmtId="0" fontId="0" fillId="4" borderId="21" xfId="0" applyFont="1" applyFill="1" applyBorder="1" applyAlignment="1" applyProtection="1">
      <alignment vertical="center"/>
    </xf>
    <xf numFmtId="0" fontId="16" fillId="4" borderId="4" xfId="0" applyFont="1" applyFill="1" applyBorder="1" applyAlignment="1" applyProtection="1">
      <alignment vertical="center"/>
    </xf>
    <xf numFmtId="0" fontId="38" fillId="4" borderId="0" xfId="0" applyFont="1" applyFill="1" applyBorder="1" applyAlignment="1" applyProtection="1">
      <alignment vertical="center" wrapText="1"/>
    </xf>
    <xf numFmtId="0" fontId="0" fillId="4" borderId="9" xfId="0" applyFont="1" applyFill="1" applyBorder="1" applyAlignment="1" applyProtection="1">
      <alignment horizontal="center" vertical="center"/>
    </xf>
    <xf numFmtId="0" fontId="38" fillId="4" borderId="7" xfId="0" applyFont="1" applyFill="1" applyBorder="1" applyAlignment="1" applyProtection="1">
      <alignment vertical="center" wrapText="1"/>
    </xf>
    <xf numFmtId="0" fontId="38" fillId="4" borderId="0" xfId="0" applyFont="1" applyFill="1" applyBorder="1" applyAlignment="1" applyProtection="1">
      <alignment vertical="center"/>
    </xf>
    <xf numFmtId="0" fontId="38" fillId="4" borderId="7" xfId="0" applyFont="1" applyFill="1" applyBorder="1" applyAlignment="1" applyProtection="1">
      <alignment vertical="center"/>
    </xf>
    <xf numFmtId="0" fontId="38" fillId="0" borderId="0" xfId="0" applyFont="1" applyBorder="1" applyAlignment="1">
      <alignment vertical="center"/>
    </xf>
    <xf numFmtId="164" fontId="16" fillId="4" borderId="0" xfId="2" applyNumberFormat="1" applyFont="1" applyFill="1" applyBorder="1" applyAlignment="1" applyProtection="1">
      <alignment vertical="center"/>
    </xf>
    <xf numFmtId="0" fontId="0" fillId="4" borderId="0" xfId="0" applyFill="1" applyBorder="1" applyAlignment="1">
      <alignment vertical="center" wrapText="1"/>
    </xf>
    <xf numFmtId="0" fontId="0" fillId="4" borderId="14" xfId="0" applyFill="1" applyBorder="1" applyAlignment="1">
      <alignment vertical="center" wrapText="1"/>
    </xf>
    <xf numFmtId="0" fontId="18" fillId="4" borderId="0" xfId="0" applyFont="1" applyFill="1" applyBorder="1" applyAlignment="1">
      <alignment vertical="center" wrapText="1"/>
    </xf>
    <xf numFmtId="0" fontId="18" fillId="4" borderId="14" xfId="0" applyFont="1" applyFill="1" applyBorder="1" applyAlignment="1">
      <alignment vertical="center" wrapText="1"/>
    </xf>
    <xf numFmtId="49" fontId="0" fillId="4" borderId="0" xfId="0" applyNumberFormat="1" applyFont="1" applyFill="1" applyBorder="1" applyAlignment="1" applyProtection="1">
      <alignment horizontal="left" vertical="center" wrapText="1"/>
    </xf>
    <xf numFmtId="0" fontId="0" fillId="4" borderId="0" xfId="0" applyFont="1" applyFill="1" applyBorder="1" applyAlignment="1" applyProtection="1">
      <alignment horizontal="left" vertical="center" wrapText="1"/>
    </xf>
    <xf numFmtId="44" fontId="13" fillId="4" borderId="4" xfId="2" applyNumberFormat="1" applyFont="1" applyFill="1" applyBorder="1" applyAlignment="1" applyProtection="1">
      <alignment vertical="center"/>
    </xf>
    <xf numFmtId="44" fontId="16" fillId="4" borderId="4" xfId="0" applyNumberFormat="1" applyFont="1" applyFill="1" applyBorder="1" applyAlignment="1" applyProtection="1">
      <alignment horizontal="right" vertical="center"/>
    </xf>
    <xf numFmtId="44" fontId="16" fillId="4" borderId="4" xfId="2" applyNumberFormat="1" applyFont="1" applyFill="1" applyBorder="1" applyAlignment="1" applyProtection="1">
      <alignment vertical="center"/>
    </xf>
    <xf numFmtId="44" fontId="16" fillId="4" borderId="0" xfId="2" applyNumberFormat="1" applyFont="1" applyFill="1" applyBorder="1" applyAlignment="1" applyProtection="1">
      <alignment vertical="center"/>
    </xf>
    <xf numFmtId="44" fontId="16" fillId="4" borderId="0" xfId="0" applyNumberFormat="1" applyFont="1" applyFill="1" applyBorder="1" applyAlignment="1" applyProtection="1">
      <alignment horizontal="right" vertical="center"/>
    </xf>
    <xf numFmtId="44" fontId="13" fillId="4" borderId="9" xfId="2" applyNumberFormat="1" applyFont="1" applyFill="1" applyBorder="1" applyAlignment="1" applyProtection="1">
      <alignment vertical="center"/>
      <protection locked="0"/>
    </xf>
    <xf numFmtId="0" fontId="28" fillId="4" borderId="2" xfId="0" applyFont="1" applyFill="1" applyBorder="1" applyAlignment="1" applyProtection="1">
      <alignment horizontal="center" vertical="center"/>
    </xf>
    <xf numFmtId="0" fontId="0" fillId="4" borderId="2" xfId="0" applyFont="1" applyFill="1" applyBorder="1" applyAlignment="1" applyProtection="1">
      <alignment vertical="center"/>
    </xf>
    <xf numFmtId="44" fontId="13" fillId="4" borderId="2" xfId="2" applyNumberFormat="1" applyFont="1" applyFill="1" applyBorder="1" applyAlignment="1" applyProtection="1">
      <alignment vertical="center"/>
      <protection locked="0"/>
    </xf>
    <xf numFmtId="44" fontId="13" fillId="4" borderId="4" xfId="2" applyNumberFormat="1" applyFont="1" applyFill="1" applyBorder="1" applyAlignment="1" applyProtection="1">
      <alignment vertical="center"/>
      <protection locked="0"/>
    </xf>
    <xf numFmtId="0" fontId="21" fillId="4" borderId="0" xfId="0" applyFont="1" applyFill="1" applyBorder="1" applyAlignment="1" applyProtection="1">
      <alignment horizontal="center" vertical="center" wrapText="1"/>
    </xf>
    <xf numFmtId="0" fontId="38" fillId="4" borderId="0" xfId="0" applyFont="1" applyFill="1" applyBorder="1" applyAlignment="1" applyProtection="1">
      <alignment vertical="center" wrapText="1"/>
      <protection locked="0"/>
    </xf>
    <xf numFmtId="0" fontId="38" fillId="4" borderId="0" xfId="0" applyFont="1" applyFill="1" applyBorder="1" applyAlignment="1" applyProtection="1">
      <alignment vertical="center"/>
      <protection locked="0"/>
    </xf>
    <xf numFmtId="44" fontId="13" fillId="4" borderId="0" xfId="2" applyNumberFormat="1" applyFont="1" applyFill="1" applyBorder="1" applyAlignment="1" applyProtection="1">
      <alignment vertical="center"/>
      <protection locked="0"/>
    </xf>
    <xf numFmtId="0" fontId="21" fillId="4" borderId="10" xfId="0" applyFont="1" applyFill="1" applyBorder="1" applyAlignment="1" applyProtection="1">
      <alignment horizontal="center" vertical="center" wrapText="1"/>
    </xf>
    <xf numFmtId="0" fontId="21" fillId="4" borderId="10" xfId="0" applyFont="1" applyFill="1" applyBorder="1" applyAlignment="1" applyProtection="1">
      <alignment horizontal="center" vertical="center"/>
    </xf>
    <xf numFmtId="0" fontId="0" fillId="4" borderId="10" xfId="0" applyFont="1" applyFill="1" applyBorder="1" applyAlignment="1" applyProtection="1">
      <alignment horizontal="center" vertical="center"/>
    </xf>
    <xf numFmtId="0" fontId="0" fillId="4" borderId="10" xfId="0" applyFont="1" applyFill="1" applyBorder="1" applyAlignment="1" applyProtection="1">
      <alignment horizontal="center" vertical="center" wrapText="1"/>
    </xf>
    <xf numFmtId="0" fontId="0" fillId="4" borderId="9" xfId="0" applyFont="1" applyFill="1" applyBorder="1" applyAlignment="1" applyProtection="1">
      <alignment vertical="center"/>
    </xf>
    <xf numFmtId="0" fontId="0" fillId="4" borderId="0" xfId="0" applyFont="1" applyFill="1" applyBorder="1" applyAlignment="1">
      <alignment vertical="center"/>
    </xf>
    <xf numFmtId="0" fontId="14" fillId="4" borderId="0" xfId="0" applyFont="1" applyFill="1" applyBorder="1" applyAlignment="1" applyProtection="1">
      <alignment horizontal="center" vertical="center"/>
    </xf>
    <xf numFmtId="0" fontId="0" fillId="4" borderId="0" xfId="0" applyFill="1" applyBorder="1" applyAlignment="1">
      <alignment vertical="center"/>
    </xf>
    <xf numFmtId="44" fontId="0" fillId="4" borderId="17" xfId="0" applyNumberFormat="1" applyFont="1" applyFill="1" applyBorder="1" applyAlignment="1" applyProtection="1">
      <alignment vertical="center"/>
    </xf>
    <xf numFmtId="44" fontId="16" fillId="4" borderId="10" xfId="0" applyNumberFormat="1" applyFont="1" applyFill="1" applyBorder="1" applyAlignment="1" applyProtection="1">
      <alignment vertical="center"/>
    </xf>
    <xf numFmtId="44" fontId="0" fillId="4" borderId="15" xfId="0" applyNumberFormat="1" applyFont="1" applyFill="1" applyBorder="1" applyAlignment="1" applyProtection="1">
      <alignment vertical="center"/>
    </xf>
    <xf numFmtId="44" fontId="0" fillId="4" borderId="19" xfId="0" applyNumberFormat="1" applyFont="1" applyFill="1" applyBorder="1" applyAlignment="1" applyProtection="1">
      <alignment vertical="center"/>
    </xf>
    <xf numFmtId="0" fontId="14" fillId="4" borderId="9" xfId="0" applyFont="1" applyFill="1" applyBorder="1" applyAlignment="1" applyProtection="1">
      <alignment horizontal="center" vertical="center"/>
    </xf>
    <xf numFmtId="49" fontId="0" fillId="4" borderId="40" xfId="0" applyNumberFormat="1" applyFont="1" applyFill="1" applyBorder="1" applyAlignment="1" applyProtection="1">
      <alignment vertical="center"/>
    </xf>
    <xf numFmtId="0" fontId="0" fillId="4" borderId="41" xfId="0" applyFont="1" applyFill="1" applyBorder="1" applyAlignment="1" applyProtection="1">
      <alignment vertical="center"/>
    </xf>
    <xf numFmtId="49" fontId="16" fillId="4" borderId="40" xfId="0" applyNumberFormat="1" applyFont="1" applyFill="1" applyBorder="1" applyAlignment="1" applyProtection="1">
      <alignment vertical="center"/>
    </xf>
    <xf numFmtId="0" fontId="16" fillId="4" borderId="41" xfId="0" applyFont="1" applyFill="1" applyBorder="1" applyAlignment="1" applyProtection="1">
      <alignment vertical="center"/>
    </xf>
    <xf numFmtId="49" fontId="0" fillId="4" borderId="42" xfId="0" applyNumberFormat="1" applyFont="1" applyFill="1" applyBorder="1" applyAlignment="1" applyProtection="1">
      <alignment vertical="center"/>
    </xf>
    <xf numFmtId="0" fontId="0" fillId="4" borderId="43" xfId="0" applyFont="1" applyFill="1" applyBorder="1" applyAlignment="1" applyProtection="1">
      <alignment vertical="center"/>
    </xf>
    <xf numFmtId="0" fontId="0" fillId="4" borderId="44" xfId="0" applyFont="1" applyFill="1" applyBorder="1" applyAlignment="1" applyProtection="1">
      <alignment vertical="center"/>
    </xf>
    <xf numFmtId="0" fontId="0" fillId="4" borderId="45" xfId="0" applyFont="1" applyFill="1" applyBorder="1" applyAlignment="1" applyProtection="1">
      <alignment vertical="center"/>
    </xf>
    <xf numFmtId="0" fontId="0" fillId="4" borderId="44" xfId="0" applyFont="1" applyFill="1" applyBorder="1" applyAlignment="1" applyProtection="1">
      <alignment horizontal="center" vertical="center"/>
    </xf>
    <xf numFmtId="0" fontId="0" fillId="4" borderId="45" xfId="0" applyFont="1" applyFill="1" applyBorder="1" applyAlignment="1" applyProtection="1">
      <alignment horizontal="center" vertical="center"/>
    </xf>
    <xf numFmtId="0" fontId="41" fillId="4" borderId="0" xfId="0" applyFont="1" applyFill="1" applyBorder="1" applyAlignment="1" applyProtection="1">
      <alignment vertical="top"/>
    </xf>
    <xf numFmtId="0" fontId="0" fillId="4" borderId="4" xfId="0" applyFont="1" applyFill="1" applyBorder="1" applyAlignment="1" applyProtection="1">
      <alignment vertical="center"/>
    </xf>
    <xf numFmtId="0" fontId="0" fillId="4" borderId="4" xfId="0" applyFont="1" applyFill="1" applyBorder="1" applyAlignment="1">
      <alignment vertical="center"/>
    </xf>
    <xf numFmtId="0" fontId="16" fillId="4" borderId="0" xfId="0" applyFont="1" applyFill="1" applyBorder="1" applyAlignment="1" applyProtection="1">
      <alignment horizontal="right" vertical="center" indent="2"/>
    </xf>
    <xf numFmtId="0" fontId="16" fillId="4" borderId="0" xfId="0" applyFont="1" applyFill="1" applyBorder="1" applyAlignment="1" applyProtection="1">
      <alignment horizontal="right" vertical="center" indent="1"/>
    </xf>
    <xf numFmtId="44" fontId="20" fillId="4" borderId="16" xfId="0" applyNumberFormat="1" applyFont="1" applyFill="1" applyBorder="1" applyAlignment="1" applyProtection="1">
      <alignment horizontal="center" vertical="center"/>
    </xf>
    <xf numFmtId="49" fontId="17" fillId="4" borderId="7" xfId="0" applyNumberFormat="1" applyFont="1" applyFill="1" applyBorder="1" applyAlignment="1" applyProtection="1">
      <alignment horizontal="center" vertical="center"/>
    </xf>
    <xf numFmtId="0" fontId="28" fillId="4" borderId="26" xfId="0" applyFont="1" applyFill="1" applyBorder="1" applyAlignment="1" applyProtection="1">
      <alignment horizontal="center" vertical="center"/>
    </xf>
    <xf numFmtId="49" fontId="18" fillId="4" borderId="27" xfId="0" applyNumberFormat="1" applyFont="1" applyFill="1" applyBorder="1" applyAlignment="1" applyProtection="1">
      <alignment vertical="center"/>
    </xf>
    <xf numFmtId="44" fontId="18" fillId="4" borderId="0" xfId="0" applyNumberFormat="1" applyFont="1" applyFill="1" applyBorder="1" applyAlignment="1" applyProtection="1">
      <alignment horizontal="left" vertical="center"/>
    </xf>
    <xf numFmtId="49" fontId="18" fillId="4" borderId="7" xfId="0" applyNumberFormat="1" applyFont="1" applyFill="1" applyBorder="1" applyAlignment="1" applyProtection="1">
      <alignment vertical="center"/>
    </xf>
    <xf numFmtId="0" fontId="18" fillId="4" borderId="0" xfId="0" applyFont="1" applyFill="1" applyAlignment="1" applyProtection="1">
      <alignment vertical="center"/>
    </xf>
    <xf numFmtId="0" fontId="0" fillId="0" borderId="0" xfId="0" applyFill="1" applyAlignment="1">
      <alignment vertical="center" wrapText="1"/>
    </xf>
    <xf numFmtId="0" fontId="18" fillId="0" borderId="0" xfId="0" applyFont="1" applyFill="1" applyAlignment="1">
      <alignment vertical="center" wrapText="1"/>
    </xf>
    <xf numFmtId="0" fontId="42" fillId="4" borderId="0" xfId="6" applyFont="1" applyFill="1" applyBorder="1" applyProtection="1"/>
    <xf numFmtId="0" fontId="27" fillId="4" borderId="0" xfId="0" applyFont="1" applyFill="1" applyBorder="1" applyAlignment="1" applyProtection="1"/>
    <xf numFmtId="0" fontId="16" fillId="4" borderId="0" xfId="0" applyFont="1" applyFill="1" applyBorder="1" applyAlignment="1"/>
    <xf numFmtId="0" fontId="0" fillId="4" borderId="0" xfId="0" applyFill="1" applyAlignment="1"/>
    <xf numFmtId="44" fontId="21" fillId="4" borderId="16" xfId="0" applyNumberFormat="1" applyFont="1" applyFill="1" applyBorder="1" applyAlignment="1" applyProtection="1">
      <alignment horizontal="center" vertical="center"/>
    </xf>
    <xf numFmtId="1" fontId="21" fillId="4" borderId="5" xfId="0" applyNumberFormat="1" applyFont="1" applyFill="1" applyBorder="1" applyAlignment="1" applyProtection="1">
      <alignment horizontal="center" vertical="center"/>
    </xf>
    <xf numFmtId="166" fontId="21" fillId="4" borderId="7" xfId="0" applyNumberFormat="1" applyFont="1" applyFill="1" applyBorder="1" applyAlignment="1" applyProtection="1">
      <alignment horizontal="center" vertical="center"/>
    </xf>
    <xf numFmtId="0" fontId="21" fillId="4" borderId="5" xfId="0" applyFont="1" applyFill="1" applyBorder="1" applyAlignment="1" applyProtection="1">
      <alignment horizontal="center" vertical="center"/>
    </xf>
    <xf numFmtId="44" fontId="21" fillId="4" borderId="17" xfId="0" applyNumberFormat="1" applyFont="1" applyFill="1" applyBorder="1" applyAlignment="1" applyProtection="1">
      <alignment horizontal="center" vertical="center"/>
    </xf>
    <xf numFmtId="0" fontId="0"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right" vertical="center" indent="2"/>
    </xf>
    <xf numFmtId="0" fontId="16" fillId="0" borderId="0" xfId="0" applyFont="1" applyFill="1" applyBorder="1" applyAlignment="1" applyProtection="1">
      <alignment vertical="center"/>
    </xf>
    <xf numFmtId="0" fontId="16" fillId="0" borderId="0" xfId="0" applyFont="1" applyFill="1" applyBorder="1" applyAlignment="1" applyProtection="1">
      <alignment horizontal="right" vertical="center" indent="1"/>
    </xf>
    <xf numFmtId="0" fontId="0" fillId="0" borderId="1" xfId="0" applyFont="1" applyFill="1" applyBorder="1" applyAlignment="1" applyProtection="1">
      <alignment vertical="center"/>
    </xf>
    <xf numFmtId="0" fontId="0" fillId="0" borderId="0" xfId="0" applyFont="1" applyFill="1" applyBorder="1" applyAlignment="1" applyProtection="1">
      <alignment horizontal="right" vertical="center" indent="1"/>
    </xf>
    <xf numFmtId="0" fontId="49" fillId="0" borderId="0" xfId="0" applyFont="1" applyProtection="1">
      <protection locked="0"/>
    </xf>
    <xf numFmtId="44" fontId="13" fillId="5" borderId="18" xfId="2" applyFont="1" applyFill="1" applyBorder="1" applyAlignment="1" applyProtection="1">
      <alignment vertical="center"/>
      <protection locked="0"/>
    </xf>
    <xf numFmtId="0" fontId="2" fillId="4" borderId="0" xfId="6" applyFont="1" applyFill="1" applyBorder="1" applyAlignment="1" applyProtection="1">
      <alignment horizontal="center" vertical="center"/>
    </xf>
    <xf numFmtId="0" fontId="43" fillId="4" borderId="0" xfId="0" applyFont="1" applyFill="1" applyAlignment="1" applyProtection="1">
      <alignment horizontal="center"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top" wrapText="1"/>
    </xf>
    <xf numFmtId="0" fontId="9" fillId="4" borderId="7" xfId="6" applyFont="1" applyFill="1" applyBorder="1" applyAlignment="1" applyProtection="1">
      <alignment horizontal="center" vertical="center"/>
    </xf>
    <xf numFmtId="0" fontId="41" fillId="0" borderId="7" xfId="0" applyFont="1" applyBorder="1" applyAlignment="1">
      <alignment horizontal="center" vertical="center"/>
    </xf>
    <xf numFmtId="0" fontId="6" fillId="4" borderId="3" xfId="6" applyFont="1" applyFill="1" applyBorder="1" applyAlignment="1" applyProtection="1">
      <alignment horizontal="left" vertical="center" wrapText="1" indent="1"/>
      <protection locked="0"/>
    </xf>
    <xf numFmtId="0" fontId="0" fillId="4" borderId="7" xfId="0" applyFill="1" applyBorder="1" applyAlignment="1">
      <alignment horizontal="left" vertical="center" wrapText="1" indent="1"/>
    </xf>
    <xf numFmtId="0" fontId="0" fillId="4" borderId="15" xfId="0" applyFill="1" applyBorder="1" applyAlignment="1">
      <alignment horizontal="left" vertical="center" wrapText="1" indent="1"/>
    </xf>
    <xf numFmtId="0" fontId="0" fillId="4" borderId="4" xfId="0" applyFill="1" applyBorder="1" applyAlignment="1">
      <alignment horizontal="left" vertical="center" wrapText="1" indent="1"/>
    </xf>
    <xf numFmtId="0" fontId="0" fillId="4" borderId="0" xfId="0" applyFill="1" applyBorder="1" applyAlignment="1">
      <alignment horizontal="left" vertical="center" wrapText="1" indent="1"/>
    </xf>
    <xf numFmtId="0" fontId="0" fillId="4" borderId="9" xfId="0" applyFill="1" applyBorder="1" applyAlignment="1">
      <alignment horizontal="left" vertical="center" wrapText="1" indent="1"/>
    </xf>
    <xf numFmtId="0" fontId="0" fillId="4" borderId="5" xfId="0" applyFill="1" applyBorder="1" applyAlignment="1">
      <alignment horizontal="left" vertical="center" wrapText="1" indent="1"/>
    </xf>
    <xf numFmtId="0" fontId="0" fillId="4" borderId="10" xfId="0" applyFill="1" applyBorder="1" applyAlignment="1">
      <alignment horizontal="left" vertical="center" wrapText="1" indent="1"/>
    </xf>
    <xf numFmtId="0" fontId="0" fillId="4" borderId="17" xfId="0" applyFill="1" applyBorder="1" applyAlignment="1">
      <alignment horizontal="left" vertical="center" wrapText="1" indent="1"/>
    </xf>
    <xf numFmtId="0" fontId="44" fillId="4" borderId="0" xfId="0" applyFont="1" applyFill="1" applyBorder="1" applyAlignment="1" applyProtection="1">
      <alignment horizontal="center" vertical="center"/>
    </xf>
    <xf numFmtId="0" fontId="35" fillId="4" borderId="0" xfId="0" applyFont="1" applyFill="1" applyAlignment="1" applyProtection="1">
      <alignment horizontal="center" vertical="center"/>
    </xf>
    <xf numFmtId="0" fontId="26" fillId="4" borderId="0" xfId="0" applyFont="1" applyFill="1" applyBorder="1" applyAlignment="1" applyProtection="1">
      <alignment horizontal="center" vertical="center"/>
    </xf>
    <xf numFmtId="0" fontId="0" fillId="4" borderId="0" xfId="0" applyFont="1" applyFill="1" applyAlignment="1" applyProtection="1">
      <alignment horizontal="center" vertical="center"/>
    </xf>
    <xf numFmtId="0" fontId="27" fillId="4" borderId="0" xfId="0" applyFont="1" applyFill="1" applyBorder="1" applyAlignment="1" applyProtection="1">
      <alignment horizontal="center" vertical="center"/>
    </xf>
    <xf numFmtId="0" fontId="16" fillId="0" borderId="0" xfId="0" applyFont="1" applyAlignment="1">
      <alignment horizontal="center" vertical="center"/>
    </xf>
    <xf numFmtId="0" fontId="26" fillId="5" borderId="10" xfId="0" applyFont="1" applyFill="1" applyBorder="1" applyAlignment="1" applyProtection="1">
      <alignment vertical="center"/>
    </xf>
    <xf numFmtId="0" fontId="0" fillId="5" borderId="10" xfId="0" applyFill="1" applyBorder="1" applyAlignment="1"/>
    <xf numFmtId="0" fontId="0" fillId="4" borderId="0" xfId="0" applyFont="1" applyFill="1" applyBorder="1" applyAlignment="1">
      <alignment vertical="center" wrapText="1"/>
    </xf>
    <xf numFmtId="0" fontId="0" fillId="4" borderId="0" xfId="0" applyFill="1" applyBorder="1" applyAlignment="1">
      <alignment vertical="center" wrapText="1"/>
    </xf>
    <xf numFmtId="0" fontId="21" fillId="0" borderId="0" xfId="0" applyFont="1" applyBorder="1" applyAlignment="1" applyProtection="1">
      <alignment vertical="center" wrapText="1"/>
    </xf>
    <xf numFmtId="0" fontId="0" fillId="0" borderId="0" xfId="0" applyBorder="1" applyAlignment="1">
      <alignment vertical="center"/>
    </xf>
    <xf numFmtId="0" fontId="21" fillId="4" borderId="3" xfId="0" applyFont="1" applyFill="1" applyBorder="1" applyAlignment="1" applyProtection="1">
      <alignment vertical="center" wrapText="1"/>
    </xf>
    <xf numFmtId="0" fontId="0" fillId="0" borderId="7" xfId="0" applyBorder="1" applyAlignment="1">
      <alignment vertical="center"/>
    </xf>
    <xf numFmtId="0" fontId="0" fillId="0" borderId="15" xfId="0" applyBorder="1" applyAlignment="1">
      <alignment vertical="center"/>
    </xf>
    <xf numFmtId="0" fontId="0" fillId="0" borderId="5" xfId="0" applyBorder="1" applyAlignment="1"/>
    <xf numFmtId="0" fontId="0" fillId="0" borderId="10" xfId="0" applyBorder="1" applyAlignment="1"/>
    <xf numFmtId="0" fontId="0" fillId="0" borderId="17" xfId="0" applyBorder="1" applyAlignment="1"/>
    <xf numFmtId="0" fontId="0" fillId="4" borderId="0" xfId="0" applyFont="1" applyFill="1" applyBorder="1" applyAlignment="1">
      <alignment vertical="top" wrapText="1"/>
    </xf>
    <xf numFmtId="0" fontId="0" fillId="4" borderId="0" xfId="0" applyFill="1" applyBorder="1" applyAlignment="1">
      <alignment vertical="top"/>
    </xf>
    <xf numFmtId="0" fontId="28" fillId="4" borderId="3" xfId="0" applyFont="1" applyFill="1" applyBorder="1" applyAlignment="1" applyProtection="1">
      <alignment horizontal="center" vertical="center"/>
    </xf>
    <xf numFmtId="0" fontId="16" fillId="4" borderId="7" xfId="0" applyFont="1" applyFill="1" applyBorder="1" applyAlignment="1" applyProtection="1">
      <alignment horizontal="center" vertical="center"/>
    </xf>
    <xf numFmtId="0" fontId="16" fillId="4" borderId="15" xfId="0" applyFont="1" applyFill="1" applyBorder="1" applyAlignment="1" applyProtection="1">
      <alignment horizontal="center" vertical="center"/>
    </xf>
    <xf numFmtId="0" fontId="45" fillId="4" borderId="0" xfId="0" applyFont="1" applyFill="1" applyBorder="1" applyAlignment="1" applyProtection="1">
      <alignment horizontal="left" vertical="center" wrapText="1"/>
    </xf>
    <xf numFmtId="0" fontId="0" fillId="4" borderId="0" xfId="0" applyFont="1" applyFill="1" applyBorder="1" applyAlignment="1">
      <alignment horizontal="left" vertical="center"/>
    </xf>
    <xf numFmtId="5" fontId="28" fillId="0" borderId="19" xfId="0" applyNumberFormat="1" applyFont="1" applyBorder="1" applyAlignment="1" applyProtection="1">
      <alignment horizontal="center" vertical="center"/>
    </xf>
    <xf numFmtId="0" fontId="21" fillId="0" borderId="16" xfId="0" applyFont="1" applyBorder="1" applyAlignment="1" applyProtection="1">
      <alignment horizontal="center" vertical="center"/>
    </xf>
    <xf numFmtId="0" fontId="21" fillId="0" borderId="22" xfId="0" applyFont="1" applyBorder="1" applyAlignment="1" applyProtection="1">
      <alignment horizontal="center" vertical="center"/>
    </xf>
    <xf numFmtId="0" fontId="28" fillId="4" borderId="28" xfId="0" applyFont="1" applyFill="1" applyBorder="1" applyAlignment="1" applyProtection="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9" fillId="4" borderId="8" xfId="0" applyFont="1" applyFill="1" applyBorder="1" applyAlignment="1" applyProtection="1">
      <alignment horizontal="center" vertical="center"/>
    </xf>
    <xf numFmtId="0" fontId="24" fillId="4" borderId="8" xfId="0" applyFont="1" applyFill="1" applyBorder="1" applyAlignment="1" applyProtection="1">
      <alignment horizontal="center" vertical="center"/>
    </xf>
    <xf numFmtId="5" fontId="28" fillId="0" borderId="3" xfId="0" applyNumberFormat="1"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15" xfId="0" applyFont="1" applyBorder="1" applyAlignment="1" applyProtection="1">
      <alignment horizontal="center" vertical="center"/>
    </xf>
    <xf numFmtId="49" fontId="16" fillId="4" borderId="6" xfId="0" applyNumberFormat="1" applyFont="1" applyFill="1" applyBorder="1" applyAlignment="1" applyProtection="1">
      <alignment horizontal="right" vertical="center" indent="1"/>
    </xf>
    <xf numFmtId="0" fontId="16" fillId="4" borderId="21" xfId="0" applyFont="1" applyFill="1" applyBorder="1" applyAlignment="1" applyProtection="1">
      <alignment horizontal="right" vertical="center" indent="1"/>
    </xf>
    <xf numFmtId="49" fontId="0" fillId="4" borderId="46" xfId="0" applyNumberFormat="1" applyFont="1" applyFill="1" applyBorder="1" applyAlignment="1" applyProtection="1">
      <alignment vertical="center"/>
    </xf>
    <xf numFmtId="0" fontId="0" fillId="4" borderId="47" xfId="0" applyFont="1" applyFill="1" applyBorder="1" applyAlignment="1" applyProtection="1">
      <alignment vertical="center"/>
    </xf>
    <xf numFmtId="0" fontId="0" fillId="4" borderId="0" xfId="0" applyFont="1" applyFill="1" applyAlignment="1">
      <alignment vertical="center"/>
    </xf>
    <xf numFmtId="0" fontId="0" fillId="0" borderId="0" xfId="0" applyAlignment="1">
      <alignment vertical="center"/>
    </xf>
    <xf numFmtId="0" fontId="0" fillId="4" borderId="0" xfId="0" applyFont="1" applyFill="1" applyAlignment="1">
      <alignment vertical="center" wrapText="1"/>
    </xf>
    <xf numFmtId="0" fontId="0" fillId="0" borderId="0" xfId="0" applyAlignment="1">
      <alignment vertical="center" wrapText="1"/>
    </xf>
    <xf numFmtId="49" fontId="0" fillId="4" borderId="40" xfId="0" applyNumberFormat="1" applyFont="1" applyFill="1" applyBorder="1" applyAlignment="1" applyProtection="1">
      <alignment vertical="center" wrapText="1"/>
    </xf>
    <xf numFmtId="0" fontId="0" fillId="4" borderId="41" xfId="0" applyFont="1" applyFill="1" applyBorder="1" applyAlignment="1" applyProtection="1">
      <alignment vertical="center" wrapText="1"/>
    </xf>
    <xf numFmtId="49" fontId="16" fillId="4" borderId="40" xfId="0" applyNumberFormat="1" applyFont="1" applyFill="1" applyBorder="1" applyAlignment="1" applyProtection="1">
      <alignment horizontal="right" vertical="center" indent="2"/>
    </xf>
    <xf numFmtId="0" fontId="16" fillId="4" borderId="41" xfId="0" applyFont="1" applyFill="1" applyBorder="1" applyAlignment="1" applyProtection="1">
      <alignment horizontal="right" vertical="center" indent="2"/>
    </xf>
    <xf numFmtId="49" fontId="0" fillId="4" borderId="40" xfId="0" applyNumberFormat="1" applyFont="1" applyFill="1" applyBorder="1" applyAlignment="1" applyProtection="1">
      <alignment vertical="center"/>
    </xf>
    <xf numFmtId="0" fontId="0" fillId="4" borderId="41" xfId="0" applyFont="1" applyFill="1" applyBorder="1" applyAlignment="1" applyProtection="1">
      <alignment vertical="center"/>
    </xf>
    <xf numFmtId="49" fontId="16" fillId="4" borderId="40" xfId="0" applyNumberFormat="1" applyFont="1" applyFill="1" applyBorder="1" applyAlignment="1" applyProtection="1">
      <alignment horizontal="right" vertical="center" indent="1"/>
    </xf>
    <xf numFmtId="0" fontId="16" fillId="4" borderId="41" xfId="0" applyFont="1" applyFill="1" applyBorder="1" applyAlignment="1" applyProtection="1">
      <alignment horizontal="right" vertical="center" indent="1"/>
    </xf>
    <xf numFmtId="49" fontId="0" fillId="4" borderId="40" xfId="0" applyNumberFormat="1" applyFont="1" applyFill="1" applyBorder="1" applyAlignment="1" applyProtection="1">
      <alignment horizontal="right" vertical="center" indent="1"/>
    </xf>
    <xf numFmtId="0" fontId="0" fillId="4" borderId="41" xfId="0" applyFont="1" applyFill="1" applyBorder="1" applyAlignment="1" applyProtection="1">
      <alignment horizontal="right" vertical="center" indent="1"/>
    </xf>
    <xf numFmtId="49" fontId="16" fillId="4" borderId="40" xfId="0" applyNumberFormat="1" applyFont="1" applyFill="1" applyBorder="1" applyAlignment="1" applyProtection="1">
      <alignment vertical="center"/>
    </xf>
    <xf numFmtId="0" fontId="16" fillId="4" borderId="41" xfId="0" applyFont="1" applyFill="1" applyBorder="1" applyAlignment="1" applyProtection="1">
      <alignment vertical="center"/>
    </xf>
    <xf numFmtId="49" fontId="0" fillId="4" borderId="19" xfId="0" applyNumberFormat="1" applyFont="1" applyFill="1" applyBorder="1" applyAlignment="1" applyProtection="1">
      <alignment horizontal="left" vertical="center" wrapText="1"/>
    </xf>
    <xf numFmtId="0" fontId="0" fillId="0" borderId="16" xfId="0" applyFont="1" applyBorder="1" applyAlignment="1" applyProtection="1">
      <alignment horizontal="left" vertical="center" wrapText="1"/>
    </xf>
    <xf numFmtId="0" fontId="0" fillId="0" borderId="16" xfId="0" applyBorder="1" applyAlignment="1">
      <alignment vertical="center" wrapText="1"/>
    </xf>
    <xf numFmtId="0" fontId="0" fillId="0" borderId="22" xfId="0" applyBorder="1" applyAlignment="1">
      <alignment vertical="center" wrapText="1"/>
    </xf>
    <xf numFmtId="49" fontId="37" fillId="4" borderId="10" xfId="0" applyNumberFormat="1" applyFont="1" applyFill="1" applyBorder="1" applyAlignment="1" applyProtection="1">
      <alignment horizontal="center" vertical="center"/>
    </xf>
    <xf numFmtId="0" fontId="0" fillId="0" borderId="10" xfId="0" applyBorder="1" applyAlignment="1">
      <alignment horizontal="center" vertical="center"/>
    </xf>
    <xf numFmtId="49" fontId="46" fillId="4" borderId="28" xfId="0" applyNumberFormat="1" applyFont="1" applyFill="1" applyBorder="1" applyAlignment="1" applyProtection="1">
      <alignment horizontal="center" vertical="center" wrapText="1"/>
    </xf>
    <xf numFmtId="0" fontId="46" fillId="0" borderId="29"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49" fontId="16" fillId="4" borderId="48" xfId="0" applyNumberFormat="1" applyFont="1" applyFill="1" applyBorder="1" applyAlignment="1" applyProtection="1">
      <alignment vertical="center"/>
    </xf>
    <xf numFmtId="0" fontId="16" fillId="4" borderId="49" xfId="0" applyFont="1" applyFill="1" applyBorder="1" applyAlignment="1" applyProtection="1">
      <alignment vertical="center"/>
    </xf>
    <xf numFmtId="0" fontId="16" fillId="4" borderId="44" xfId="0" applyFont="1" applyFill="1" applyBorder="1" applyAlignment="1" applyProtection="1">
      <alignment vertical="center"/>
    </xf>
    <xf numFmtId="0" fontId="0" fillId="0" borderId="45" xfId="0" applyBorder="1" applyAlignment="1">
      <alignment vertical="center"/>
    </xf>
    <xf numFmtId="0" fontId="0" fillId="0" borderId="8" xfId="0" applyBorder="1" applyAlignment="1">
      <alignment horizontal="center" vertical="center"/>
    </xf>
    <xf numFmtId="17" fontId="20" fillId="4" borderId="23" xfId="0" applyNumberFormat="1" applyFont="1" applyFill="1" applyBorder="1" applyAlignment="1" applyProtection="1">
      <alignment horizontal="center" vertical="center"/>
    </xf>
    <xf numFmtId="17" fontId="20" fillId="4" borderId="24" xfId="0" applyNumberFormat="1" applyFont="1" applyFill="1" applyBorder="1" applyAlignment="1" applyProtection="1">
      <alignment horizontal="center" vertical="center"/>
    </xf>
    <xf numFmtId="17" fontId="20" fillId="4" borderId="31" xfId="0" applyNumberFormat="1" applyFont="1" applyFill="1" applyBorder="1" applyAlignment="1" applyProtection="1">
      <alignment horizontal="center" vertical="center"/>
    </xf>
    <xf numFmtId="17" fontId="20" fillId="4" borderId="32" xfId="0" applyNumberFormat="1" applyFont="1" applyFill="1" applyBorder="1" applyAlignment="1" applyProtection="1">
      <alignment horizontal="center" vertical="center"/>
    </xf>
    <xf numFmtId="17" fontId="20" fillId="4" borderId="33" xfId="0" applyNumberFormat="1" applyFont="1" applyFill="1" applyBorder="1" applyAlignment="1" applyProtection="1">
      <alignment horizontal="center" vertical="center"/>
    </xf>
    <xf numFmtId="17" fontId="20" fillId="4" borderId="34" xfId="0" applyNumberFormat="1" applyFont="1" applyFill="1" applyBorder="1" applyAlignment="1" applyProtection="1">
      <alignment horizontal="center" vertical="center"/>
    </xf>
    <xf numFmtId="49" fontId="17" fillId="4" borderId="16" xfId="0" applyNumberFormat="1" applyFont="1" applyFill="1" applyBorder="1" applyAlignment="1" applyProtection="1">
      <alignment horizontal="center" vertical="center"/>
    </xf>
    <xf numFmtId="49" fontId="28" fillId="4" borderId="35" xfId="0" applyNumberFormat="1" applyFont="1" applyFill="1" applyBorder="1" applyAlignment="1" applyProtection="1">
      <alignment horizontal="center" vertical="center"/>
    </xf>
    <xf numFmtId="0" fontId="28" fillId="4" borderId="36" xfId="0" applyFont="1" applyFill="1" applyBorder="1" applyAlignment="1" applyProtection="1">
      <alignment horizontal="center" vertical="center"/>
    </xf>
    <xf numFmtId="0" fontId="21" fillId="4" borderId="34" xfId="0" applyFont="1" applyFill="1" applyBorder="1" applyAlignment="1" applyProtection="1">
      <alignment horizontal="center" vertical="center"/>
    </xf>
    <xf numFmtId="0" fontId="21" fillId="4" borderId="32" xfId="0" applyFont="1" applyFill="1" applyBorder="1" applyAlignment="1" applyProtection="1">
      <alignment horizontal="center" vertical="center"/>
    </xf>
    <xf numFmtId="17" fontId="20" fillId="4" borderId="23" xfId="0" applyNumberFormat="1" applyFont="1" applyFill="1" applyBorder="1" applyAlignment="1" applyProtection="1">
      <alignment horizontal="center" vertical="center" wrapText="1"/>
    </xf>
    <xf numFmtId="17" fontId="20" fillId="4" borderId="24" xfId="0" applyNumberFormat="1" applyFont="1" applyFill="1" applyBorder="1" applyAlignment="1" applyProtection="1">
      <alignment horizontal="center" vertical="center" wrapText="1"/>
    </xf>
    <xf numFmtId="164" fontId="20" fillId="4" borderId="23" xfId="2" applyNumberFormat="1" applyFont="1" applyFill="1" applyBorder="1" applyAlignment="1" applyProtection="1">
      <alignment horizontal="center" vertical="center" wrapText="1"/>
    </xf>
    <xf numFmtId="164" fontId="20" fillId="4" borderId="24" xfId="2" applyNumberFormat="1" applyFont="1" applyFill="1" applyBorder="1" applyAlignment="1" applyProtection="1">
      <alignment horizontal="center" vertical="center" wrapText="1"/>
    </xf>
    <xf numFmtId="49" fontId="28" fillId="4" borderId="50" xfId="0" applyNumberFormat="1" applyFont="1" applyFill="1" applyBorder="1" applyAlignment="1" applyProtection="1">
      <alignment horizontal="center" vertical="center"/>
    </xf>
    <xf numFmtId="0" fontId="28" fillId="4" borderId="51" xfId="0" applyFont="1" applyFill="1" applyBorder="1" applyAlignment="1" applyProtection="1">
      <alignment horizontal="center" vertical="center"/>
    </xf>
    <xf numFmtId="0" fontId="21" fillId="4" borderId="52" xfId="0" applyFont="1" applyFill="1" applyBorder="1" applyAlignment="1" applyProtection="1">
      <alignment vertical="center"/>
    </xf>
    <xf numFmtId="0" fontId="21" fillId="4" borderId="53" xfId="0" applyFont="1" applyFill="1" applyBorder="1" applyAlignment="1" applyProtection="1">
      <alignment vertical="center"/>
    </xf>
    <xf numFmtId="49" fontId="46" fillId="4" borderId="0" xfId="0" applyNumberFormat="1" applyFont="1" applyFill="1" applyBorder="1" applyAlignment="1" applyProtection="1">
      <alignment horizontal="left" vertical="center" wrapText="1"/>
    </xf>
    <xf numFmtId="0" fontId="46" fillId="0" borderId="0" xfId="0" applyFont="1" applyAlignment="1">
      <alignment horizontal="left" vertical="center" wrapText="1"/>
    </xf>
    <xf numFmtId="0" fontId="21" fillId="5" borderId="23" xfId="0" applyFont="1" applyFill="1" applyBorder="1" applyAlignment="1" applyProtection="1">
      <alignment horizontal="center" vertical="center" wrapText="1"/>
      <protection locked="0"/>
    </xf>
    <xf numFmtId="0" fontId="0" fillId="5" borderId="2" xfId="0" applyFill="1" applyBorder="1" applyAlignment="1" applyProtection="1">
      <alignment vertical="center" wrapText="1"/>
      <protection locked="0"/>
    </xf>
    <xf numFmtId="0" fontId="0" fillId="5" borderId="24" xfId="0" applyFill="1" applyBorder="1" applyAlignment="1" applyProtection="1">
      <alignment vertical="center" wrapText="1"/>
      <protection locked="0"/>
    </xf>
    <xf numFmtId="0" fontId="38" fillId="5" borderId="23"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4" xfId="0" applyBorder="1" applyAlignment="1" applyProtection="1">
      <alignment vertical="center" wrapText="1"/>
      <protection locked="0"/>
    </xf>
    <xf numFmtId="0" fontId="36" fillId="5" borderId="23" xfId="0" applyFont="1" applyFill="1" applyBorder="1" applyAlignment="1" applyProtection="1">
      <alignment vertical="center" wrapText="1"/>
      <protection locked="0"/>
    </xf>
    <xf numFmtId="0" fontId="0" fillId="0" borderId="0" xfId="0" applyFont="1" applyAlignment="1">
      <alignment vertical="center" wrapText="1"/>
    </xf>
    <xf numFmtId="0" fontId="35" fillId="0" borderId="8" xfId="0" applyFont="1" applyBorder="1" applyAlignment="1">
      <alignment horizontal="center" vertical="center"/>
    </xf>
    <xf numFmtId="0" fontId="16" fillId="4" borderId="23" xfId="0" applyFont="1" applyFill="1" applyBorder="1" applyAlignment="1" applyProtection="1">
      <alignment horizontal="center" vertical="center"/>
    </xf>
    <xf numFmtId="0" fontId="0" fillId="0" borderId="24" xfId="0" applyFont="1" applyBorder="1" applyAlignment="1" applyProtection="1">
      <alignment horizontal="center" vertical="center"/>
    </xf>
    <xf numFmtId="0" fontId="0" fillId="0" borderId="24" xfId="0" applyFont="1" applyBorder="1" applyAlignment="1" applyProtection="1">
      <alignment vertical="center"/>
    </xf>
    <xf numFmtId="0" fontId="28" fillId="4" borderId="23" xfId="0" applyFont="1" applyFill="1" applyBorder="1" applyAlignment="1" applyProtection="1">
      <alignment horizontal="center" vertical="center"/>
    </xf>
    <xf numFmtId="49" fontId="0" fillId="4" borderId="5" xfId="0" applyNumberFormat="1" applyFont="1" applyFill="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17" xfId="0" applyFont="1" applyBorder="1" applyAlignment="1" applyProtection="1">
      <alignment horizontal="left" vertical="center" wrapText="1"/>
    </xf>
    <xf numFmtId="0" fontId="28" fillId="0" borderId="0" xfId="0" applyFont="1" applyFill="1" applyBorder="1" applyAlignment="1" applyProtection="1">
      <alignment horizontal="center" vertical="center"/>
    </xf>
    <xf numFmtId="49" fontId="0" fillId="4" borderId="46" xfId="0" applyNumberFormat="1" applyFont="1" applyFill="1" applyBorder="1" applyAlignment="1">
      <alignment vertical="center"/>
    </xf>
    <xf numFmtId="0" fontId="0" fillId="4" borderId="47" xfId="0" applyFont="1" applyFill="1" applyBorder="1" applyAlignment="1">
      <alignment vertical="center"/>
    </xf>
    <xf numFmtId="0" fontId="38" fillId="4" borderId="10" xfId="0" applyFont="1" applyFill="1" applyBorder="1" applyAlignment="1" applyProtection="1">
      <alignment vertical="center" wrapText="1"/>
    </xf>
    <xf numFmtId="0" fontId="0" fillId="4" borderId="10" xfId="0" applyFont="1" applyFill="1" applyBorder="1" applyAlignment="1" applyProtection="1">
      <alignment vertical="center" wrapText="1"/>
    </xf>
    <xf numFmtId="49" fontId="16" fillId="4" borderId="46" xfId="0" applyNumberFormat="1" applyFont="1" applyFill="1" applyBorder="1" applyAlignment="1" applyProtection="1">
      <alignment vertical="center"/>
    </xf>
    <xf numFmtId="0" fontId="16" fillId="4" borderId="47" xfId="0" applyFont="1" applyFill="1" applyBorder="1" applyAlignment="1" applyProtection="1">
      <alignment vertical="center"/>
    </xf>
    <xf numFmtId="49" fontId="0" fillId="0" borderId="46" xfId="0" applyNumberFormat="1" applyFont="1" applyBorder="1" applyAlignment="1">
      <alignment vertical="center"/>
    </xf>
    <xf numFmtId="0" fontId="0" fillId="0" borderId="47" xfId="0" applyFont="1" applyBorder="1" applyAlignment="1">
      <alignment vertical="center"/>
    </xf>
    <xf numFmtId="49" fontId="0" fillId="4" borderId="40" xfId="0" applyNumberFormat="1" applyFont="1" applyFill="1" applyBorder="1" applyAlignment="1">
      <alignment vertical="center"/>
    </xf>
    <xf numFmtId="0" fontId="0" fillId="0" borderId="41" xfId="0" applyBorder="1" applyAlignment="1">
      <alignment vertical="center"/>
    </xf>
    <xf numFmtId="0" fontId="47" fillId="0" borderId="0" xfId="0" applyFont="1" applyAlignment="1">
      <alignment horizontal="center" vertical="center"/>
    </xf>
    <xf numFmtId="0" fontId="18" fillId="0" borderId="0" xfId="0" applyFont="1" applyAlignment="1">
      <alignment horizontal="center" vertical="center"/>
    </xf>
    <xf numFmtId="0" fontId="46" fillId="4" borderId="11" xfId="0" applyFont="1" applyFill="1" applyBorder="1" applyAlignment="1">
      <alignment horizontal="center" vertical="center" wrapText="1"/>
    </xf>
    <xf numFmtId="0" fontId="48" fillId="4" borderId="8" xfId="0" applyFont="1" applyFill="1" applyBorder="1" applyAlignment="1">
      <alignment vertical="center" wrapText="1"/>
    </xf>
    <xf numFmtId="0" fontId="48" fillId="4" borderId="12" xfId="0" applyFont="1" applyFill="1" applyBorder="1" applyAlignment="1">
      <alignment vertical="center" wrapText="1"/>
    </xf>
    <xf numFmtId="0" fontId="24" fillId="4" borderId="6" xfId="0" applyFont="1" applyFill="1" applyBorder="1" applyAlignment="1">
      <alignment horizontal="center" vertical="center"/>
    </xf>
    <xf numFmtId="0" fontId="35" fillId="4" borderId="1" xfId="0" applyFont="1" applyFill="1" applyBorder="1" applyAlignment="1">
      <alignment horizontal="center" vertical="center"/>
    </xf>
    <xf numFmtId="0" fontId="35" fillId="4" borderId="21" xfId="0" applyFont="1" applyFill="1" applyBorder="1" applyAlignment="1">
      <alignment horizontal="center" vertical="center"/>
    </xf>
  </cellXfs>
  <cellStyles count="8">
    <cellStyle name="Comma" xfId="1" builtinId="3"/>
    <cellStyle name="Currency" xfId="2" builtinId="4"/>
    <cellStyle name="Currency 2" xfId="3" xr:uid="{00000000-0005-0000-0000-000002000000}"/>
    <cellStyle name="Hyperlink" xfId="4" builtinId="8"/>
    <cellStyle name="Normal" xfId="0" builtinId="0"/>
    <cellStyle name="Normal 10" xfId="5" xr:uid="{00000000-0005-0000-0000-000005000000}"/>
    <cellStyle name="Normal 2" xfId="6" xr:uid="{00000000-0005-0000-0000-000006000000}"/>
    <cellStyle name="Normal 3 2" xfId="7" xr:uid="{00000000-0005-0000-0000-000007000000}"/>
  </cellStyles>
  <dxfs count="64">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0" indent="0" justifyLastLine="0" shrinkToFit="0" readingOrder="0"/>
    </dxf>
    <dxf>
      <font>
        <strike val="0"/>
        <outline val="0"/>
        <shadow val="0"/>
        <vertAlign val="baseline"/>
        <sz val="10"/>
        <name val="Calibri"/>
        <scheme val="minor"/>
      </font>
      <numFmt numFmtId="2" formatCode="0.00"/>
      <alignment vertical="center"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auto="1"/>
        <name val="Calibri"/>
        <scheme val="minor"/>
      </font>
      <numFmt numFmtId="2" formatCode="0.0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0"/>
        <color theme="1"/>
        <name val="Calibri"/>
        <scheme val="minor"/>
      </font>
      <alignment horizontal="general" vertical="center" textRotation="0" wrapText="0" indent="0" justifyLastLine="0" shrinkToFit="0" readingOrder="0"/>
    </dxf>
    <dxf>
      <font>
        <strike val="0"/>
        <outline val="0"/>
        <shadow val="0"/>
        <vertAlign val="baseline"/>
        <sz val="10"/>
        <name val="Calibri"/>
        <scheme val="minor"/>
      </font>
      <numFmt numFmtId="167" formatCode="0.0000"/>
      <alignment vertical="center" textRotation="0" indent="0" justifyLastLine="0" shrinkToFit="0" readingOrder="0"/>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center" vertical="center" textRotation="0" indent="0" justifyLastLine="0" shrinkToFit="0" readingOrder="0"/>
      <border diagonalUp="0" diagonalDown="0" outline="0">
        <left style="thin">
          <color theme="0"/>
        </left>
        <right/>
        <top style="thin">
          <color theme="0"/>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0"/>
        <color theme="1"/>
        <name val="Calibri"/>
        <scheme val="minor"/>
      </font>
      <fill>
        <patternFill patternType="solid">
          <fgColor theme="4" tint="0.59999389629810485"/>
          <bgColor theme="4" tint="0.59999389629810485"/>
        </patternFill>
      </fill>
      <alignment vertical="center" textRotation="0" indent="0" justifyLastLine="0" shrinkToFit="0" readingOrder="0"/>
      <border diagonalUp="0" diagonalDown="0" outline="0">
        <left style="thin">
          <color theme="0"/>
        </left>
        <right/>
        <top style="thin">
          <color theme="0"/>
        </top>
        <bottom/>
      </border>
    </dxf>
    <dxf>
      <font>
        <strike val="0"/>
        <outline val="0"/>
        <shadow val="0"/>
        <vertAlign val="baseline"/>
        <sz val="10"/>
        <name val="Calibri"/>
        <scheme val="minor"/>
      </font>
      <alignment vertical="center" textRotation="0" indent="0" justifyLastLine="0" shrinkToFit="0" readingOrder="0"/>
    </dxf>
    <dxf>
      <font>
        <strike val="0"/>
        <outline val="0"/>
        <shadow val="0"/>
        <vertAlign val="baseline"/>
        <sz val="10"/>
        <name val="Calibri"/>
        <scheme val="minor"/>
      </font>
      <alignment horizontal="center" vertical="center" textRotation="0" indent="0" justifyLastLine="0" shrinkToFit="0" readingOrder="0"/>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rgb="FF9C0006"/>
      </font>
    </dxf>
    <dxf>
      <font>
        <color rgb="FF9C0006"/>
      </font>
      <fill>
        <patternFill>
          <bgColor rgb="FFFFC7CE"/>
        </patternFill>
      </fill>
    </dxf>
    <dxf>
      <fill>
        <patternFill>
          <bgColor rgb="FFFF0000"/>
        </patternFill>
      </fill>
    </dxf>
    <dxf>
      <font>
        <color rgb="FF9C0006"/>
      </font>
      <fill>
        <patternFill>
          <bgColor rgb="FFFFC7CE"/>
        </patternFill>
      </fill>
    </dxf>
    <dxf>
      <font>
        <color rgb="FF9C0006"/>
      </font>
    </dxf>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C16:G306" totalsRowShown="0" headerRowDxfId="14" dataDxfId="13">
  <autoFilter ref="C16:G306" xr:uid="{00000000-0009-0000-0100-000001000000}"/>
  <tableColumns count="5">
    <tableColumn id="1" xr3:uid="{00000000-0010-0000-0000-000001000000}" name="School Corporation" dataDxfId="12" totalsRowDxfId="11"/>
    <tableColumn id="2" xr3:uid="{00000000-0010-0000-0000-000002000000}" name="FY 20 Index" dataDxfId="10" totalsRowDxfId="9"/>
    <tableColumn id="3" xr3:uid="{00000000-0010-0000-0000-000003000000}" name="FY 20 $/ADM" dataDxfId="8" totalsRowDxfId="7"/>
    <tableColumn id="5" xr3:uid="{00000000-0010-0000-0000-000005000000}" name="FY 21 Index" dataDxfId="6" totalsRowDxfId="5"/>
    <tableColumn id="4" xr3:uid="{00000000-0010-0000-0000-000004000000}" name="FY 21 $/ADM" dataDxfId="4" totalsRowDxfId="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1000000}" name="Table38" displayName="Table38" ref="J27:J30" totalsRowShown="0" headerRowDxfId="2" dataDxfId="1">
  <autoFilter ref="J27:J30" xr:uid="{00000000-0009-0000-0100-000026000000}"/>
  <tableColumns count="1">
    <tableColumn id="1" xr3:uid="{00000000-0010-0000-0100-000001000000}" name="Adult High School?"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6.bin"/><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sheetPr>
  <dimension ref="A1:X46"/>
  <sheetViews>
    <sheetView workbookViewId="0">
      <selection activeCell="E8" sqref="E8"/>
    </sheetView>
  </sheetViews>
  <sheetFormatPr defaultColWidth="9.140625" defaultRowHeight="15" x14ac:dyDescent="0.25"/>
  <cols>
    <col min="1" max="3" width="3" style="128" customWidth="1"/>
    <col min="4" max="4" width="30.7109375" style="128" customWidth="1"/>
    <col min="5" max="5" width="64.140625" style="128" customWidth="1"/>
    <col min="6" max="6" width="3" style="128" customWidth="1"/>
    <col min="7" max="16384" width="9.140625" style="128"/>
  </cols>
  <sheetData>
    <row r="1" spans="1:24" ht="15" customHeight="1" thickBot="1" x14ac:dyDescent="0.3">
      <c r="A1" s="127"/>
      <c r="B1" s="127"/>
      <c r="C1" s="127"/>
      <c r="D1" s="127"/>
      <c r="E1" s="127"/>
      <c r="F1" s="127"/>
      <c r="H1" s="129"/>
      <c r="I1" s="130"/>
      <c r="J1" s="130"/>
      <c r="K1" s="130"/>
      <c r="L1" s="130"/>
      <c r="M1" s="130"/>
      <c r="N1" s="130"/>
      <c r="O1" s="130"/>
      <c r="P1" s="130"/>
      <c r="Q1" s="130"/>
      <c r="R1" s="130"/>
      <c r="S1" s="130"/>
      <c r="T1" s="130"/>
      <c r="U1" s="130"/>
      <c r="V1" s="130"/>
      <c r="W1" s="130"/>
      <c r="X1" s="130"/>
    </row>
    <row r="2" spans="1:24" ht="15" customHeight="1" x14ac:dyDescent="0.25">
      <c r="A2" s="127"/>
      <c r="B2" s="131"/>
      <c r="C2" s="132"/>
      <c r="D2" s="132"/>
      <c r="E2" s="132"/>
      <c r="F2" s="133"/>
      <c r="H2" s="130"/>
      <c r="I2" s="130"/>
      <c r="J2" s="130"/>
      <c r="K2" s="130"/>
      <c r="L2" s="130"/>
      <c r="M2" s="130"/>
      <c r="N2" s="130"/>
      <c r="O2" s="130"/>
      <c r="P2" s="130"/>
      <c r="Q2" s="130"/>
      <c r="R2" s="130"/>
      <c r="S2" s="130"/>
      <c r="T2" s="130"/>
      <c r="U2" s="130"/>
      <c r="V2" s="130"/>
      <c r="W2" s="130"/>
      <c r="X2" s="130"/>
    </row>
    <row r="3" spans="1:24" ht="18.75" x14ac:dyDescent="0.25">
      <c r="A3" s="127"/>
      <c r="B3" s="134"/>
      <c r="C3" s="545" t="s">
        <v>461</v>
      </c>
      <c r="D3" s="546"/>
      <c r="E3" s="546"/>
      <c r="F3" s="135"/>
      <c r="H3" s="130"/>
      <c r="I3" s="130"/>
      <c r="J3" s="130"/>
      <c r="K3" s="130"/>
      <c r="L3" s="130"/>
      <c r="M3" s="130"/>
      <c r="N3" s="130"/>
      <c r="O3" s="130"/>
      <c r="P3" s="130"/>
      <c r="Q3" s="130"/>
      <c r="R3" s="130"/>
      <c r="S3" s="130"/>
      <c r="T3" s="130"/>
      <c r="U3" s="130"/>
      <c r="V3" s="130"/>
      <c r="W3" s="130"/>
      <c r="X3" s="130"/>
    </row>
    <row r="4" spans="1:24" ht="15" customHeight="1" x14ac:dyDescent="0.25">
      <c r="A4" s="127"/>
      <c r="B4" s="134"/>
      <c r="C4" s="136"/>
      <c r="D4" s="137" t="s">
        <v>120</v>
      </c>
      <c r="E4" s="138"/>
      <c r="F4" s="135"/>
      <c r="O4" s="130"/>
      <c r="P4" s="130"/>
      <c r="Q4" s="130"/>
      <c r="R4" s="130"/>
      <c r="S4" s="130"/>
      <c r="T4" s="130"/>
      <c r="U4" s="130"/>
      <c r="V4" s="130"/>
      <c r="W4" s="130"/>
      <c r="X4" s="130"/>
    </row>
    <row r="5" spans="1:24" ht="15" customHeight="1" x14ac:dyDescent="0.25">
      <c r="A5" s="127"/>
      <c r="B5" s="134"/>
      <c r="C5" s="139"/>
      <c r="D5" s="139"/>
      <c r="E5" s="140"/>
      <c r="F5" s="135"/>
      <c r="H5" s="141"/>
      <c r="I5" s="130"/>
      <c r="J5" s="130"/>
      <c r="K5" s="130"/>
      <c r="L5" s="130"/>
      <c r="M5" s="130"/>
      <c r="N5" s="130"/>
      <c r="O5" s="130"/>
      <c r="P5" s="130"/>
      <c r="Q5" s="130"/>
      <c r="R5" s="130"/>
      <c r="S5" s="130"/>
      <c r="T5" s="130"/>
      <c r="U5" s="130"/>
      <c r="V5" s="130"/>
      <c r="W5" s="130"/>
      <c r="X5" s="130"/>
    </row>
    <row r="6" spans="1:24" ht="15" customHeight="1" x14ac:dyDescent="0.25">
      <c r="A6" s="127"/>
      <c r="B6" s="134"/>
      <c r="C6" s="139"/>
      <c r="D6" s="142" t="s">
        <v>99</v>
      </c>
      <c r="E6" s="543" t="s">
        <v>590</v>
      </c>
      <c r="F6" s="135"/>
      <c r="H6" s="141"/>
      <c r="I6" s="130"/>
      <c r="J6" s="130"/>
      <c r="K6" s="130"/>
      <c r="L6" s="130"/>
      <c r="M6" s="130"/>
      <c r="N6" s="130"/>
      <c r="O6" s="130"/>
      <c r="P6" s="130"/>
      <c r="Q6" s="130"/>
      <c r="R6" s="130"/>
      <c r="S6" s="130"/>
      <c r="T6" s="130"/>
      <c r="U6" s="130"/>
      <c r="V6" s="130"/>
      <c r="W6" s="130"/>
      <c r="X6" s="130"/>
    </row>
    <row r="7" spans="1:24" ht="15" customHeight="1" x14ac:dyDescent="0.25">
      <c r="A7" s="127"/>
      <c r="B7" s="134"/>
      <c r="C7" s="139"/>
      <c r="D7" s="142" t="s">
        <v>83</v>
      </c>
      <c r="E7" s="144" t="s">
        <v>591</v>
      </c>
      <c r="F7" s="135"/>
      <c r="H7" s="141"/>
      <c r="I7" s="130"/>
      <c r="J7" s="130"/>
      <c r="K7" s="130"/>
      <c r="L7" s="130"/>
      <c r="M7" s="130"/>
      <c r="N7" s="130"/>
      <c r="O7" s="130"/>
      <c r="P7" s="130"/>
      <c r="Q7" s="130"/>
      <c r="R7" s="130"/>
      <c r="S7" s="130"/>
      <c r="T7" s="130"/>
      <c r="U7" s="130"/>
      <c r="V7" s="130"/>
      <c r="W7" s="130"/>
      <c r="X7" s="130"/>
    </row>
    <row r="8" spans="1:24" ht="15" customHeight="1" x14ac:dyDescent="0.25">
      <c r="A8" s="127"/>
      <c r="B8" s="134"/>
      <c r="C8" s="139"/>
      <c r="D8" s="142" t="s">
        <v>462</v>
      </c>
      <c r="E8" s="143" t="s">
        <v>170</v>
      </c>
      <c r="F8" s="135"/>
      <c r="H8" s="141"/>
      <c r="I8" s="130"/>
      <c r="J8" s="130"/>
      <c r="K8" s="130"/>
      <c r="L8" s="130"/>
      <c r="M8" s="130"/>
      <c r="N8" s="130"/>
      <c r="O8" s="130"/>
      <c r="P8" s="130"/>
      <c r="Q8" s="130"/>
      <c r="R8" s="130"/>
      <c r="S8" s="130"/>
      <c r="T8" s="130"/>
      <c r="U8" s="130"/>
      <c r="V8" s="130"/>
      <c r="W8" s="130"/>
      <c r="X8" s="130"/>
    </row>
    <row r="9" spans="1:24" ht="15" customHeight="1" x14ac:dyDescent="0.25">
      <c r="A9" s="127"/>
      <c r="B9" s="134"/>
      <c r="C9" s="145"/>
      <c r="D9" s="146"/>
      <c r="E9" s="147"/>
      <c r="F9" s="135"/>
      <c r="H9" s="141"/>
      <c r="I9" s="141"/>
      <c r="J9" s="141"/>
      <c r="K9" s="141"/>
      <c r="L9" s="141"/>
      <c r="M9" s="141"/>
      <c r="N9" s="130"/>
      <c r="O9" s="130"/>
      <c r="P9" s="130"/>
      <c r="Q9" s="130"/>
      <c r="R9" s="130"/>
      <c r="S9" s="130"/>
      <c r="T9" s="130"/>
      <c r="U9" s="130"/>
      <c r="V9" s="130"/>
      <c r="W9" s="130"/>
      <c r="X9" s="130"/>
    </row>
    <row r="10" spans="1:24" ht="112.5" customHeight="1" x14ac:dyDescent="0.25">
      <c r="A10" s="127"/>
      <c r="B10" s="134"/>
      <c r="C10" s="148"/>
      <c r="D10" s="149" t="s">
        <v>75</v>
      </c>
      <c r="E10" s="150" t="s">
        <v>550</v>
      </c>
      <c r="F10" s="135"/>
      <c r="H10" s="141"/>
      <c r="I10" s="141"/>
      <c r="J10" s="141"/>
      <c r="K10" s="141"/>
      <c r="L10" s="141"/>
      <c r="M10" s="141"/>
      <c r="N10" s="130"/>
      <c r="O10" s="130"/>
      <c r="P10" s="130"/>
      <c r="Q10" s="130"/>
      <c r="R10" s="130"/>
      <c r="S10" s="130"/>
      <c r="T10" s="130"/>
      <c r="U10" s="130"/>
      <c r="V10" s="130"/>
      <c r="W10" s="130"/>
      <c r="X10" s="130"/>
    </row>
    <row r="11" spans="1:24" s="156" customFormat="1" ht="40.5" customHeight="1" x14ac:dyDescent="0.25">
      <c r="A11" s="151"/>
      <c r="B11" s="152"/>
      <c r="C11" s="153"/>
      <c r="D11" s="154" t="s">
        <v>76</v>
      </c>
      <c r="E11" s="150" t="s">
        <v>426</v>
      </c>
      <c r="F11" s="155"/>
      <c r="H11" s="157"/>
      <c r="I11" s="158"/>
      <c r="J11" s="158"/>
      <c r="K11" s="158"/>
      <c r="L11" s="158"/>
      <c r="M11" s="158"/>
      <c r="N11" s="158"/>
      <c r="O11" s="158"/>
      <c r="P11" s="158"/>
      <c r="Q11" s="158"/>
      <c r="R11" s="158"/>
      <c r="S11" s="158"/>
      <c r="T11" s="158"/>
      <c r="U11" s="158"/>
      <c r="V11" s="158"/>
      <c r="W11" s="158"/>
      <c r="X11" s="158"/>
    </row>
    <row r="12" spans="1:24" s="156" customFormat="1" ht="239.25" customHeight="1" x14ac:dyDescent="0.25">
      <c r="A12" s="151"/>
      <c r="B12" s="152"/>
      <c r="C12" s="159"/>
      <c r="D12" s="154" t="s">
        <v>77</v>
      </c>
      <c r="E12" s="150" t="s">
        <v>427</v>
      </c>
      <c r="F12" s="155"/>
      <c r="H12" s="547"/>
      <c r="I12" s="547"/>
      <c r="J12" s="547"/>
      <c r="K12" s="547"/>
      <c r="L12" s="547"/>
      <c r="M12" s="547"/>
      <c r="N12" s="547"/>
      <c r="O12" s="547"/>
      <c r="P12" s="547"/>
      <c r="Q12" s="547"/>
      <c r="R12" s="547"/>
      <c r="S12" s="547"/>
      <c r="T12" s="158"/>
      <c r="U12" s="158"/>
      <c r="V12" s="158"/>
      <c r="W12" s="158"/>
      <c r="X12" s="158"/>
    </row>
    <row r="13" spans="1:24" ht="35.25" customHeight="1" x14ac:dyDescent="0.25">
      <c r="A13" s="127"/>
      <c r="B13" s="134"/>
      <c r="C13" s="140"/>
      <c r="D13" s="160" t="s">
        <v>78</v>
      </c>
      <c r="E13" s="150" t="s">
        <v>106</v>
      </c>
      <c r="F13" s="135"/>
      <c r="H13" s="161"/>
      <c r="I13" s="161"/>
      <c r="J13" s="161"/>
      <c r="K13" s="161"/>
      <c r="L13" s="161"/>
      <c r="M13" s="161"/>
      <c r="N13" s="161"/>
      <c r="O13" s="161"/>
      <c r="P13" s="161"/>
      <c r="Q13" s="161"/>
      <c r="R13" s="161"/>
      <c r="S13" s="161"/>
      <c r="T13" s="130"/>
      <c r="U13" s="130"/>
      <c r="V13" s="130"/>
      <c r="W13" s="130"/>
      <c r="X13" s="130"/>
    </row>
    <row r="14" spans="1:24" ht="72" customHeight="1" x14ac:dyDescent="0.25">
      <c r="A14" s="127"/>
      <c r="B14" s="134"/>
      <c r="C14" s="140"/>
      <c r="D14" s="160" t="s">
        <v>79</v>
      </c>
      <c r="E14" s="150" t="s">
        <v>424</v>
      </c>
      <c r="F14" s="135"/>
      <c r="H14" s="547"/>
      <c r="I14" s="547"/>
      <c r="J14" s="547"/>
      <c r="K14" s="547"/>
      <c r="L14" s="547"/>
      <c r="M14" s="547"/>
      <c r="N14" s="547"/>
      <c r="O14" s="547"/>
      <c r="P14" s="547"/>
      <c r="Q14" s="547"/>
      <c r="R14" s="547"/>
      <c r="S14" s="547"/>
      <c r="T14" s="130"/>
      <c r="U14" s="130"/>
      <c r="V14" s="130"/>
      <c r="W14" s="130"/>
      <c r="X14" s="130"/>
    </row>
    <row r="15" spans="1:24" ht="164.25" customHeight="1" x14ac:dyDescent="0.25">
      <c r="A15" s="127"/>
      <c r="B15" s="134"/>
      <c r="C15" s="140"/>
      <c r="D15" s="162" t="s">
        <v>80</v>
      </c>
      <c r="E15" s="150" t="s">
        <v>425</v>
      </c>
      <c r="F15" s="135"/>
      <c r="H15" s="548"/>
      <c r="I15" s="548"/>
      <c r="J15" s="548"/>
      <c r="K15" s="548"/>
      <c r="L15" s="548"/>
      <c r="M15" s="548"/>
      <c r="N15" s="548"/>
      <c r="O15" s="548"/>
      <c r="P15" s="548"/>
      <c r="Q15" s="548"/>
      <c r="R15" s="548"/>
      <c r="S15" s="548"/>
      <c r="T15" s="130"/>
      <c r="U15" s="130"/>
      <c r="V15" s="130"/>
      <c r="W15" s="130"/>
      <c r="X15" s="130"/>
    </row>
    <row r="16" spans="1:24" ht="15" customHeight="1" x14ac:dyDescent="0.25">
      <c r="A16" s="127"/>
      <c r="B16" s="134"/>
      <c r="C16" s="140"/>
      <c r="D16" s="163"/>
      <c r="E16" s="164"/>
      <c r="F16" s="135"/>
      <c r="H16" s="130"/>
      <c r="I16" s="130"/>
      <c r="J16" s="130"/>
      <c r="K16" s="130"/>
      <c r="L16" s="130"/>
      <c r="M16" s="130"/>
      <c r="N16" s="130"/>
      <c r="O16" s="130"/>
      <c r="P16" s="130"/>
      <c r="Q16" s="130"/>
      <c r="R16" s="130"/>
      <c r="S16" s="130"/>
      <c r="T16" s="130"/>
      <c r="U16" s="130"/>
      <c r="V16" s="130"/>
      <c r="W16" s="130"/>
      <c r="X16" s="130"/>
    </row>
    <row r="17" spans="1:24" ht="15" customHeight="1" thickBot="1" x14ac:dyDescent="0.3">
      <c r="A17" s="127"/>
      <c r="B17" s="165"/>
      <c r="C17" s="166"/>
      <c r="D17" s="166"/>
      <c r="E17" s="167"/>
      <c r="F17" s="168" t="s">
        <v>463</v>
      </c>
      <c r="O17" s="130"/>
      <c r="P17" s="130"/>
      <c r="Q17" s="130"/>
      <c r="R17" s="130"/>
      <c r="S17" s="130"/>
      <c r="T17" s="130"/>
      <c r="U17" s="130"/>
      <c r="V17" s="130"/>
      <c r="W17" s="130"/>
      <c r="X17" s="130"/>
    </row>
    <row r="18" spans="1:24" ht="15" customHeight="1" x14ac:dyDescent="0.25">
      <c r="A18" s="127"/>
      <c r="B18" s="127"/>
      <c r="C18" s="127"/>
      <c r="D18" s="127"/>
      <c r="E18" s="169"/>
      <c r="F18" s="170"/>
      <c r="O18" s="130"/>
      <c r="P18" s="130"/>
      <c r="Q18" s="130"/>
      <c r="R18" s="130"/>
      <c r="S18" s="130"/>
      <c r="T18" s="130"/>
      <c r="U18" s="130"/>
      <c r="V18" s="130"/>
      <c r="W18" s="130"/>
      <c r="X18" s="130"/>
    </row>
    <row r="19" spans="1:24" x14ac:dyDescent="0.25">
      <c r="A19" s="127"/>
      <c r="O19" s="130"/>
      <c r="P19" s="130"/>
      <c r="Q19" s="130"/>
      <c r="R19" s="130"/>
      <c r="S19" s="130"/>
      <c r="T19" s="130"/>
      <c r="U19" s="130"/>
      <c r="V19" s="130"/>
      <c r="W19" s="130"/>
      <c r="X19" s="130"/>
    </row>
    <row r="20" spans="1:24" x14ac:dyDescent="0.25">
      <c r="O20" s="130"/>
      <c r="P20" s="130"/>
      <c r="Q20" s="130"/>
      <c r="R20" s="130"/>
      <c r="S20" s="130"/>
      <c r="T20" s="130"/>
      <c r="U20" s="130"/>
      <c r="V20" s="130"/>
      <c r="W20" s="130"/>
      <c r="X20" s="130"/>
    </row>
    <row r="21" spans="1:24" x14ac:dyDescent="0.25">
      <c r="H21" s="130"/>
      <c r="I21" s="130"/>
      <c r="J21" s="130"/>
      <c r="K21" s="130"/>
      <c r="L21" s="130"/>
      <c r="M21" s="130"/>
      <c r="N21" s="130"/>
      <c r="O21" s="130"/>
      <c r="P21" s="130"/>
      <c r="Q21" s="130"/>
      <c r="R21" s="130"/>
      <c r="S21" s="130"/>
      <c r="T21" s="130"/>
      <c r="U21" s="130"/>
      <c r="V21" s="130"/>
      <c r="W21" s="130"/>
      <c r="X21" s="130"/>
    </row>
    <row r="22" spans="1:24" x14ac:dyDescent="0.25">
      <c r="H22" s="130"/>
      <c r="I22" s="130"/>
      <c r="J22" s="130"/>
      <c r="K22" s="130"/>
      <c r="L22" s="130"/>
      <c r="M22" s="130"/>
      <c r="N22" s="130"/>
      <c r="O22" s="130"/>
      <c r="P22" s="130"/>
      <c r="Q22" s="130"/>
      <c r="R22" s="130"/>
      <c r="S22" s="130"/>
      <c r="T22" s="130"/>
      <c r="U22" s="130"/>
      <c r="V22" s="130"/>
      <c r="W22" s="130"/>
      <c r="X22" s="130"/>
    </row>
    <row r="23" spans="1:24" x14ac:dyDescent="0.25">
      <c r="H23" s="130"/>
      <c r="I23" s="130"/>
      <c r="J23" s="130"/>
      <c r="K23" s="130"/>
      <c r="L23" s="130"/>
      <c r="M23" s="130"/>
      <c r="N23" s="130"/>
      <c r="O23" s="130"/>
      <c r="P23" s="130"/>
      <c r="Q23" s="130"/>
      <c r="R23" s="130"/>
      <c r="S23" s="130"/>
      <c r="T23" s="130"/>
      <c r="U23" s="130"/>
      <c r="V23" s="130"/>
      <c r="W23" s="130"/>
      <c r="X23" s="130"/>
    </row>
    <row r="24" spans="1:24" x14ac:dyDescent="0.25">
      <c r="H24" s="130"/>
      <c r="I24" s="130"/>
      <c r="J24" s="130"/>
      <c r="K24" s="130"/>
      <c r="L24" s="130"/>
      <c r="M24" s="130"/>
      <c r="N24" s="130"/>
      <c r="O24" s="130"/>
      <c r="P24" s="130"/>
      <c r="Q24" s="130"/>
      <c r="R24" s="130"/>
      <c r="S24" s="130"/>
      <c r="T24" s="130"/>
      <c r="U24" s="130"/>
      <c r="V24" s="130"/>
      <c r="W24" s="130"/>
      <c r="X24" s="130"/>
    </row>
    <row r="25" spans="1:24" x14ac:dyDescent="0.25">
      <c r="H25" s="130"/>
      <c r="I25" s="130"/>
      <c r="J25" s="130"/>
      <c r="K25" s="130"/>
      <c r="L25" s="130"/>
      <c r="M25" s="130"/>
      <c r="N25" s="130"/>
      <c r="O25" s="130"/>
      <c r="P25" s="130"/>
      <c r="Q25" s="130"/>
      <c r="R25" s="130"/>
      <c r="S25" s="130"/>
      <c r="T25" s="130"/>
      <c r="U25" s="130"/>
      <c r="V25" s="130"/>
      <c r="W25" s="130"/>
      <c r="X25" s="130"/>
    </row>
    <row r="26" spans="1:24" x14ac:dyDescent="0.25">
      <c r="H26" s="130"/>
      <c r="I26" s="130"/>
      <c r="J26" s="130"/>
      <c r="K26" s="130"/>
      <c r="L26" s="130"/>
      <c r="M26" s="130"/>
      <c r="N26" s="130"/>
      <c r="O26" s="130"/>
      <c r="P26" s="130"/>
      <c r="Q26" s="130"/>
      <c r="R26" s="130"/>
      <c r="S26" s="130"/>
      <c r="T26" s="130"/>
      <c r="U26" s="130"/>
      <c r="V26" s="130"/>
      <c r="W26" s="130"/>
      <c r="X26" s="130"/>
    </row>
    <row r="27" spans="1:24" x14ac:dyDescent="0.25">
      <c r="H27" s="130"/>
      <c r="I27" s="130"/>
      <c r="J27" s="171"/>
      <c r="K27" s="130"/>
      <c r="L27" s="130"/>
      <c r="M27" s="130"/>
      <c r="N27" s="130"/>
      <c r="O27" s="130"/>
      <c r="P27" s="130"/>
      <c r="Q27" s="130"/>
      <c r="R27" s="130"/>
      <c r="S27" s="130"/>
      <c r="T27" s="130"/>
      <c r="U27" s="130"/>
      <c r="V27" s="130"/>
      <c r="W27" s="130"/>
      <c r="X27" s="130"/>
    </row>
    <row r="28" spans="1:24" x14ac:dyDescent="0.25">
      <c r="H28" s="130"/>
      <c r="I28" s="130"/>
      <c r="J28" s="130"/>
      <c r="K28" s="130"/>
      <c r="L28" s="130"/>
      <c r="M28" s="130"/>
      <c r="N28" s="130"/>
      <c r="O28" s="130"/>
      <c r="P28" s="130"/>
      <c r="Q28" s="130"/>
      <c r="R28" s="130"/>
      <c r="S28" s="130"/>
      <c r="T28" s="130"/>
      <c r="U28" s="130"/>
      <c r="V28" s="130"/>
      <c r="W28" s="130"/>
      <c r="X28" s="130"/>
    </row>
    <row r="29" spans="1:24" x14ac:dyDescent="0.25">
      <c r="H29" s="130"/>
      <c r="I29" s="130"/>
      <c r="J29" s="130"/>
      <c r="K29" s="130"/>
      <c r="L29" s="130"/>
      <c r="M29" s="130"/>
      <c r="N29" s="130"/>
      <c r="O29" s="130"/>
      <c r="P29" s="130"/>
      <c r="Q29" s="130"/>
      <c r="R29" s="130"/>
      <c r="S29" s="130"/>
      <c r="T29" s="130"/>
      <c r="U29" s="130"/>
      <c r="V29" s="130"/>
      <c r="W29" s="130"/>
      <c r="X29" s="130"/>
    </row>
    <row r="30" spans="1:24" x14ac:dyDescent="0.25">
      <c r="H30" s="130"/>
      <c r="I30" s="130"/>
      <c r="J30" s="130"/>
      <c r="K30" s="130"/>
      <c r="L30" s="130"/>
      <c r="M30" s="130"/>
      <c r="N30" s="130"/>
      <c r="O30" s="130"/>
      <c r="P30" s="130"/>
      <c r="Q30" s="130"/>
      <c r="R30" s="130"/>
      <c r="S30" s="130"/>
      <c r="T30" s="130"/>
      <c r="U30" s="130"/>
      <c r="V30" s="130"/>
      <c r="W30" s="130"/>
      <c r="X30" s="130"/>
    </row>
    <row r="31" spans="1:24" x14ac:dyDescent="0.25">
      <c r="H31" s="130"/>
      <c r="I31" s="130"/>
      <c r="J31" s="130"/>
      <c r="K31" s="130"/>
      <c r="L31" s="130"/>
      <c r="M31" s="130"/>
      <c r="N31" s="130"/>
      <c r="O31" s="130"/>
      <c r="P31" s="130"/>
      <c r="Q31" s="130"/>
      <c r="R31" s="130"/>
      <c r="S31" s="130"/>
      <c r="T31" s="130"/>
      <c r="U31" s="130"/>
      <c r="V31" s="130"/>
      <c r="W31" s="130"/>
      <c r="X31" s="130"/>
    </row>
    <row r="32" spans="1:24" x14ac:dyDescent="0.25">
      <c r="H32" s="130"/>
      <c r="I32" s="130"/>
      <c r="J32" s="130"/>
      <c r="K32" s="130"/>
      <c r="L32" s="130"/>
      <c r="M32" s="130"/>
      <c r="N32" s="130"/>
      <c r="O32" s="130"/>
      <c r="P32" s="130"/>
      <c r="Q32" s="130"/>
      <c r="R32" s="130"/>
      <c r="S32" s="130"/>
      <c r="T32" s="130"/>
      <c r="U32" s="130"/>
      <c r="V32" s="130"/>
      <c r="W32" s="130"/>
      <c r="X32" s="130"/>
    </row>
    <row r="33" spans="8:24" x14ac:dyDescent="0.25">
      <c r="H33" s="130"/>
      <c r="I33" s="130"/>
      <c r="J33" s="130"/>
      <c r="K33" s="130"/>
      <c r="L33" s="130"/>
      <c r="M33" s="130"/>
      <c r="N33" s="130"/>
      <c r="O33" s="130"/>
      <c r="P33" s="130"/>
      <c r="Q33" s="130"/>
      <c r="R33" s="130"/>
      <c r="S33" s="130"/>
      <c r="T33" s="130"/>
      <c r="U33" s="130"/>
      <c r="V33" s="130"/>
      <c r="W33" s="130"/>
      <c r="X33" s="130"/>
    </row>
    <row r="34" spans="8:24" x14ac:dyDescent="0.25">
      <c r="H34" s="130"/>
      <c r="I34" s="130"/>
      <c r="J34" s="130"/>
      <c r="K34" s="130"/>
      <c r="L34" s="130"/>
      <c r="M34" s="130"/>
      <c r="N34" s="130"/>
      <c r="O34" s="130"/>
      <c r="P34" s="130"/>
      <c r="Q34" s="130"/>
      <c r="R34" s="130"/>
      <c r="S34" s="130"/>
      <c r="T34" s="130"/>
      <c r="U34" s="130"/>
      <c r="V34" s="130"/>
      <c r="W34" s="130"/>
      <c r="X34" s="130"/>
    </row>
    <row r="35" spans="8:24" x14ac:dyDescent="0.25">
      <c r="H35" s="130"/>
      <c r="I35" s="130"/>
      <c r="J35" s="130"/>
      <c r="K35" s="130"/>
      <c r="L35" s="130"/>
      <c r="M35" s="130"/>
      <c r="N35" s="130"/>
      <c r="O35" s="130"/>
      <c r="P35" s="130"/>
      <c r="Q35" s="130"/>
      <c r="R35" s="130"/>
      <c r="S35" s="130"/>
      <c r="T35" s="130"/>
      <c r="U35" s="130"/>
      <c r="V35" s="130"/>
      <c r="W35" s="130"/>
      <c r="X35" s="130"/>
    </row>
    <row r="36" spans="8:24" x14ac:dyDescent="0.25">
      <c r="H36" s="130"/>
      <c r="I36" s="130"/>
      <c r="J36" s="130"/>
      <c r="K36" s="130"/>
      <c r="L36" s="130"/>
      <c r="M36" s="130"/>
      <c r="N36" s="130"/>
      <c r="O36" s="130"/>
      <c r="P36" s="130"/>
      <c r="Q36" s="130"/>
      <c r="R36" s="130"/>
      <c r="S36" s="130"/>
      <c r="T36" s="130"/>
      <c r="U36" s="130"/>
      <c r="V36" s="130"/>
      <c r="W36" s="130"/>
      <c r="X36" s="130"/>
    </row>
    <row r="37" spans="8:24" x14ac:dyDescent="0.25">
      <c r="H37" s="130"/>
      <c r="I37" s="130"/>
      <c r="J37" s="130"/>
      <c r="K37" s="130"/>
      <c r="L37" s="130"/>
      <c r="M37" s="130"/>
      <c r="N37" s="130"/>
      <c r="O37" s="130"/>
      <c r="P37" s="130"/>
      <c r="Q37" s="130"/>
      <c r="R37" s="130"/>
      <c r="S37" s="130"/>
      <c r="T37" s="130"/>
      <c r="U37" s="130"/>
      <c r="V37" s="130"/>
      <c r="W37" s="130"/>
      <c r="X37" s="130"/>
    </row>
    <row r="38" spans="8:24" x14ac:dyDescent="0.25">
      <c r="H38" s="130"/>
      <c r="I38" s="130"/>
      <c r="J38" s="130"/>
      <c r="K38" s="130"/>
      <c r="L38" s="130"/>
      <c r="M38" s="130"/>
      <c r="N38" s="130"/>
      <c r="O38" s="130"/>
      <c r="P38" s="130"/>
      <c r="Q38" s="130"/>
      <c r="R38" s="130"/>
      <c r="S38" s="130"/>
      <c r="T38" s="130"/>
      <c r="U38" s="130"/>
      <c r="V38" s="130"/>
      <c r="W38" s="130"/>
      <c r="X38" s="130"/>
    </row>
    <row r="39" spans="8:24" x14ac:dyDescent="0.25">
      <c r="H39" s="130"/>
      <c r="I39" s="130"/>
      <c r="J39" s="130"/>
      <c r="K39" s="130"/>
      <c r="L39" s="130"/>
      <c r="M39" s="130"/>
      <c r="N39" s="130"/>
      <c r="O39" s="130"/>
      <c r="P39" s="130"/>
      <c r="Q39" s="130"/>
      <c r="R39" s="130"/>
      <c r="S39" s="130"/>
      <c r="T39" s="130"/>
      <c r="U39" s="130"/>
      <c r="V39" s="130"/>
      <c r="W39" s="130"/>
      <c r="X39" s="130"/>
    </row>
    <row r="40" spans="8:24" x14ac:dyDescent="0.25">
      <c r="H40" s="130"/>
      <c r="I40" s="130"/>
      <c r="J40" s="130"/>
      <c r="K40" s="130"/>
      <c r="L40" s="130"/>
      <c r="M40" s="130"/>
      <c r="N40" s="130"/>
      <c r="O40" s="130"/>
      <c r="P40" s="130"/>
      <c r="Q40" s="130"/>
      <c r="R40" s="130"/>
      <c r="S40" s="130"/>
      <c r="T40" s="130"/>
      <c r="U40" s="130"/>
      <c r="V40" s="130"/>
      <c r="W40" s="130"/>
      <c r="X40" s="130"/>
    </row>
    <row r="41" spans="8:24" x14ac:dyDescent="0.25">
      <c r="H41" s="130"/>
      <c r="I41" s="130"/>
      <c r="J41" s="130"/>
      <c r="K41" s="130"/>
      <c r="L41" s="130"/>
      <c r="M41" s="130"/>
      <c r="N41" s="130"/>
      <c r="O41" s="130"/>
      <c r="P41" s="130"/>
      <c r="Q41" s="130"/>
      <c r="R41" s="130"/>
      <c r="S41" s="130"/>
      <c r="T41" s="130"/>
      <c r="U41" s="130"/>
      <c r="V41" s="130"/>
      <c r="W41" s="130"/>
      <c r="X41" s="130"/>
    </row>
    <row r="42" spans="8:24" x14ac:dyDescent="0.25">
      <c r="H42" s="130"/>
      <c r="I42" s="130"/>
      <c r="J42" s="130"/>
      <c r="K42" s="130"/>
      <c r="L42" s="130"/>
      <c r="M42" s="130"/>
      <c r="N42" s="130"/>
      <c r="O42" s="130"/>
      <c r="P42" s="130"/>
      <c r="Q42" s="130"/>
      <c r="R42" s="130"/>
      <c r="S42" s="130"/>
      <c r="T42" s="130"/>
      <c r="U42" s="130"/>
      <c r="V42" s="130"/>
      <c r="W42" s="130"/>
      <c r="X42" s="130"/>
    </row>
    <row r="43" spans="8:24" x14ac:dyDescent="0.25">
      <c r="H43" s="130"/>
      <c r="I43" s="130"/>
      <c r="J43" s="130"/>
      <c r="K43" s="130"/>
      <c r="L43" s="130"/>
      <c r="M43" s="130"/>
      <c r="N43" s="130"/>
      <c r="O43" s="130"/>
      <c r="P43" s="130"/>
      <c r="Q43" s="130"/>
      <c r="R43" s="130"/>
      <c r="S43" s="130"/>
      <c r="T43" s="130"/>
      <c r="U43" s="130"/>
      <c r="V43" s="130"/>
      <c r="W43" s="130"/>
      <c r="X43" s="130"/>
    </row>
    <row r="44" spans="8:24" x14ac:dyDescent="0.25">
      <c r="H44" s="130"/>
      <c r="I44" s="130"/>
      <c r="J44" s="130"/>
      <c r="K44" s="130"/>
      <c r="L44" s="130"/>
      <c r="M44" s="130"/>
      <c r="N44" s="130"/>
      <c r="O44" s="130"/>
      <c r="P44" s="130"/>
      <c r="Q44" s="130"/>
      <c r="R44" s="130"/>
      <c r="S44" s="130"/>
      <c r="T44" s="130"/>
      <c r="U44" s="130"/>
      <c r="V44" s="130"/>
      <c r="W44" s="130"/>
      <c r="X44" s="130"/>
    </row>
    <row r="45" spans="8:24" x14ac:dyDescent="0.25">
      <c r="H45" s="130"/>
      <c r="I45" s="130"/>
      <c r="J45" s="130"/>
      <c r="K45" s="130"/>
      <c r="L45" s="130"/>
      <c r="M45" s="130"/>
      <c r="N45" s="130"/>
      <c r="O45" s="130"/>
      <c r="P45" s="130"/>
      <c r="Q45" s="130"/>
      <c r="R45" s="130"/>
      <c r="S45" s="130"/>
      <c r="T45" s="130"/>
      <c r="U45" s="130"/>
      <c r="V45" s="130"/>
      <c r="W45" s="130"/>
      <c r="X45" s="130"/>
    </row>
    <row r="46" spans="8:24" x14ac:dyDescent="0.25">
      <c r="H46" s="130"/>
      <c r="I46" s="130"/>
      <c r="J46" s="130"/>
      <c r="K46" s="130"/>
      <c r="L46" s="130"/>
      <c r="M46" s="130"/>
      <c r="N46" s="130"/>
      <c r="O46" s="130"/>
      <c r="P46" s="130"/>
      <c r="Q46" s="130"/>
      <c r="R46" s="130"/>
      <c r="S46" s="130"/>
      <c r="T46" s="130"/>
      <c r="U46" s="130"/>
      <c r="V46" s="130"/>
      <c r="W46" s="130"/>
      <c r="X46" s="130"/>
    </row>
  </sheetData>
  <sheetProtection password="BDDB" sheet="1" objects="1" scenarios="1" selectLockedCells="1"/>
  <mergeCells count="4">
    <mergeCell ref="C3:E3"/>
    <mergeCell ref="H12:S12"/>
    <mergeCell ref="H15:S15"/>
    <mergeCell ref="H14:S14"/>
  </mergeCells>
  <dataValidations count="1">
    <dataValidation type="list" allowBlank="1" showInputMessage="1" sqref="E8" xr:uid="{00000000-0002-0000-0000-000000000000}">
      <formula1>CorpList</formula1>
    </dataValidation>
  </dataValidations>
  <hyperlinks>
    <hyperlink ref="D10" location="'1. Instructions'!A1" display="1. Instructions" xr:uid="{00000000-0004-0000-0000-000000000000}"/>
    <hyperlink ref="D11" location="'2. Enrollment Projections'!A1" display="2. Enrollment Projection" xr:uid="{00000000-0004-0000-0000-000001000000}"/>
    <hyperlink ref="D12" location="'3. Staffing Plan'!A1" display="3. Staffing Plan" xr:uid="{00000000-0004-0000-0000-000002000000}"/>
    <hyperlink ref="D13" location="'4. Budget &amp; Cash Flow (Year 0)'!A1" display="4. Year 0 - Budget and Cash Flow" xr:uid="{00000000-0004-0000-0000-000003000000}"/>
    <hyperlink ref="D14" location="'5. 5-Year Budget'!A1" display="5. 5-Year Budget" xr:uid="{00000000-0004-0000-0000-000004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B1:Y54"/>
  <sheetViews>
    <sheetView workbookViewId="0">
      <selection activeCell="H21" sqref="H21"/>
    </sheetView>
  </sheetViews>
  <sheetFormatPr defaultColWidth="9.140625" defaultRowHeight="15" x14ac:dyDescent="0.25"/>
  <cols>
    <col min="1" max="3" width="3" style="128" customWidth="1"/>
    <col min="4" max="4" width="26.5703125" style="128" customWidth="1"/>
    <col min="5" max="7" width="14.28515625" style="128" customWidth="1"/>
    <col min="8" max="8" width="15.42578125" style="128" customWidth="1"/>
    <col min="9" max="9" width="14.5703125" style="128" customWidth="1"/>
    <col min="10" max="10" width="3.28515625" style="128" customWidth="1"/>
    <col min="11" max="16" width="14.5703125" style="128" customWidth="1"/>
    <col min="17" max="18" width="3" style="128" customWidth="1"/>
    <col min="19" max="25" width="9.140625" style="128" customWidth="1"/>
    <col min="26" max="16384" width="9.140625" style="128"/>
  </cols>
  <sheetData>
    <row r="1" spans="2:18" ht="15" customHeight="1" thickBot="1" x14ac:dyDescent="0.3"/>
    <row r="2" spans="2:18" ht="15" customHeight="1" x14ac:dyDescent="0.25">
      <c r="B2" s="172"/>
      <c r="C2" s="173"/>
      <c r="D2" s="173"/>
      <c r="E2" s="173"/>
      <c r="F2" s="173"/>
      <c r="G2" s="173"/>
      <c r="H2" s="173"/>
      <c r="I2" s="173"/>
      <c r="J2" s="173"/>
      <c r="K2" s="173"/>
      <c r="L2" s="173"/>
      <c r="M2" s="173"/>
      <c r="N2" s="173"/>
      <c r="O2" s="173"/>
      <c r="P2" s="173"/>
      <c r="Q2" s="173"/>
      <c r="R2" s="174"/>
    </row>
    <row r="3" spans="2:18" ht="18.75" x14ac:dyDescent="0.25">
      <c r="B3" s="175"/>
      <c r="C3" s="176"/>
      <c r="D3" s="560" t="s">
        <v>84</v>
      </c>
      <c r="E3" s="561"/>
      <c r="F3" s="561"/>
      <c r="G3" s="561"/>
      <c r="H3" s="561"/>
      <c r="I3" s="561"/>
      <c r="J3" s="358"/>
      <c r="K3" s="358"/>
      <c r="L3" s="358"/>
      <c r="M3" s="358"/>
      <c r="N3" s="358"/>
      <c r="O3" s="358"/>
      <c r="P3" s="358"/>
      <c r="Q3" s="177"/>
      <c r="R3" s="178"/>
    </row>
    <row r="4" spans="2:18" ht="15" customHeight="1" x14ac:dyDescent="0.25">
      <c r="B4" s="175"/>
      <c r="C4" s="176"/>
      <c r="D4" s="562" t="s">
        <v>85</v>
      </c>
      <c r="E4" s="563"/>
      <c r="F4" s="563"/>
      <c r="G4" s="563"/>
      <c r="H4" s="563"/>
      <c r="I4" s="563"/>
      <c r="J4" s="177"/>
      <c r="K4" s="177"/>
      <c r="L4" s="177"/>
      <c r="M4" s="177"/>
      <c r="N4" s="177"/>
      <c r="O4" s="177"/>
      <c r="P4" s="177"/>
      <c r="Q4" s="177"/>
      <c r="R4" s="178"/>
    </row>
    <row r="5" spans="2:18" ht="15" customHeight="1" x14ac:dyDescent="0.25">
      <c r="B5" s="175"/>
      <c r="C5" s="176"/>
      <c r="D5" s="564"/>
      <c r="E5" s="565"/>
      <c r="F5" s="565"/>
      <c r="G5" s="565"/>
      <c r="H5" s="565"/>
      <c r="I5" s="565"/>
      <c r="J5" s="115"/>
      <c r="K5" s="360"/>
      <c r="L5" s="360"/>
      <c r="M5" s="360"/>
      <c r="N5" s="360"/>
      <c r="O5" s="360"/>
      <c r="P5" s="360"/>
      <c r="Q5" s="176"/>
      <c r="R5" s="178"/>
    </row>
    <row r="6" spans="2:18" ht="15" customHeight="1" x14ac:dyDescent="0.25">
      <c r="B6" s="175"/>
      <c r="C6" s="176"/>
      <c r="D6" s="179" t="s">
        <v>81</v>
      </c>
      <c r="E6" s="180"/>
      <c r="F6" s="181" t="str">
        <f>IF(ISBLANK('1. Instructions'!E6),"Please enter School Name on Tab 1.",'1. Instructions'!E6)</f>
        <v xml:space="preserve">Genai Excellence Academy, Inc </v>
      </c>
      <c r="G6" s="182"/>
      <c r="H6" s="183"/>
      <c r="I6" s="182"/>
      <c r="J6" s="182"/>
      <c r="K6" s="182"/>
      <c r="L6" s="182"/>
      <c r="M6" s="182"/>
      <c r="N6" s="182"/>
      <c r="O6" s="182"/>
      <c r="P6" s="182"/>
      <c r="Q6" s="182"/>
      <c r="R6" s="178"/>
    </row>
    <row r="7" spans="2:18" ht="15" customHeight="1" x14ac:dyDescent="0.25">
      <c r="B7" s="175"/>
      <c r="C7" s="176"/>
      <c r="D7" s="179" t="s">
        <v>82</v>
      </c>
      <c r="E7" s="184"/>
      <c r="F7" s="185" t="str">
        <f>IF(ISBLANK('1. Instructions'!E7),"Please enter School's Opening Year on Tab 1.",'1. Instructions'!E7)</f>
        <v>2021-2022</v>
      </c>
      <c r="G7" s="182"/>
      <c r="H7" s="183"/>
      <c r="I7" s="186" t="s">
        <v>460</v>
      </c>
      <c r="J7" s="186"/>
      <c r="K7" s="186"/>
      <c r="L7" s="186"/>
      <c r="M7" s="186"/>
      <c r="N7" s="186"/>
      <c r="O7" s="186"/>
      <c r="P7" s="186"/>
      <c r="Q7" s="182"/>
      <c r="R7" s="178"/>
    </row>
    <row r="8" spans="2:18" ht="15" customHeight="1" x14ac:dyDescent="0.25">
      <c r="B8" s="175"/>
      <c r="C8" s="176"/>
      <c r="D8" s="179" t="s">
        <v>423</v>
      </c>
      <c r="E8" s="184"/>
      <c r="F8" s="185" t="str">
        <f>IF(ISNUMBER(SEARCH("Select from drop-down list →",'1. Instructions'!E8)),"Please enter School's Planned Location on Tab 1.",'1. Instructions'!E8)</f>
        <v>Concord Community Schools</v>
      </c>
      <c r="G8" s="182"/>
      <c r="H8" s="183"/>
      <c r="I8" s="186" t="s">
        <v>460</v>
      </c>
      <c r="J8" s="186"/>
      <c r="K8" s="186"/>
      <c r="L8" s="186"/>
      <c r="M8" s="186"/>
      <c r="N8" s="186"/>
      <c r="O8" s="186"/>
      <c r="P8" s="186"/>
      <c r="Q8" s="182"/>
      <c r="R8" s="178"/>
    </row>
    <row r="9" spans="2:18" ht="15" customHeight="1" x14ac:dyDescent="0.25">
      <c r="B9" s="175"/>
      <c r="C9" s="176"/>
      <c r="D9" s="179"/>
      <c r="E9" s="184"/>
      <c r="F9" s="185"/>
      <c r="G9" s="182"/>
      <c r="H9" s="183"/>
      <c r="I9" s="186"/>
      <c r="J9" s="186"/>
      <c r="K9" s="186"/>
      <c r="L9" s="186"/>
      <c r="M9" s="186"/>
      <c r="N9" s="186"/>
      <c r="O9" s="186"/>
      <c r="P9" s="186"/>
      <c r="Q9" s="182"/>
      <c r="R9" s="178"/>
    </row>
    <row r="10" spans="2:18" ht="15" customHeight="1" x14ac:dyDescent="0.25">
      <c r="B10" s="175"/>
      <c r="C10" s="176"/>
      <c r="D10" s="179" t="s">
        <v>475</v>
      </c>
      <c r="E10" s="184"/>
      <c r="F10" s="185"/>
      <c r="H10" s="566" t="s">
        <v>436</v>
      </c>
      <c r="I10" s="567"/>
      <c r="J10" s="361"/>
      <c r="K10" s="361"/>
      <c r="L10" s="361"/>
      <c r="M10" s="361"/>
      <c r="N10" s="361"/>
      <c r="O10" s="361"/>
      <c r="P10" s="361"/>
      <c r="Q10" s="182"/>
      <c r="R10" s="178"/>
    </row>
    <row r="11" spans="2:18" ht="15" customHeight="1" x14ac:dyDescent="0.25">
      <c r="B11" s="175"/>
      <c r="C11" s="176"/>
      <c r="D11" s="354"/>
      <c r="E11" s="184"/>
      <c r="F11" s="185"/>
      <c r="G11" s="352"/>
      <c r="H11" s="529" t="str">
        <f>IF((ISNUMBER(SEARCH("Select from drop-down list →",H10))), "", IF((ISNUMBER(SEARCH("No",H10))), "Complete Enrollment Lines 15-27 only.", "Complete Enrollment Line 31 only."))</f>
        <v/>
      </c>
      <c r="I11" s="530"/>
      <c r="J11" s="531"/>
      <c r="K11" s="362"/>
      <c r="L11" s="362"/>
      <c r="M11" s="362"/>
      <c r="N11" s="362"/>
      <c r="O11" s="362"/>
      <c r="P11" s="362"/>
      <c r="Q11" s="182"/>
      <c r="R11" s="178"/>
    </row>
    <row r="12" spans="2:18" ht="15" customHeight="1" x14ac:dyDescent="0.25">
      <c r="B12" s="175"/>
      <c r="C12" s="176"/>
      <c r="D12" s="159"/>
      <c r="E12" s="159"/>
      <c r="F12" s="159"/>
      <c r="G12" s="159"/>
      <c r="H12" s="159"/>
      <c r="I12" s="159"/>
      <c r="J12" s="159"/>
      <c r="K12" s="159"/>
      <c r="L12" s="159"/>
      <c r="M12" s="159"/>
      <c r="N12" s="159"/>
      <c r="O12" s="159"/>
      <c r="P12" s="159"/>
      <c r="Q12" s="159"/>
      <c r="R12" s="178"/>
    </row>
    <row r="13" spans="2:18" ht="15" customHeight="1" x14ac:dyDescent="0.25">
      <c r="B13" s="175"/>
      <c r="C13" s="187"/>
      <c r="D13" s="188" t="s">
        <v>105</v>
      </c>
      <c r="E13" s="188" t="s">
        <v>7</v>
      </c>
      <c r="F13" s="188" t="s">
        <v>8</v>
      </c>
      <c r="G13" s="188" t="s">
        <v>9</v>
      </c>
      <c r="H13" s="188" t="s">
        <v>10</v>
      </c>
      <c r="I13" s="189" t="s">
        <v>11</v>
      </c>
      <c r="J13" s="188"/>
      <c r="K13" s="549" t="s">
        <v>476</v>
      </c>
      <c r="L13" s="550"/>
      <c r="M13" s="550"/>
      <c r="N13" s="550"/>
      <c r="O13" s="550"/>
      <c r="P13" s="550"/>
      <c r="Q13" s="190"/>
      <c r="R13" s="178"/>
    </row>
    <row r="14" spans="2:18" ht="15" customHeight="1" x14ac:dyDescent="0.25">
      <c r="B14" s="175"/>
      <c r="C14" s="191"/>
      <c r="D14" s="192"/>
      <c r="E14" s="188"/>
      <c r="F14" s="188"/>
      <c r="G14" s="188"/>
      <c r="H14" s="188"/>
      <c r="I14" s="189"/>
      <c r="J14" s="192"/>
      <c r="K14" s="192"/>
      <c r="L14" s="192"/>
      <c r="M14" s="192"/>
      <c r="N14" s="192"/>
      <c r="O14" s="192"/>
      <c r="P14" s="192"/>
      <c r="Q14" s="193"/>
      <c r="R14" s="178"/>
    </row>
    <row r="15" spans="2:18" ht="15" customHeight="1" x14ac:dyDescent="0.25">
      <c r="B15" s="175"/>
      <c r="C15" s="191"/>
      <c r="D15" s="194" t="s">
        <v>86</v>
      </c>
      <c r="E15" s="195">
        <v>40</v>
      </c>
      <c r="F15" s="195">
        <v>40</v>
      </c>
      <c r="G15" s="195">
        <v>45</v>
      </c>
      <c r="H15" s="195">
        <v>50</v>
      </c>
      <c r="I15" s="195">
        <v>50</v>
      </c>
      <c r="J15" s="363"/>
      <c r="K15" s="551" t="s">
        <v>587</v>
      </c>
      <c r="L15" s="552"/>
      <c r="M15" s="552"/>
      <c r="N15" s="552"/>
      <c r="O15" s="552"/>
      <c r="P15" s="553"/>
      <c r="Q15" s="347"/>
      <c r="R15" s="178"/>
    </row>
    <row r="16" spans="2:18" ht="15" customHeight="1" x14ac:dyDescent="0.25">
      <c r="B16" s="175"/>
      <c r="C16" s="191"/>
      <c r="D16" s="194" t="s">
        <v>87</v>
      </c>
      <c r="E16" s="195">
        <v>32</v>
      </c>
      <c r="F16" s="195">
        <v>45</v>
      </c>
      <c r="G16" s="195">
        <v>50</v>
      </c>
      <c r="H16" s="195">
        <v>50</v>
      </c>
      <c r="I16" s="195">
        <v>50</v>
      </c>
      <c r="J16" s="363"/>
      <c r="K16" s="554"/>
      <c r="L16" s="555"/>
      <c r="M16" s="555"/>
      <c r="N16" s="555"/>
      <c r="O16" s="555"/>
      <c r="P16" s="556"/>
      <c r="Q16" s="347"/>
      <c r="R16" s="178"/>
    </row>
    <row r="17" spans="2:23" ht="15" customHeight="1" x14ac:dyDescent="0.25">
      <c r="B17" s="175"/>
      <c r="C17" s="191"/>
      <c r="D17" s="194" t="s">
        <v>88</v>
      </c>
      <c r="E17" s="195">
        <v>28</v>
      </c>
      <c r="F17" s="195">
        <v>35</v>
      </c>
      <c r="G17" s="195">
        <v>50</v>
      </c>
      <c r="H17" s="195">
        <v>55</v>
      </c>
      <c r="I17" s="195">
        <v>50</v>
      </c>
      <c r="J17" s="363"/>
      <c r="K17" s="554"/>
      <c r="L17" s="555"/>
      <c r="M17" s="555"/>
      <c r="N17" s="555"/>
      <c r="O17" s="555"/>
      <c r="P17" s="556"/>
      <c r="Q17" s="347"/>
      <c r="R17" s="178"/>
    </row>
    <row r="18" spans="2:23" ht="15" customHeight="1" x14ac:dyDescent="0.25">
      <c r="B18" s="175"/>
      <c r="C18" s="191"/>
      <c r="D18" s="194" t="s">
        <v>89</v>
      </c>
      <c r="E18" s="195"/>
      <c r="F18" s="195">
        <v>30</v>
      </c>
      <c r="G18" s="195">
        <v>45</v>
      </c>
      <c r="H18" s="195">
        <v>55</v>
      </c>
      <c r="I18" s="195">
        <v>55</v>
      </c>
      <c r="J18" s="363"/>
      <c r="K18" s="554"/>
      <c r="L18" s="555"/>
      <c r="M18" s="555"/>
      <c r="N18" s="555"/>
      <c r="O18" s="555"/>
      <c r="P18" s="556"/>
      <c r="Q18" s="347"/>
      <c r="R18" s="178"/>
    </row>
    <row r="19" spans="2:23" ht="15" customHeight="1" x14ac:dyDescent="0.25">
      <c r="B19" s="175"/>
      <c r="C19" s="191"/>
      <c r="D19" s="194" t="s">
        <v>90</v>
      </c>
      <c r="E19" s="195"/>
      <c r="F19" s="195"/>
      <c r="G19" s="195">
        <v>35</v>
      </c>
      <c r="H19" s="195">
        <v>50</v>
      </c>
      <c r="I19" s="195">
        <v>55</v>
      </c>
      <c r="J19" s="363"/>
      <c r="K19" s="554"/>
      <c r="L19" s="555"/>
      <c r="M19" s="555"/>
      <c r="N19" s="555"/>
      <c r="O19" s="555"/>
      <c r="P19" s="556"/>
      <c r="Q19" s="347"/>
      <c r="R19" s="178"/>
    </row>
    <row r="20" spans="2:23" ht="15" customHeight="1" x14ac:dyDescent="0.25">
      <c r="B20" s="175"/>
      <c r="C20" s="191"/>
      <c r="D20" s="194" t="s">
        <v>91</v>
      </c>
      <c r="E20" s="195"/>
      <c r="F20" s="195"/>
      <c r="G20" s="195"/>
      <c r="H20" s="195">
        <v>40</v>
      </c>
      <c r="I20" s="195">
        <v>50</v>
      </c>
      <c r="J20" s="363"/>
      <c r="K20" s="554"/>
      <c r="L20" s="555"/>
      <c r="M20" s="555"/>
      <c r="N20" s="555"/>
      <c r="O20" s="555"/>
      <c r="P20" s="556"/>
      <c r="Q20" s="347"/>
      <c r="R20" s="178"/>
    </row>
    <row r="21" spans="2:23" ht="15" customHeight="1" x14ac:dyDescent="0.25">
      <c r="B21" s="175"/>
      <c r="C21" s="191"/>
      <c r="D21" s="194" t="s">
        <v>92</v>
      </c>
      <c r="E21" s="195"/>
      <c r="F21" s="195"/>
      <c r="G21" s="195"/>
      <c r="H21" s="195"/>
      <c r="I21" s="195">
        <v>40</v>
      </c>
      <c r="J21" s="363"/>
      <c r="K21" s="554"/>
      <c r="L21" s="555"/>
      <c r="M21" s="555"/>
      <c r="N21" s="555"/>
      <c r="O21" s="555"/>
      <c r="P21" s="556"/>
      <c r="Q21" s="347"/>
      <c r="R21" s="178"/>
    </row>
    <row r="22" spans="2:23" ht="15" customHeight="1" x14ac:dyDescent="0.25">
      <c r="B22" s="175"/>
      <c r="C22" s="191"/>
      <c r="D22" s="194" t="s">
        <v>93</v>
      </c>
      <c r="E22" s="195"/>
      <c r="F22" s="195"/>
      <c r="G22" s="195"/>
      <c r="H22" s="195"/>
      <c r="I22" s="195"/>
      <c r="J22" s="363"/>
      <c r="K22" s="554"/>
      <c r="L22" s="555"/>
      <c r="M22" s="555"/>
      <c r="N22" s="555"/>
      <c r="O22" s="555"/>
      <c r="P22" s="556"/>
      <c r="Q22" s="347"/>
      <c r="R22" s="178"/>
    </row>
    <row r="23" spans="2:23" ht="15" customHeight="1" x14ac:dyDescent="0.25">
      <c r="B23" s="175"/>
      <c r="C23" s="191"/>
      <c r="D23" s="194" t="s">
        <v>94</v>
      </c>
      <c r="E23" s="195"/>
      <c r="F23" s="195"/>
      <c r="G23" s="195"/>
      <c r="H23" s="195"/>
      <c r="I23" s="195"/>
      <c r="J23" s="363"/>
      <c r="K23" s="554"/>
      <c r="L23" s="555"/>
      <c r="M23" s="555"/>
      <c r="N23" s="555"/>
      <c r="O23" s="555"/>
      <c r="P23" s="556"/>
      <c r="Q23" s="347"/>
      <c r="R23" s="178"/>
    </row>
    <row r="24" spans="2:23" ht="15" customHeight="1" x14ac:dyDescent="0.25">
      <c r="B24" s="175"/>
      <c r="C24" s="191"/>
      <c r="D24" s="194" t="s">
        <v>95</v>
      </c>
      <c r="E24" s="195"/>
      <c r="F24" s="195"/>
      <c r="G24" s="195"/>
      <c r="H24" s="195"/>
      <c r="I24" s="195"/>
      <c r="J24" s="363"/>
      <c r="K24" s="554"/>
      <c r="L24" s="555"/>
      <c r="M24" s="555"/>
      <c r="N24" s="555"/>
      <c r="O24" s="555"/>
      <c r="P24" s="556"/>
      <c r="Q24" s="347"/>
      <c r="R24" s="178"/>
    </row>
    <row r="25" spans="2:23" ht="15" customHeight="1" x14ac:dyDescent="0.25">
      <c r="B25" s="175"/>
      <c r="C25" s="191"/>
      <c r="D25" s="194" t="s">
        <v>96</v>
      </c>
      <c r="E25" s="195"/>
      <c r="F25" s="195"/>
      <c r="G25" s="195"/>
      <c r="H25" s="195"/>
      <c r="I25" s="195"/>
      <c r="J25" s="363"/>
      <c r="K25" s="554"/>
      <c r="L25" s="555"/>
      <c r="M25" s="555"/>
      <c r="N25" s="555"/>
      <c r="O25" s="555"/>
      <c r="P25" s="556"/>
      <c r="Q25" s="347"/>
      <c r="R25" s="178"/>
    </row>
    <row r="26" spans="2:23" ht="15" customHeight="1" x14ac:dyDescent="0.25">
      <c r="B26" s="175"/>
      <c r="C26" s="191"/>
      <c r="D26" s="194" t="s">
        <v>97</v>
      </c>
      <c r="E26" s="195"/>
      <c r="F26" s="195"/>
      <c r="G26" s="195"/>
      <c r="H26" s="195"/>
      <c r="I26" s="195"/>
      <c r="J26" s="363"/>
      <c r="K26" s="554"/>
      <c r="L26" s="555"/>
      <c r="M26" s="555"/>
      <c r="N26" s="555"/>
      <c r="O26" s="555"/>
      <c r="P26" s="556"/>
      <c r="Q26" s="347"/>
      <c r="R26" s="178"/>
    </row>
    <row r="27" spans="2:23" ht="15" customHeight="1" x14ac:dyDescent="0.25">
      <c r="B27" s="175"/>
      <c r="C27" s="191"/>
      <c r="D27" s="194" t="s">
        <v>98</v>
      </c>
      <c r="E27" s="195"/>
      <c r="F27" s="195"/>
      <c r="G27" s="195"/>
      <c r="H27" s="195"/>
      <c r="I27" s="195"/>
      <c r="J27" s="363"/>
      <c r="K27" s="554"/>
      <c r="L27" s="555"/>
      <c r="M27" s="555"/>
      <c r="N27" s="555"/>
      <c r="O27" s="555"/>
      <c r="P27" s="556"/>
      <c r="Q27" s="347"/>
      <c r="R27" s="178"/>
    </row>
    <row r="28" spans="2:23" ht="15" customHeight="1" x14ac:dyDescent="0.25">
      <c r="B28" s="175"/>
      <c r="C28" s="191"/>
      <c r="D28" s="344"/>
      <c r="E28" s="345"/>
      <c r="F28" s="345"/>
      <c r="G28" s="345"/>
      <c r="H28" s="345"/>
      <c r="I28" s="345"/>
      <c r="J28" s="359"/>
      <c r="K28" s="554"/>
      <c r="L28" s="555"/>
      <c r="M28" s="555"/>
      <c r="N28" s="555"/>
      <c r="O28" s="555"/>
      <c r="P28" s="556"/>
      <c r="Q28" s="347"/>
      <c r="R28" s="178"/>
      <c r="T28" s="357"/>
    </row>
    <row r="29" spans="2:23" ht="15" customHeight="1" x14ac:dyDescent="0.25">
      <c r="B29" s="175"/>
      <c r="C29" s="191"/>
      <c r="D29" s="192" t="s">
        <v>446</v>
      </c>
      <c r="E29" s="371">
        <f>SUM(E15:E27)</f>
        <v>100</v>
      </c>
      <c r="F29" s="371">
        <f>SUM(F15:F27)</f>
        <v>150</v>
      </c>
      <c r="G29" s="371">
        <f>SUM(G15:G27)</f>
        <v>225</v>
      </c>
      <c r="H29" s="371">
        <f>SUM(H15:H27)</f>
        <v>300</v>
      </c>
      <c r="I29" s="371">
        <f>SUM(I15:I27)</f>
        <v>350</v>
      </c>
      <c r="J29" s="344"/>
      <c r="K29" s="554"/>
      <c r="L29" s="555"/>
      <c r="M29" s="555"/>
      <c r="N29" s="555"/>
      <c r="O29" s="555"/>
      <c r="P29" s="556"/>
      <c r="Q29" s="347"/>
      <c r="R29" s="178"/>
    </row>
    <row r="30" spans="2:23" ht="15" customHeight="1" x14ac:dyDescent="0.25">
      <c r="B30" s="175"/>
      <c r="C30" s="346"/>
      <c r="D30" s="344"/>
      <c r="E30" s="359"/>
      <c r="F30" s="359"/>
      <c r="G30" s="359"/>
      <c r="H30" s="359"/>
      <c r="I30" s="359"/>
      <c r="J30" s="359"/>
      <c r="K30" s="554"/>
      <c r="L30" s="555"/>
      <c r="M30" s="555"/>
      <c r="N30" s="555"/>
      <c r="O30" s="555"/>
      <c r="P30" s="556"/>
      <c r="Q30" s="347"/>
      <c r="R30" s="178"/>
    </row>
    <row r="31" spans="2:23" ht="15" customHeight="1" x14ac:dyDescent="0.25">
      <c r="B31" s="175"/>
      <c r="C31" s="191"/>
      <c r="D31" s="194" t="s">
        <v>468</v>
      </c>
      <c r="E31" s="343"/>
      <c r="F31" s="343"/>
      <c r="G31" s="343"/>
      <c r="H31" s="343"/>
      <c r="I31" s="343"/>
      <c r="J31" s="363"/>
      <c r="K31" s="554"/>
      <c r="L31" s="555"/>
      <c r="M31" s="555"/>
      <c r="N31" s="555"/>
      <c r="O31" s="555"/>
      <c r="P31" s="556"/>
      <c r="Q31" s="198"/>
      <c r="R31" s="178"/>
      <c r="W31" s="202"/>
    </row>
    <row r="32" spans="2:23" ht="15" customHeight="1" x14ac:dyDescent="0.25">
      <c r="B32" s="175"/>
      <c r="C32" s="191"/>
      <c r="D32" s="344"/>
      <c r="E32" s="345"/>
      <c r="F32" s="345"/>
      <c r="G32" s="345"/>
      <c r="H32" s="345"/>
      <c r="I32" s="345"/>
      <c r="J32" s="359"/>
      <c r="K32" s="554"/>
      <c r="L32" s="555"/>
      <c r="M32" s="555"/>
      <c r="N32" s="555"/>
      <c r="O32" s="555"/>
      <c r="P32" s="556"/>
      <c r="Q32" s="198"/>
      <c r="R32" s="178"/>
    </row>
    <row r="33" spans="2:25" ht="15" customHeight="1" x14ac:dyDescent="0.25">
      <c r="B33" s="175"/>
      <c r="C33" s="191"/>
      <c r="D33" s="192" t="s">
        <v>445</v>
      </c>
      <c r="E33" s="370">
        <f>E31</f>
        <v>0</v>
      </c>
      <c r="F33" s="370">
        <f>F31</f>
        <v>0</v>
      </c>
      <c r="G33" s="370">
        <f>G31</f>
        <v>0</v>
      </c>
      <c r="H33" s="370">
        <f>H31</f>
        <v>0</v>
      </c>
      <c r="I33" s="370">
        <f>I31</f>
        <v>0</v>
      </c>
      <c r="J33" s="197"/>
      <c r="K33" s="554"/>
      <c r="L33" s="555"/>
      <c r="M33" s="555"/>
      <c r="N33" s="555"/>
      <c r="O33" s="555"/>
      <c r="P33" s="556"/>
      <c r="Q33" s="198"/>
      <c r="R33" s="178"/>
    </row>
    <row r="34" spans="2:25" ht="15" customHeight="1" x14ac:dyDescent="0.25">
      <c r="B34" s="175"/>
      <c r="C34" s="191"/>
      <c r="D34" s="196"/>
      <c r="E34" s="197"/>
      <c r="F34" s="197"/>
      <c r="G34" s="197"/>
      <c r="H34" s="197"/>
      <c r="I34" s="197"/>
      <c r="J34" s="197"/>
      <c r="K34" s="554"/>
      <c r="L34" s="555"/>
      <c r="M34" s="555"/>
      <c r="N34" s="555"/>
      <c r="O34" s="555"/>
      <c r="P34" s="556"/>
      <c r="Q34" s="198"/>
      <c r="R34" s="178"/>
      <c r="U34" s="202"/>
    </row>
    <row r="35" spans="2:25" ht="15" customHeight="1" x14ac:dyDescent="0.25">
      <c r="B35" s="175"/>
      <c r="C35" s="191"/>
      <c r="D35" s="348" t="s">
        <v>471</v>
      </c>
      <c r="E35" s="197"/>
      <c r="F35" s="197"/>
      <c r="G35" s="197"/>
      <c r="H35" s="197"/>
      <c r="I35" s="351"/>
      <c r="J35" s="197"/>
      <c r="K35" s="554"/>
      <c r="L35" s="555"/>
      <c r="M35" s="555"/>
      <c r="N35" s="555"/>
      <c r="O35" s="555"/>
      <c r="P35" s="556"/>
      <c r="Q35" s="198"/>
      <c r="R35" s="178"/>
      <c r="X35" s="199"/>
      <c r="Y35" s="199"/>
    </row>
    <row r="36" spans="2:25" ht="14.25" customHeight="1" x14ac:dyDescent="0.25">
      <c r="B36" s="175"/>
      <c r="C36" s="191"/>
      <c r="D36" s="349" t="s">
        <v>464</v>
      </c>
      <c r="E36" s="355">
        <v>0.15</v>
      </c>
      <c r="F36" s="355">
        <v>0.15</v>
      </c>
      <c r="G36" s="355">
        <v>0.15</v>
      </c>
      <c r="H36" s="355">
        <v>0.15</v>
      </c>
      <c r="I36" s="355">
        <v>0.15</v>
      </c>
      <c r="J36" s="364"/>
      <c r="K36" s="554"/>
      <c r="L36" s="555"/>
      <c r="M36" s="555"/>
      <c r="N36" s="555"/>
      <c r="O36" s="555"/>
      <c r="P36" s="556"/>
      <c r="Q36" s="198"/>
      <c r="R36" s="178"/>
      <c r="X36" s="200"/>
      <c r="Y36" s="200"/>
    </row>
    <row r="37" spans="2:25" ht="15" customHeight="1" x14ac:dyDescent="0.25">
      <c r="B37" s="175"/>
      <c r="C37" s="191"/>
      <c r="D37" s="349" t="s">
        <v>465</v>
      </c>
      <c r="E37" s="355">
        <v>0.05</v>
      </c>
      <c r="F37" s="355">
        <v>0.05</v>
      </c>
      <c r="G37" s="355">
        <v>0.05</v>
      </c>
      <c r="H37" s="355">
        <v>0.05</v>
      </c>
      <c r="I37" s="355">
        <v>0.05</v>
      </c>
      <c r="J37" s="364"/>
      <c r="K37" s="554"/>
      <c r="L37" s="555"/>
      <c r="M37" s="555"/>
      <c r="N37" s="555"/>
      <c r="O37" s="555"/>
      <c r="P37" s="556"/>
      <c r="Q37" s="198"/>
      <c r="R37" s="178"/>
      <c r="U37" s="356"/>
      <c r="X37" s="199"/>
      <c r="Y37" s="199"/>
    </row>
    <row r="38" spans="2:25" ht="30.75" customHeight="1" x14ac:dyDescent="0.25">
      <c r="B38" s="175"/>
      <c r="C38" s="191"/>
      <c r="D38" s="350" t="s">
        <v>470</v>
      </c>
      <c r="E38" s="355">
        <v>0.55000000000000004</v>
      </c>
      <c r="F38" s="355">
        <v>0.6</v>
      </c>
      <c r="G38" s="355">
        <v>0.6</v>
      </c>
      <c r="H38" s="355">
        <v>0.65</v>
      </c>
      <c r="I38" s="355">
        <v>0.65</v>
      </c>
      <c r="J38" s="364"/>
      <c r="K38" s="554"/>
      <c r="L38" s="555"/>
      <c r="M38" s="555"/>
      <c r="N38" s="555"/>
      <c r="O38" s="555"/>
      <c r="P38" s="556"/>
      <c r="Q38" s="198"/>
      <c r="R38" s="178"/>
      <c r="X38" s="200"/>
      <c r="Y38" s="200"/>
    </row>
    <row r="39" spans="2:25" ht="15" customHeight="1" x14ac:dyDescent="0.25">
      <c r="B39" s="175"/>
      <c r="C39" s="191"/>
      <c r="D39" s="349" t="s">
        <v>469</v>
      </c>
      <c r="E39" s="355"/>
      <c r="F39" s="355"/>
      <c r="G39" s="355"/>
      <c r="H39" s="355"/>
      <c r="I39" s="355"/>
      <c r="J39" s="364"/>
      <c r="K39" s="554"/>
      <c r="L39" s="555"/>
      <c r="M39" s="555"/>
      <c r="N39" s="555"/>
      <c r="O39" s="555"/>
      <c r="P39" s="556"/>
      <c r="Q39" s="198"/>
      <c r="R39" s="178"/>
      <c r="Y39" s="200"/>
    </row>
    <row r="40" spans="2:25" ht="15" customHeight="1" x14ac:dyDescent="0.25">
      <c r="B40" s="175"/>
      <c r="C40" s="191"/>
      <c r="D40" s="349"/>
      <c r="E40" s="197"/>
      <c r="F40" s="197"/>
      <c r="G40" s="197"/>
      <c r="H40" s="197"/>
      <c r="I40" s="197"/>
      <c r="J40" s="197"/>
      <c r="K40" s="554"/>
      <c r="L40" s="555"/>
      <c r="M40" s="555"/>
      <c r="N40" s="555"/>
      <c r="O40" s="555"/>
      <c r="P40" s="556"/>
      <c r="Q40" s="198"/>
      <c r="R40" s="178"/>
      <c r="V40" s="202"/>
      <c r="Y40" s="200"/>
    </row>
    <row r="41" spans="2:25" ht="15" customHeight="1" x14ac:dyDescent="0.25">
      <c r="B41" s="175"/>
      <c r="C41" s="191"/>
      <c r="D41" s="196" t="s">
        <v>466</v>
      </c>
      <c r="E41" s="201">
        <f>(((E29*E39)*(CONTROL!$K$18*0.85))+((E29*(1-E39))*CONTROL!$K$18))+(E29*((IFERROR(VLOOKUP('1. Instructions'!$E$8,CONTROL!$C$18:$G$306,4,FALSE),0))*CONTROL!$K$19))</f>
        <v>615759.75</v>
      </c>
      <c r="F41" s="201">
        <f>(((F29*F39)*(CONTROL!$K$18*0.85))+((F29*(1-F39))*CONTROL!$K$18))+(F29*((IFERROR(VLOOKUP('1. Instructions'!$E$8,CONTROL!$C$18:$G$306,4,FALSE),0))*CONTROL!$K$19))</f>
        <v>923639.625</v>
      </c>
      <c r="G41" s="201">
        <f>(((G29*G39)*(CONTROL!$K$18*0.85))+((G29*(1-G39))*CONTROL!$K$18))+(G29*((IFERROR(VLOOKUP('1. Instructions'!$E$8,CONTROL!$C$18:$G$306,4,FALSE),0))*CONTROL!$K$19))</f>
        <v>1385459.4375</v>
      </c>
      <c r="H41" s="201">
        <f>(((H29*H39)*(CONTROL!$K$18*0.85))+((H29*(1-H39))*CONTROL!$K$18))+(H29*((IFERROR(VLOOKUP('1. Instructions'!$E$8,CONTROL!$C$18:$G$306,4,FALSE),0))*CONTROL!$K$19))</f>
        <v>1847279.25</v>
      </c>
      <c r="I41" s="201">
        <f>(((I29*I39)*(CONTROL!$K$18*0.85))+((I29*(1-I39))*CONTROL!$K$18))+(I29*((IFERROR(VLOOKUP('1. Instructions'!$E$8,CONTROL!$C$18:$G$306,4,FALSE),0))*CONTROL!$K$19))</f>
        <v>2155159.125</v>
      </c>
      <c r="J41" s="365"/>
      <c r="K41" s="554"/>
      <c r="L41" s="555"/>
      <c r="M41" s="555"/>
      <c r="N41" s="555"/>
      <c r="O41" s="555"/>
      <c r="P41" s="556"/>
      <c r="Q41" s="198"/>
      <c r="R41" s="178"/>
      <c r="X41" s="200"/>
      <c r="Y41" s="200"/>
    </row>
    <row r="42" spans="2:25" ht="15" customHeight="1" x14ac:dyDescent="0.25">
      <c r="B42" s="175"/>
      <c r="C42" s="191"/>
      <c r="E42" s="352"/>
      <c r="F42" s="352"/>
      <c r="G42" s="352"/>
      <c r="H42" s="352"/>
      <c r="I42" s="352"/>
      <c r="J42" s="365"/>
      <c r="K42" s="554"/>
      <c r="L42" s="555"/>
      <c r="M42" s="555"/>
      <c r="N42" s="555"/>
      <c r="O42" s="555"/>
      <c r="P42" s="556"/>
      <c r="Q42" s="198"/>
      <c r="R42" s="178"/>
      <c r="X42" s="200"/>
      <c r="Y42" s="200"/>
    </row>
    <row r="43" spans="2:25" ht="15" customHeight="1" x14ac:dyDescent="0.25">
      <c r="B43" s="175"/>
      <c r="C43" s="191"/>
      <c r="D43" s="196" t="s">
        <v>467</v>
      </c>
      <c r="E43" s="201">
        <f>CONTROL!$K$22*E33</f>
        <v>0</v>
      </c>
      <c r="F43" s="201">
        <f>CONTROL!$K$22*F33</f>
        <v>0</v>
      </c>
      <c r="G43" s="201">
        <f>CONTROL!$K$22*G33</f>
        <v>0</v>
      </c>
      <c r="H43" s="201">
        <f>CONTROL!$K$22*H33</f>
        <v>0</v>
      </c>
      <c r="I43" s="201">
        <f>CONTROL!$K$22*I33</f>
        <v>0</v>
      </c>
      <c r="J43" s="366"/>
      <c r="K43" s="554"/>
      <c r="L43" s="555"/>
      <c r="M43" s="555"/>
      <c r="N43" s="555"/>
      <c r="O43" s="555"/>
      <c r="P43" s="556"/>
      <c r="Q43" s="198"/>
      <c r="R43" s="178"/>
      <c r="X43" s="200"/>
      <c r="Y43" s="200"/>
    </row>
    <row r="44" spans="2:25" ht="15" customHeight="1" x14ac:dyDescent="0.25">
      <c r="B44" s="175"/>
      <c r="C44" s="191"/>
      <c r="D44" s="196"/>
      <c r="E44" s="197"/>
      <c r="F44" s="197"/>
      <c r="G44" s="197"/>
      <c r="H44" s="197"/>
      <c r="I44" s="197"/>
      <c r="J44" s="197"/>
      <c r="K44" s="554"/>
      <c r="L44" s="555"/>
      <c r="M44" s="555"/>
      <c r="N44" s="555"/>
      <c r="O44" s="555"/>
      <c r="P44" s="556"/>
      <c r="Q44" s="198"/>
      <c r="R44" s="178"/>
      <c r="X44" s="200"/>
      <c r="Y44" s="200"/>
    </row>
    <row r="45" spans="2:25" ht="15" customHeight="1" x14ac:dyDescent="0.25">
      <c r="B45" s="175"/>
      <c r="C45" s="191"/>
      <c r="D45" s="368"/>
      <c r="E45" s="528" t="str">
        <f>IF(AND((SUM(E41:I41)&gt;0),(SUM(E43:I43)&gt;0)),"ERROR: Please complete EITHER Rows 15-27 OR Row 31, not both.","")</f>
        <v/>
      </c>
      <c r="F45" s="140"/>
      <c r="G45" s="140"/>
      <c r="H45" s="140"/>
      <c r="I45" s="140"/>
      <c r="J45" s="367"/>
      <c r="K45" s="554"/>
      <c r="L45" s="555"/>
      <c r="M45" s="555"/>
      <c r="N45" s="555"/>
      <c r="O45" s="555"/>
      <c r="P45" s="556"/>
      <c r="Q45" s="198"/>
      <c r="R45" s="178"/>
      <c r="X45" s="200"/>
      <c r="Y45" s="200"/>
    </row>
    <row r="46" spans="2:25" ht="15" customHeight="1" x14ac:dyDescent="0.25">
      <c r="B46" s="175"/>
      <c r="C46" s="191"/>
      <c r="D46" s="176"/>
      <c r="E46" s="176"/>
      <c r="F46" s="176"/>
      <c r="G46" s="176"/>
      <c r="H46" s="176"/>
      <c r="I46" s="176"/>
      <c r="J46" s="367"/>
      <c r="K46" s="554"/>
      <c r="L46" s="555"/>
      <c r="M46" s="555"/>
      <c r="N46" s="555"/>
      <c r="O46" s="555"/>
      <c r="P46" s="556"/>
      <c r="Q46" s="198"/>
      <c r="R46" s="178"/>
      <c r="X46" s="200"/>
      <c r="Y46" s="200"/>
    </row>
    <row r="47" spans="2:25" ht="15" customHeight="1" x14ac:dyDescent="0.25">
      <c r="B47" s="175"/>
      <c r="C47" s="191"/>
      <c r="D47" s="352"/>
      <c r="E47" s="352"/>
      <c r="F47" s="352"/>
      <c r="G47" s="352"/>
      <c r="H47" s="352"/>
      <c r="I47" s="352"/>
      <c r="J47" s="367"/>
      <c r="K47" s="554"/>
      <c r="L47" s="555"/>
      <c r="M47" s="555"/>
      <c r="N47" s="555"/>
      <c r="O47" s="555"/>
      <c r="P47" s="556"/>
      <c r="Q47" s="198"/>
      <c r="R47" s="178"/>
      <c r="X47" s="200"/>
      <c r="Y47" s="200"/>
    </row>
    <row r="48" spans="2:25" ht="15" customHeight="1" x14ac:dyDescent="0.25">
      <c r="B48" s="175"/>
      <c r="C48" s="191"/>
      <c r="D48" s="352"/>
      <c r="E48" s="352"/>
      <c r="F48" s="352"/>
      <c r="G48" s="352"/>
      <c r="H48" s="352"/>
      <c r="I48" s="352"/>
      <c r="J48" s="367"/>
      <c r="K48" s="554"/>
      <c r="L48" s="555"/>
      <c r="M48" s="555"/>
      <c r="N48" s="555"/>
      <c r="O48" s="555"/>
      <c r="P48" s="556"/>
      <c r="Q48" s="198"/>
      <c r="R48" s="178"/>
      <c r="X48" s="200"/>
      <c r="Y48" s="200"/>
    </row>
    <row r="49" spans="2:25" ht="15" customHeight="1" x14ac:dyDescent="0.25">
      <c r="B49" s="175"/>
      <c r="C49" s="191"/>
      <c r="D49" s="352"/>
      <c r="E49" s="352"/>
      <c r="F49" s="352"/>
      <c r="G49" s="352"/>
      <c r="H49" s="352"/>
      <c r="I49" s="352"/>
      <c r="J49" s="367"/>
      <c r="K49" s="554"/>
      <c r="L49" s="555"/>
      <c r="M49" s="555"/>
      <c r="N49" s="555"/>
      <c r="O49" s="555"/>
      <c r="P49" s="556"/>
      <c r="Q49" s="198"/>
      <c r="R49" s="178"/>
      <c r="X49" s="200"/>
      <c r="Y49" s="200"/>
    </row>
    <row r="50" spans="2:25" ht="15" customHeight="1" x14ac:dyDescent="0.25">
      <c r="B50" s="175"/>
      <c r="C50" s="191"/>
      <c r="D50" s="352"/>
      <c r="E50" s="352"/>
      <c r="F50" s="352"/>
      <c r="G50" s="352"/>
      <c r="H50" s="352"/>
      <c r="I50" s="352"/>
      <c r="J50" s="367"/>
      <c r="K50" s="554"/>
      <c r="L50" s="555"/>
      <c r="M50" s="555"/>
      <c r="N50" s="555"/>
      <c r="O50" s="555"/>
      <c r="P50" s="556"/>
      <c r="Q50" s="198"/>
      <c r="R50" s="178"/>
      <c r="X50" s="200"/>
      <c r="Y50" s="200"/>
    </row>
    <row r="51" spans="2:25" ht="15" customHeight="1" x14ac:dyDescent="0.25">
      <c r="B51" s="175"/>
      <c r="C51" s="191"/>
      <c r="D51" s="352"/>
      <c r="E51" s="352"/>
      <c r="F51" s="352"/>
      <c r="G51" s="352"/>
      <c r="H51" s="352"/>
      <c r="I51" s="352"/>
      <c r="J51" s="367"/>
      <c r="K51" s="557"/>
      <c r="L51" s="558"/>
      <c r="M51" s="558"/>
      <c r="N51" s="558"/>
      <c r="O51" s="558"/>
      <c r="P51" s="559"/>
      <c r="Q51" s="198"/>
      <c r="R51" s="178"/>
      <c r="X51" s="200"/>
      <c r="Y51" s="200"/>
    </row>
    <row r="52" spans="2:25" ht="15.75" customHeight="1" x14ac:dyDescent="0.25">
      <c r="B52" s="175"/>
      <c r="C52" s="191"/>
      <c r="D52" s="352"/>
      <c r="E52" s="352"/>
      <c r="F52" s="352"/>
      <c r="G52" s="352"/>
      <c r="H52" s="352"/>
      <c r="I52" s="352"/>
      <c r="J52" s="367"/>
      <c r="K52" s="147"/>
      <c r="L52" s="147"/>
      <c r="M52" s="147"/>
      <c r="N52" s="147"/>
      <c r="O52" s="147"/>
      <c r="P52" s="147"/>
      <c r="Q52" s="203"/>
      <c r="R52" s="178"/>
      <c r="X52" s="204"/>
      <c r="Y52" s="204"/>
    </row>
    <row r="53" spans="2:25" ht="15" customHeight="1" thickBot="1" x14ac:dyDescent="0.3">
      <c r="B53" s="205"/>
      <c r="C53" s="369"/>
      <c r="D53" s="369"/>
      <c r="E53" s="369"/>
      <c r="F53" s="369"/>
      <c r="G53" s="369"/>
      <c r="H53" s="369"/>
      <c r="I53" s="369"/>
      <c r="J53" s="369"/>
      <c r="K53" s="206"/>
      <c r="L53" s="206"/>
      <c r="M53" s="206"/>
      <c r="N53" s="206"/>
      <c r="O53" s="206"/>
      <c r="P53" s="206"/>
      <c r="Q53" s="206"/>
      <c r="R53" s="207"/>
      <c r="X53" s="208"/>
      <c r="Y53" s="208"/>
    </row>
    <row r="54" spans="2:25" x14ac:dyDescent="0.25">
      <c r="X54" s="209"/>
      <c r="Y54" s="209"/>
    </row>
  </sheetData>
  <sheetProtection password="BDDB" sheet="1" objects="1" scenarios="1" selectLockedCells="1"/>
  <customSheetViews>
    <customSheetView guid="{78108F25-E067-40AC-B09B-6FE5187CDB4B}" topLeftCell="A10">
      <selection activeCell="B21" sqref="B21:C21"/>
      <pageMargins left="0.7" right="0.7" top="0.75" bottom="0.75" header="0.3" footer="0.3"/>
      <pageSetup orientation="portrait"/>
    </customSheetView>
    <customSheetView guid="{4EB07C87-A9F4-403E-8C0F-324FFB87E1FF}">
      <selection activeCell="P5" sqref="P5:R9"/>
      <pageMargins left="0.7" right="0.7" top="0.75" bottom="0.75" header="0.3" footer="0.3"/>
      <pageSetup orientation="portrait"/>
    </customSheetView>
  </customSheetViews>
  <mergeCells count="6">
    <mergeCell ref="K13:P13"/>
    <mergeCell ref="K15:P51"/>
    <mergeCell ref="D3:I3"/>
    <mergeCell ref="D4:I4"/>
    <mergeCell ref="D5:I5"/>
    <mergeCell ref="H10:I10"/>
  </mergeCells>
  <conditionalFormatting sqref="J43">
    <cfRule type="expression" dxfId="63" priority="1" stopIfTrue="1">
      <formula>J43&lt;&gt;""</formula>
    </cfRule>
  </conditionalFormatting>
  <dataValidations count="1">
    <dataValidation type="list" showInputMessage="1" showErrorMessage="1" promptTitle="Select from drop-down list →" sqref="H10" xr:uid="{00000000-0002-0000-0100-000000000000}">
      <formula1>AHS</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sheetPr>
  <dimension ref="A1:AV140"/>
  <sheetViews>
    <sheetView topLeftCell="C1" zoomScale="90" zoomScaleNormal="90" workbookViewId="0">
      <selection activeCell="K42" sqref="K42"/>
    </sheetView>
  </sheetViews>
  <sheetFormatPr defaultColWidth="15.7109375" defaultRowHeight="15" x14ac:dyDescent="0.25"/>
  <cols>
    <col min="1" max="1" width="3" style="210" customWidth="1"/>
    <col min="2" max="3" width="3" style="215" customWidth="1"/>
    <col min="4" max="4" width="33.140625" style="215" customWidth="1"/>
    <col min="5" max="5" width="3" style="210" customWidth="1"/>
    <col min="6" max="6" width="10.7109375" style="215" customWidth="1"/>
    <col min="7" max="7" width="14.28515625" style="215" customWidth="1"/>
    <col min="8" max="8" width="17.7109375" style="215" customWidth="1"/>
    <col min="9" max="9" width="3" style="211" customWidth="1"/>
    <col min="10" max="10" width="10.7109375" style="215" customWidth="1"/>
    <col min="11" max="11" width="14.28515625" style="215" customWidth="1"/>
    <col min="12" max="12" width="17.7109375" style="215" customWidth="1"/>
    <col min="13" max="13" width="3" style="211" customWidth="1"/>
    <col min="14" max="14" width="10.7109375" style="215" customWidth="1"/>
    <col min="15" max="15" width="14.28515625" style="215" customWidth="1"/>
    <col min="16" max="16" width="17.7109375" style="215" customWidth="1"/>
    <col min="17" max="17" width="3" style="211" customWidth="1"/>
    <col min="18" max="18" width="10.7109375" style="215" customWidth="1"/>
    <col min="19" max="19" width="14.28515625" style="215" customWidth="1"/>
    <col min="20" max="20" width="17.7109375" style="215" customWidth="1"/>
    <col min="21" max="21" width="3" style="211" customWidth="1"/>
    <col min="22" max="22" width="10.7109375" style="214" customWidth="1"/>
    <col min="23" max="23" width="14.28515625" style="214" customWidth="1"/>
    <col min="24" max="24" width="17.7109375" style="214" customWidth="1"/>
    <col min="25" max="25" width="3" style="211" customWidth="1"/>
    <col min="26" max="26" width="10.7109375" style="214" customWidth="1"/>
    <col min="27" max="27" width="14.28515625" style="214" customWidth="1"/>
    <col min="28" max="28" width="17.7109375" style="214" customWidth="1"/>
    <col min="29" max="29" width="3" style="211" customWidth="1"/>
    <col min="30" max="30" width="3" style="214" customWidth="1"/>
    <col min="31" max="48" width="15.7109375" style="214" customWidth="1"/>
    <col min="49" max="16384" width="15.7109375" style="215"/>
  </cols>
  <sheetData>
    <row r="1" spans="1:48" s="210" customFormat="1" ht="15" customHeight="1" thickBot="1" x14ac:dyDescent="0.3">
      <c r="I1" s="211"/>
      <c r="M1" s="211"/>
      <c r="Q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row>
    <row r="2" spans="1:48" ht="15" customHeight="1" x14ac:dyDescent="0.25">
      <c r="B2" s="212"/>
      <c r="C2" s="591" t="s">
        <v>122</v>
      </c>
      <c r="D2" s="592"/>
      <c r="E2" s="592"/>
      <c r="F2" s="592"/>
      <c r="G2" s="592"/>
      <c r="H2" s="592"/>
      <c r="I2" s="592"/>
      <c r="J2" s="592"/>
      <c r="K2" s="592"/>
      <c r="L2" s="592"/>
      <c r="M2" s="592"/>
      <c r="N2" s="592"/>
      <c r="O2" s="592"/>
      <c r="P2" s="592"/>
      <c r="Q2" s="592"/>
      <c r="R2" s="592"/>
      <c r="S2" s="592"/>
      <c r="T2" s="592"/>
      <c r="U2" s="592"/>
      <c r="V2" s="592"/>
      <c r="W2" s="592"/>
      <c r="X2" s="592"/>
      <c r="Y2" s="592"/>
      <c r="Z2" s="592"/>
      <c r="AA2" s="592"/>
      <c r="AB2" s="592"/>
      <c r="AC2" s="592"/>
      <c r="AD2" s="213"/>
    </row>
    <row r="3" spans="1:48" ht="15" customHeight="1" x14ac:dyDescent="0.25">
      <c r="B3" s="216"/>
      <c r="C3" s="217"/>
      <c r="D3" s="218" t="s">
        <v>81</v>
      </c>
      <c r="E3" s="218"/>
      <c r="F3" s="219" t="str">
        <f>IF(ISBLANK('1. Instructions'!E6),"Please enter School Name on Tab 1.",'1. Instructions'!E6)</f>
        <v xml:space="preserve">Genai Excellence Academy, Inc </v>
      </c>
      <c r="G3" s="220"/>
      <c r="H3" s="220"/>
      <c r="I3" s="220"/>
      <c r="J3" s="220"/>
      <c r="K3" s="220"/>
      <c r="L3" s="220"/>
      <c r="M3" s="220"/>
      <c r="N3" s="220"/>
      <c r="O3" s="220"/>
      <c r="P3" s="220"/>
      <c r="Q3" s="220"/>
      <c r="R3" s="220"/>
      <c r="S3" s="220"/>
      <c r="T3" s="220"/>
      <c r="U3" s="220"/>
      <c r="V3" s="220"/>
      <c r="W3" s="220"/>
      <c r="X3" s="220"/>
      <c r="Y3" s="220"/>
      <c r="Z3" s="217"/>
      <c r="AA3" s="217"/>
      <c r="AB3" s="217"/>
      <c r="AC3" s="217"/>
      <c r="AD3" s="221"/>
    </row>
    <row r="4" spans="1:48" ht="15" customHeight="1" x14ac:dyDescent="0.25">
      <c r="B4" s="216"/>
      <c r="C4" s="217"/>
      <c r="D4" s="218" t="s">
        <v>82</v>
      </c>
      <c r="E4" s="218"/>
      <c r="F4" s="219" t="str">
        <f>IF(ISBLANK('1. Instructions'!E7),"Please enter School's Opening Year on Tab 1.",'1. Instructions'!E7)</f>
        <v>2021-2022</v>
      </c>
      <c r="G4" s="220"/>
      <c r="H4" s="220"/>
      <c r="I4" s="220"/>
      <c r="J4" s="220"/>
      <c r="K4" s="220"/>
      <c r="L4" s="220"/>
      <c r="M4" s="220"/>
      <c r="N4" s="220"/>
      <c r="O4" s="220"/>
      <c r="P4" s="220"/>
      <c r="Q4" s="220"/>
      <c r="R4" s="220"/>
      <c r="S4" s="220"/>
      <c r="T4" s="220"/>
      <c r="U4" s="220"/>
      <c r="V4" s="220"/>
      <c r="W4" s="220"/>
      <c r="X4" s="220"/>
      <c r="Y4" s="220"/>
      <c r="Z4" s="217"/>
      <c r="AA4" s="217"/>
      <c r="AB4" s="217"/>
      <c r="AC4" s="217"/>
      <c r="AD4" s="221"/>
    </row>
    <row r="5" spans="1:48" ht="15" customHeight="1" thickBot="1" x14ac:dyDescent="0.3">
      <c r="B5" s="216"/>
      <c r="C5" s="217"/>
      <c r="D5" s="218"/>
      <c r="E5" s="218"/>
      <c r="F5" s="219"/>
      <c r="G5" s="220"/>
      <c r="H5" s="220"/>
      <c r="I5" s="220"/>
      <c r="J5" s="220"/>
      <c r="K5" s="220"/>
      <c r="L5" s="220"/>
      <c r="M5" s="220"/>
      <c r="N5" s="220"/>
      <c r="O5" s="220"/>
      <c r="P5" s="220"/>
      <c r="Q5" s="220"/>
      <c r="R5" s="220"/>
      <c r="S5" s="220"/>
      <c r="T5" s="220"/>
      <c r="U5" s="220"/>
      <c r="V5" s="220"/>
      <c r="W5" s="220"/>
      <c r="X5" s="220"/>
      <c r="Y5" s="220"/>
      <c r="Z5" s="217"/>
      <c r="AA5" s="217"/>
      <c r="AB5" s="217"/>
      <c r="AC5" s="217"/>
      <c r="AD5" s="221"/>
    </row>
    <row r="6" spans="1:48" ht="15" customHeight="1" thickBot="1" x14ac:dyDescent="0.3">
      <c r="B6" s="216"/>
      <c r="C6" s="588" t="s">
        <v>504</v>
      </c>
      <c r="D6" s="589"/>
      <c r="E6" s="589"/>
      <c r="F6" s="589"/>
      <c r="G6" s="589"/>
      <c r="H6" s="589"/>
      <c r="I6" s="589"/>
      <c r="J6" s="589"/>
      <c r="K6" s="589"/>
      <c r="L6" s="589"/>
      <c r="M6" s="589"/>
      <c r="N6" s="589"/>
      <c r="O6" s="589"/>
      <c r="P6" s="589"/>
      <c r="Q6" s="589"/>
      <c r="R6" s="589"/>
      <c r="S6" s="589"/>
      <c r="T6" s="589"/>
      <c r="U6" s="590"/>
      <c r="V6" s="220"/>
      <c r="W6" s="220"/>
      <c r="X6" s="220"/>
      <c r="Y6" s="220"/>
      <c r="Z6" s="217"/>
      <c r="AA6" s="217"/>
      <c r="AB6" s="217"/>
      <c r="AC6" s="217"/>
      <c r="AD6" s="221"/>
    </row>
    <row r="7" spans="1:48" s="226" customFormat="1" ht="13.5" customHeight="1" x14ac:dyDescent="0.25">
      <c r="A7" s="222"/>
      <c r="B7" s="223"/>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24"/>
      <c r="AE7" s="225"/>
      <c r="AF7" s="225"/>
      <c r="AG7" s="225"/>
      <c r="AH7" s="225"/>
      <c r="AI7" s="225"/>
      <c r="AJ7" s="225"/>
      <c r="AK7" s="225"/>
      <c r="AL7" s="225"/>
      <c r="AM7" s="225"/>
      <c r="AN7" s="225"/>
      <c r="AO7" s="225"/>
      <c r="AP7" s="225"/>
      <c r="AQ7" s="225"/>
      <c r="AR7" s="225"/>
      <c r="AS7" s="225"/>
      <c r="AT7" s="225"/>
      <c r="AU7" s="225"/>
      <c r="AV7" s="225"/>
    </row>
    <row r="8" spans="1:48" ht="24" customHeight="1" x14ac:dyDescent="0.25">
      <c r="B8" s="216"/>
      <c r="C8" s="217"/>
      <c r="D8" s="572" t="s">
        <v>505</v>
      </c>
      <c r="E8" s="573"/>
      <c r="F8" s="573"/>
      <c r="G8" s="573"/>
      <c r="H8" s="573"/>
      <c r="I8" s="573"/>
      <c r="J8" s="573"/>
      <c r="K8" s="573"/>
      <c r="L8" s="573"/>
      <c r="M8" s="573"/>
      <c r="N8" s="573"/>
      <c r="O8" s="573"/>
      <c r="P8" s="574"/>
      <c r="Q8" s="217"/>
      <c r="R8" s="217"/>
      <c r="S8" s="217"/>
      <c r="T8" s="217"/>
      <c r="U8" s="217"/>
      <c r="V8" s="217"/>
      <c r="W8" s="217"/>
      <c r="X8" s="217"/>
      <c r="Y8" s="217"/>
      <c r="Z8" s="217"/>
      <c r="AA8" s="217"/>
      <c r="AB8" s="217"/>
      <c r="AC8" s="217"/>
      <c r="AD8" s="221"/>
    </row>
    <row r="9" spans="1:48" ht="24" customHeight="1" x14ac:dyDescent="0.25">
      <c r="B9" s="216"/>
      <c r="C9" s="217"/>
      <c r="D9" s="575"/>
      <c r="E9" s="576"/>
      <c r="F9" s="576"/>
      <c r="G9" s="576"/>
      <c r="H9" s="576"/>
      <c r="I9" s="576"/>
      <c r="J9" s="576"/>
      <c r="K9" s="576"/>
      <c r="L9" s="576"/>
      <c r="M9" s="576"/>
      <c r="N9" s="576"/>
      <c r="O9" s="576"/>
      <c r="P9" s="577"/>
      <c r="Q9" s="217"/>
      <c r="R9" s="217"/>
      <c r="S9" s="217"/>
      <c r="T9" s="570"/>
      <c r="U9" s="571"/>
      <c r="V9" s="571"/>
      <c r="W9" s="571"/>
      <c r="X9" s="571"/>
      <c r="Y9" s="571"/>
      <c r="Z9" s="571"/>
      <c r="AA9" s="571"/>
      <c r="AB9" s="571"/>
      <c r="AC9" s="571"/>
      <c r="AD9" s="571"/>
      <c r="AE9" s="571"/>
      <c r="AF9" s="571"/>
    </row>
    <row r="10" spans="1:48" ht="15" customHeight="1" x14ac:dyDescent="0.25">
      <c r="B10" s="216"/>
      <c r="C10" s="217"/>
      <c r="D10" s="217"/>
      <c r="E10" s="217"/>
      <c r="F10" s="217"/>
      <c r="G10" s="217"/>
      <c r="H10" s="217"/>
      <c r="I10" s="217"/>
      <c r="J10" s="217"/>
      <c r="K10" s="217"/>
      <c r="L10" s="217"/>
      <c r="M10" s="217"/>
      <c r="N10" s="217"/>
      <c r="O10" s="217"/>
      <c r="P10" s="217"/>
      <c r="Q10" s="217"/>
      <c r="R10" s="217"/>
      <c r="S10" s="217"/>
      <c r="T10" s="217"/>
      <c r="U10" s="217"/>
      <c r="V10" s="217"/>
      <c r="W10" s="217"/>
      <c r="X10" s="217"/>
      <c r="Y10" s="217"/>
      <c r="Z10" s="217"/>
      <c r="AA10" s="217"/>
      <c r="AB10" s="217"/>
      <c r="AC10" s="217"/>
      <c r="AD10" s="221"/>
    </row>
    <row r="11" spans="1:48" ht="15" customHeight="1" x14ac:dyDescent="0.25">
      <c r="B11" s="216"/>
      <c r="C11" s="227"/>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9"/>
      <c r="AD11" s="221"/>
    </row>
    <row r="12" spans="1:48" ht="15" customHeight="1" x14ac:dyDescent="0.25">
      <c r="B12" s="216"/>
      <c r="C12" s="231"/>
      <c r="D12" s="232"/>
      <c r="E12" s="232"/>
      <c r="F12" s="585" t="s">
        <v>12</v>
      </c>
      <c r="G12" s="586"/>
      <c r="H12" s="587"/>
      <c r="I12" s="17"/>
      <c r="J12" s="585" t="s">
        <v>7</v>
      </c>
      <c r="K12" s="586"/>
      <c r="L12" s="587"/>
      <c r="M12" s="17"/>
      <c r="N12" s="585" t="s">
        <v>8</v>
      </c>
      <c r="O12" s="586"/>
      <c r="P12" s="587"/>
      <c r="Q12" s="17"/>
      <c r="R12" s="585" t="s">
        <v>9</v>
      </c>
      <c r="S12" s="586"/>
      <c r="T12" s="587"/>
      <c r="U12" s="17"/>
      <c r="V12" s="585" t="s">
        <v>10</v>
      </c>
      <c r="W12" s="586"/>
      <c r="X12" s="587"/>
      <c r="Y12" s="17"/>
      <c r="Z12" s="593" t="s">
        <v>11</v>
      </c>
      <c r="AA12" s="594"/>
      <c r="AB12" s="595"/>
      <c r="AC12" s="233"/>
      <c r="AD12" s="234"/>
      <c r="AE12" s="235"/>
      <c r="AF12" s="235"/>
      <c r="AG12" s="235"/>
      <c r="AH12" s="235"/>
      <c r="AI12" s="235"/>
    </row>
    <row r="13" spans="1:48" ht="30" customHeight="1" x14ac:dyDescent="0.25">
      <c r="B13" s="216"/>
      <c r="C13" s="231"/>
      <c r="D13" s="232"/>
      <c r="E13" s="232"/>
      <c r="F13" s="236" t="s">
        <v>100</v>
      </c>
      <c r="G13" s="237" t="s">
        <v>437</v>
      </c>
      <c r="H13" s="238" t="s">
        <v>102</v>
      </c>
      <c r="I13" s="239"/>
      <c r="J13" s="236" t="s">
        <v>100</v>
      </c>
      <c r="K13" s="236" t="s">
        <v>101</v>
      </c>
      <c r="L13" s="236" t="s">
        <v>102</v>
      </c>
      <c r="M13" s="239"/>
      <c r="N13" s="236" t="s">
        <v>100</v>
      </c>
      <c r="O13" s="236" t="s">
        <v>101</v>
      </c>
      <c r="P13" s="236" t="s">
        <v>102</v>
      </c>
      <c r="Q13" s="239"/>
      <c r="R13" s="236" t="s">
        <v>100</v>
      </c>
      <c r="S13" s="236" t="s">
        <v>101</v>
      </c>
      <c r="T13" s="236" t="s">
        <v>102</v>
      </c>
      <c r="U13" s="239"/>
      <c r="V13" s="236" t="s">
        <v>100</v>
      </c>
      <c r="W13" s="236" t="s">
        <v>101</v>
      </c>
      <c r="X13" s="236" t="s">
        <v>102</v>
      </c>
      <c r="Y13" s="239"/>
      <c r="Z13" s="238" t="s">
        <v>100</v>
      </c>
      <c r="AA13" s="238" t="s">
        <v>101</v>
      </c>
      <c r="AB13" s="238" t="s">
        <v>102</v>
      </c>
      <c r="AC13" s="233"/>
      <c r="AD13" s="234"/>
      <c r="AE13" s="235"/>
      <c r="AF13" s="235"/>
      <c r="AG13" s="235"/>
      <c r="AH13" s="235"/>
      <c r="AI13" s="235"/>
    </row>
    <row r="14" spans="1:48" ht="15" customHeight="1" x14ac:dyDescent="0.25">
      <c r="B14" s="216"/>
      <c r="C14" s="231"/>
      <c r="D14" s="240" t="s">
        <v>58</v>
      </c>
      <c r="E14" s="241"/>
      <c r="F14" s="242"/>
      <c r="G14" s="243"/>
      <c r="H14" s="244"/>
      <c r="I14" s="245"/>
      <c r="J14" s="246"/>
      <c r="K14" s="247"/>
      <c r="L14" s="248"/>
      <c r="M14" s="249"/>
      <c r="N14" s="246"/>
      <c r="O14" s="247"/>
      <c r="P14" s="248"/>
      <c r="Q14" s="249"/>
      <c r="R14" s="246"/>
      <c r="S14" s="247"/>
      <c r="T14" s="248"/>
      <c r="U14" s="249"/>
      <c r="V14" s="246"/>
      <c r="W14" s="247"/>
      <c r="X14" s="248"/>
      <c r="Y14" s="249"/>
      <c r="Z14" s="246"/>
      <c r="AA14" s="247"/>
      <c r="AB14" s="248"/>
      <c r="AC14" s="230"/>
      <c r="AD14" s="221"/>
      <c r="AJ14" s="215"/>
      <c r="AK14" s="215"/>
      <c r="AL14" s="215"/>
      <c r="AM14" s="215"/>
      <c r="AN14" s="215"/>
      <c r="AO14" s="215"/>
      <c r="AP14" s="215"/>
      <c r="AQ14" s="215"/>
      <c r="AR14" s="215"/>
      <c r="AS14" s="215"/>
      <c r="AT14" s="215"/>
      <c r="AU14" s="215"/>
      <c r="AV14" s="215"/>
    </row>
    <row r="15" spans="1:48" ht="15" customHeight="1" x14ac:dyDescent="0.25">
      <c r="B15" s="216"/>
      <c r="C15" s="231"/>
      <c r="D15" s="250" t="s">
        <v>592</v>
      </c>
      <c r="E15" s="217"/>
      <c r="F15" s="251"/>
      <c r="G15" s="252"/>
      <c r="H15" s="253">
        <f>F15*G15</f>
        <v>0</v>
      </c>
      <c r="I15" s="254"/>
      <c r="J15" s="251">
        <f>100/25</f>
        <v>4</v>
      </c>
      <c r="K15" s="252">
        <v>50000</v>
      </c>
      <c r="L15" s="253">
        <f>J15*K15</f>
        <v>200000</v>
      </c>
      <c r="M15" s="254"/>
      <c r="N15" s="251">
        <v>6</v>
      </c>
      <c r="O15" s="252">
        <f>K15*1.03</f>
        <v>51500</v>
      </c>
      <c r="P15" s="253">
        <f>N15*O15</f>
        <v>309000</v>
      </c>
      <c r="Q15" s="254"/>
      <c r="R15" s="251">
        <f>225/25</f>
        <v>9</v>
      </c>
      <c r="S15" s="252">
        <f>O15*1.03</f>
        <v>53045</v>
      </c>
      <c r="T15" s="253">
        <f>R15*S15</f>
        <v>477405</v>
      </c>
      <c r="U15" s="254"/>
      <c r="V15" s="251">
        <f>300/25</f>
        <v>12</v>
      </c>
      <c r="W15" s="252">
        <f>ROUND(S15*1.03,0)</f>
        <v>54636</v>
      </c>
      <c r="X15" s="253">
        <f>V15*W15</f>
        <v>655632</v>
      </c>
      <c r="Y15" s="254"/>
      <c r="Z15" s="251">
        <f>350/25</f>
        <v>14</v>
      </c>
      <c r="AA15" s="252">
        <f>ROUND(W15*1.03,0)</f>
        <v>56275</v>
      </c>
      <c r="AB15" s="253">
        <f>Z15*AA15</f>
        <v>787850</v>
      </c>
      <c r="AC15" s="255"/>
      <c r="AD15" s="224"/>
      <c r="AE15" s="225"/>
      <c r="AF15" s="225"/>
      <c r="AG15" s="225"/>
      <c r="AH15" s="225"/>
      <c r="AI15" s="225"/>
    </row>
    <row r="16" spans="1:48" ht="15" customHeight="1" x14ac:dyDescent="0.25">
      <c r="B16" s="216"/>
      <c r="C16" s="231"/>
      <c r="D16" s="256" t="s">
        <v>593</v>
      </c>
      <c r="E16" s="217"/>
      <c r="F16" s="251"/>
      <c r="G16" s="252">
        <v>0</v>
      </c>
      <c r="H16" s="253">
        <f t="shared" ref="H16:H29" si="0">F16*G16</f>
        <v>0</v>
      </c>
      <c r="I16" s="254"/>
      <c r="J16" s="251">
        <v>0</v>
      </c>
      <c r="K16" s="252">
        <v>25000</v>
      </c>
      <c r="L16" s="253">
        <f t="shared" ref="L16:L29" si="1">J16*K16</f>
        <v>0</v>
      </c>
      <c r="M16" s="254"/>
      <c r="N16" s="251">
        <v>0</v>
      </c>
      <c r="O16" s="252">
        <f t="shared" ref="O16:O18" si="2">K16*1.03</f>
        <v>25750</v>
      </c>
      <c r="P16" s="253">
        <f t="shared" ref="P16:P29" si="3">N16*O16</f>
        <v>0</v>
      </c>
      <c r="Q16" s="254"/>
      <c r="R16" s="251">
        <v>0</v>
      </c>
      <c r="S16" s="252">
        <f>O16*1.03</f>
        <v>26522.5</v>
      </c>
      <c r="T16" s="253">
        <f t="shared" ref="T16:T29" si="4">R16*S16</f>
        <v>0</v>
      </c>
      <c r="U16" s="254"/>
      <c r="V16" s="251">
        <v>0</v>
      </c>
      <c r="W16" s="252">
        <f>ROUND(S16*1.03,0)</f>
        <v>27318</v>
      </c>
      <c r="X16" s="253">
        <f t="shared" ref="X16:X29" si="5">V16*W16</f>
        <v>0</v>
      </c>
      <c r="Y16" s="254"/>
      <c r="Z16" s="251">
        <v>0</v>
      </c>
      <c r="AA16" s="252">
        <f>ROUND(W16*1.03,0)</f>
        <v>28138</v>
      </c>
      <c r="AB16" s="253">
        <f t="shared" ref="AB16:AB29" si="6">Z16*AA16</f>
        <v>0</v>
      </c>
      <c r="AC16" s="255"/>
      <c r="AD16" s="224"/>
      <c r="AE16" s="225"/>
      <c r="AF16" s="225"/>
      <c r="AG16" s="225"/>
      <c r="AH16" s="225"/>
      <c r="AI16" s="225"/>
    </row>
    <row r="17" spans="2:35" ht="15" customHeight="1" x14ac:dyDescent="0.25">
      <c r="B17" s="216"/>
      <c r="C17" s="231"/>
      <c r="D17" s="256" t="s">
        <v>594</v>
      </c>
      <c r="E17" s="217"/>
      <c r="F17" s="251"/>
      <c r="G17" s="252">
        <v>0</v>
      </c>
      <c r="H17" s="253">
        <f t="shared" si="0"/>
        <v>0</v>
      </c>
      <c r="I17" s="254"/>
      <c r="J17" s="251">
        <v>1</v>
      </c>
      <c r="K17" s="252">
        <v>45000</v>
      </c>
      <c r="L17" s="253">
        <f t="shared" si="1"/>
        <v>45000</v>
      </c>
      <c r="M17" s="254"/>
      <c r="N17" s="251">
        <v>1</v>
      </c>
      <c r="O17" s="252">
        <f t="shared" si="2"/>
        <v>46350</v>
      </c>
      <c r="P17" s="253">
        <f t="shared" si="3"/>
        <v>46350</v>
      </c>
      <c r="Q17" s="254"/>
      <c r="R17" s="251">
        <v>2</v>
      </c>
      <c r="S17" s="252">
        <f t="shared" ref="S17:S18" si="7">O17*1.03</f>
        <v>47740.5</v>
      </c>
      <c r="T17" s="253">
        <f t="shared" si="4"/>
        <v>95481</v>
      </c>
      <c r="U17" s="254"/>
      <c r="V17" s="251">
        <v>3</v>
      </c>
      <c r="W17" s="252">
        <f t="shared" ref="W17:W18" si="8">ROUND(S17*1.03,0)</f>
        <v>49173</v>
      </c>
      <c r="X17" s="253">
        <f t="shared" si="5"/>
        <v>147519</v>
      </c>
      <c r="Y17" s="254"/>
      <c r="Z17" s="251">
        <v>3</v>
      </c>
      <c r="AA17" s="252">
        <f>W17*1.03</f>
        <v>50648.19</v>
      </c>
      <c r="AB17" s="253">
        <f t="shared" si="6"/>
        <v>151944.57</v>
      </c>
      <c r="AC17" s="255"/>
      <c r="AD17" s="224"/>
      <c r="AE17" s="225"/>
      <c r="AF17" s="225"/>
      <c r="AG17" s="225"/>
      <c r="AH17" s="225"/>
      <c r="AI17" s="225"/>
    </row>
    <row r="18" spans="2:35" ht="15" customHeight="1" x14ac:dyDescent="0.25">
      <c r="B18" s="216"/>
      <c r="C18" s="231"/>
      <c r="D18" s="256" t="s">
        <v>464</v>
      </c>
      <c r="E18" s="217"/>
      <c r="F18" s="251"/>
      <c r="G18" s="252">
        <v>0</v>
      </c>
      <c r="H18" s="253">
        <f t="shared" si="0"/>
        <v>0</v>
      </c>
      <c r="I18" s="254"/>
      <c r="J18" s="251">
        <v>1</v>
      </c>
      <c r="K18" s="252">
        <v>50000</v>
      </c>
      <c r="L18" s="253">
        <f t="shared" si="1"/>
        <v>50000</v>
      </c>
      <c r="M18" s="254"/>
      <c r="N18" s="251">
        <v>1</v>
      </c>
      <c r="O18" s="252">
        <f t="shared" si="2"/>
        <v>51500</v>
      </c>
      <c r="P18" s="253">
        <f t="shared" si="3"/>
        <v>51500</v>
      </c>
      <c r="Q18" s="254"/>
      <c r="R18" s="251">
        <v>2</v>
      </c>
      <c r="S18" s="252">
        <f t="shared" si="7"/>
        <v>53045</v>
      </c>
      <c r="T18" s="253">
        <f t="shared" si="4"/>
        <v>106090</v>
      </c>
      <c r="U18" s="254"/>
      <c r="V18" s="251">
        <v>2</v>
      </c>
      <c r="W18" s="252">
        <f t="shared" si="8"/>
        <v>54636</v>
      </c>
      <c r="X18" s="253">
        <f t="shared" si="5"/>
        <v>109272</v>
      </c>
      <c r="Y18" s="254"/>
      <c r="Z18" s="251">
        <v>2</v>
      </c>
      <c r="AA18" s="252">
        <f t="shared" ref="AA18" si="9">ROUND(W18*1.03,0)</f>
        <v>56275</v>
      </c>
      <c r="AB18" s="253">
        <f t="shared" si="6"/>
        <v>112550</v>
      </c>
      <c r="AC18" s="230"/>
      <c r="AD18" s="221"/>
    </row>
    <row r="19" spans="2:35" ht="15" customHeight="1" x14ac:dyDescent="0.25">
      <c r="B19" s="216"/>
      <c r="C19" s="231"/>
      <c r="D19" s="256"/>
      <c r="E19" s="217"/>
      <c r="F19" s="251"/>
      <c r="G19" s="252">
        <v>0</v>
      </c>
      <c r="H19" s="253">
        <f t="shared" si="0"/>
        <v>0</v>
      </c>
      <c r="I19" s="254"/>
      <c r="J19" s="251"/>
      <c r="K19" s="252">
        <v>0</v>
      </c>
      <c r="L19" s="253">
        <f t="shared" si="1"/>
        <v>0</v>
      </c>
      <c r="M19" s="254"/>
      <c r="N19" s="251"/>
      <c r="O19" s="252">
        <v>0</v>
      </c>
      <c r="P19" s="253">
        <f t="shared" si="3"/>
        <v>0</v>
      </c>
      <c r="Q19" s="254"/>
      <c r="R19" s="251"/>
      <c r="S19" s="252">
        <v>0</v>
      </c>
      <c r="T19" s="253">
        <f t="shared" si="4"/>
        <v>0</v>
      </c>
      <c r="U19" s="254"/>
      <c r="V19" s="251"/>
      <c r="W19" s="252">
        <v>0</v>
      </c>
      <c r="X19" s="253">
        <f t="shared" si="5"/>
        <v>0</v>
      </c>
      <c r="Y19" s="254"/>
      <c r="Z19" s="251"/>
      <c r="AA19" s="252">
        <v>0</v>
      </c>
      <c r="AB19" s="253">
        <f t="shared" si="6"/>
        <v>0</v>
      </c>
      <c r="AC19" s="230"/>
      <c r="AD19" s="221"/>
    </row>
    <row r="20" spans="2:35" ht="15" customHeight="1" x14ac:dyDescent="0.25">
      <c r="B20" s="216"/>
      <c r="C20" s="231"/>
      <c r="D20" s="256"/>
      <c r="E20" s="217"/>
      <c r="F20" s="251"/>
      <c r="G20" s="252">
        <v>0</v>
      </c>
      <c r="H20" s="253">
        <f t="shared" si="0"/>
        <v>0</v>
      </c>
      <c r="I20" s="254"/>
      <c r="J20" s="251"/>
      <c r="K20" s="252">
        <v>0</v>
      </c>
      <c r="L20" s="253">
        <f t="shared" si="1"/>
        <v>0</v>
      </c>
      <c r="M20" s="254"/>
      <c r="N20" s="251"/>
      <c r="O20" s="252">
        <v>0</v>
      </c>
      <c r="P20" s="253">
        <f t="shared" si="3"/>
        <v>0</v>
      </c>
      <c r="Q20" s="254"/>
      <c r="R20" s="251"/>
      <c r="S20" s="252">
        <v>0</v>
      </c>
      <c r="T20" s="253">
        <f t="shared" si="4"/>
        <v>0</v>
      </c>
      <c r="U20" s="254"/>
      <c r="V20" s="251"/>
      <c r="W20" s="252">
        <v>0</v>
      </c>
      <c r="X20" s="253">
        <f t="shared" si="5"/>
        <v>0</v>
      </c>
      <c r="Y20" s="254"/>
      <c r="Z20" s="251"/>
      <c r="AA20" s="252">
        <v>0</v>
      </c>
      <c r="AB20" s="253">
        <f t="shared" si="6"/>
        <v>0</v>
      </c>
      <c r="AC20" s="230"/>
      <c r="AD20" s="221"/>
    </row>
    <row r="21" spans="2:35" ht="15" customHeight="1" x14ac:dyDescent="0.25">
      <c r="B21" s="216"/>
      <c r="C21" s="231"/>
      <c r="D21" s="256"/>
      <c r="E21" s="217"/>
      <c r="F21" s="251"/>
      <c r="G21" s="252">
        <v>0</v>
      </c>
      <c r="H21" s="253">
        <f t="shared" si="0"/>
        <v>0</v>
      </c>
      <c r="I21" s="254"/>
      <c r="J21" s="251"/>
      <c r="K21" s="252">
        <v>0</v>
      </c>
      <c r="L21" s="253">
        <f t="shared" si="1"/>
        <v>0</v>
      </c>
      <c r="M21" s="254"/>
      <c r="N21" s="251"/>
      <c r="O21" s="252">
        <v>0</v>
      </c>
      <c r="P21" s="253">
        <f t="shared" si="3"/>
        <v>0</v>
      </c>
      <c r="Q21" s="254"/>
      <c r="R21" s="251"/>
      <c r="S21" s="252">
        <v>0</v>
      </c>
      <c r="T21" s="253">
        <f t="shared" si="4"/>
        <v>0</v>
      </c>
      <c r="U21" s="254"/>
      <c r="V21" s="251"/>
      <c r="W21" s="252">
        <v>0</v>
      </c>
      <c r="X21" s="253">
        <f t="shared" si="5"/>
        <v>0</v>
      </c>
      <c r="Y21" s="254"/>
      <c r="Z21" s="251"/>
      <c r="AA21" s="252">
        <v>0</v>
      </c>
      <c r="AB21" s="253">
        <f t="shared" si="6"/>
        <v>0</v>
      </c>
      <c r="AC21" s="230"/>
      <c r="AD21" s="221"/>
    </row>
    <row r="22" spans="2:35" ht="15" customHeight="1" x14ac:dyDescent="0.25">
      <c r="B22" s="216"/>
      <c r="C22" s="231"/>
      <c r="D22" s="256"/>
      <c r="E22" s="217"/>
      <c r="F22" s="251"/>
      <c r="G22" s="252">
        <v>0</v>
      </c>
      <c r="H22" s="253">
        <f t="shared" si="0"/>
        <v>0</v>
      </c>
      <c r="I22" s="254"/>
      <c r="J22" s="251"/>
      <c r="K22" s="252">
        <v>0</v>
      </c>
      <c r="L22" s="253">
        <f t="shared" ref="L22:L27" si="10">J22*K22</f>
        <v>0</v>
      </c>
      <c r="M22" s="254"/>
      <c r="N22" s="251"/>
      <c r="O22" s="252">
        <v>0</v>
      </c>
      <c r="P22" s="253">
        <f t="shared" ref="P22:P27" si="11">N22*O22</f>
        <v>0</v>
      </c>
      <c r="Q22" s="254"/>
      <c r="R22" s="251"/>
      <c r="S22" s="252">
        <v>0</v>
      </c>
      <c r="T22" s="253">
        <f t="shared" ref="T22:T27" si="12">R22*S22</f>
        <v>0</v>
      </c>
      <c r="U22" s="254"/>
      <c r="V22" s="251"/>
      <c r="W22" s="252">
        <v>0</v>
      </c>
      <c r="X22" s="253">
        <f t="shared" ref="X22:X27" si="13">V22*W22</f>
        <v>0</v>
      </c>
      <c r="Y22" s="254"/>
      <c r="Z22" s="251"/>
      <c r="AA22" s="252">
        <v>0</v>
      </c>
      <c r="AB22" s="253">
        <f t="shared" ref="AB22:AB27" si="14">Z22*AA22</f>
        <v>0</v>
      </c>
      <c r="AC22" s="230"/>
      <c r="AD22" s="221"/>
    </row>
    <row r="23" spans="2:35" ht="15" customHeight="1" x14ac:dyDescent="0.25">
      <c r="B23" s="216"/>
      <c r="C23" s="231"/>
      <c r="D23" s="256"/>
      <c r="E23" s="217"/>
      <c r="F23" s="251"/>
      <c r="G23" s="252">
        <v>0</v>
      </c>
      <c r="H23" s="253">
        <f t="shared" si="0"/>
        <v>0</v>
      </c>
      <c r="I23" s="254"/>
      <c r="J23" s="251"/>
      <c r="K23" s="252">
        <v>0</v>
      </c>
      <c r="L23" s="253">
        <f t="shared" si="10"/>
        <v>0</v>
      </c>
      <c r="M23" s="254"/>
      <c r="N23" s="251"/>
      <c r="O23" s="252">
        <v>0</v>
      </c>
      <c r="P23" s="253">
        <f t="shared" si="11"/>
        <v>0</v>
      </c>
      <c r="Q23" s="254"/>
      <c r="R23" s="251"/>
      <c r="S23" s="252">
        <v>0</v>
      </c>
      <c r="T23" s="253">
        <f t="shared" si="12"/>
        <v>0</v>
      </c>
      <c r="U23" s="254"/>
      <c r="V23" s="251"/>
      <c r="W23" s="252">
        <v>0</v>
      </c>
      <c r="X23" s="253">
        <f t="shared" si="13"/>
        <v>0</v>
      </c>
      <c r="Y23" s="254"/>
      <c r="Z23" s="251"/>
      <c r="AA23" s="252">
        <v>0</v>
      </c>
      <c r="AB23" s="253">
        <f t="shared" si="14"/>
        <v>0</v>
      </c>
      <c r="AC23" s="230"/>
      <c r="AD23" s="221"/>
    </row>
    <row r="24" spans="2:35" ht="15" customHeight="1" x14ac:dyDescent="0.25">
      <c r="B24" s="216"/>
      <c r="C24" s="231"/>
      <c r="D24" s="256"/>
      <c r="E24" s="217"/>
      <c r="F24" s="251"/>
      <c r="G24" s="252">
        <v>0</v>
      </c>
      <c r="H24" s="253">
        <f t="shared" si="0"/>
        <v>0</v>
      </c>
      <c r="I24" s="254"/>
      <c r="J24" s="251"/>
      <c r="K24" s="252">
        <v>0</v>
      </c>
      <c r="L24" s="253">
        <f t="shared" si="10"/>
        <v>0</v>
      </c>
      <c r="M24" s="254"/>
      <c r="N24" s="251"/>
      <c r="O24" s="252">
        <v>0</v>
      </c>
      <c r="P24" s="253">
        <f t="shared" si="11"/>
        <v>0</v>
      </c>
      <c r="Q24" s="254"/>
      <c r="R24" s="251"/>
      <c r="S24" s="252">
        <v>0</v>
      </c>
      <c r="T24" s="253">
        <f t="shared" si="12"/>
        <v>0</v>
      </c>
      <c r="U24" s="254"/>
      <c r="V24" s="251"/>
      <c r="W24" s="252">
        <v>0</v>
      </c>
      <c r="X24" s="253">
        <f t="shared" si="13"/>
        <v>0</v>
      </c>
      <c r="Y24" s="254"/>
      <c r="Z24" s="251"/>
      <c r="AA24" s="252">
        <v>0</v>
      </c>
      <c r="AB24" s="253">
        <f t="shared" si="14"/>
        <v>0</v>
      </c>
      <c r="AC24" s="230"/>
      <c r="AD24" s="221"/>
    </row>
    <row r="25" spans="2:35" ht="15" customHeight="1" x14ac:dyDescent="0.25">
      <c r="B25" s="216"/>
      <c r="C25" s="231"/>
      <c r="D25" s="256"/>
      <c r="E25" s="217"/>
      <c r="F25" s="251"/>
      <c r="G25" s="252">
        <v>0</v>
      </c>
      <c r="H25" s="253">
        <f t="shared" si="0"/>
        <v>0</v>
      </c>
      <c r="I25" s="254"/>
      <c r="J25" s="251"/>
      <c r="K25" s="252">
        <v>0</v>
      </c>
      <c r="L25" s="253">
        <f t="shared" si="10"/>
        <v>0</v>
      </c>
      <c r="M25" s="254"/>
      <c r="N25" s="251"/>
      <c r="O25" s="252">
        <v>0</v>
      </c>
      <c r="P25" s="253">
        <f t="shared" si="11"/>
        <v>0</v>
      </c>
      <c r="Q25" s="254"/>
      <c r="R25" s="251"/>
      <c r="S25" s="252">
        <v>0</v>
      </c>
      <c r="T25" s="253">
        <f t="shared" si="12"/>
        <v>0</v>
      </c>
      <c r="U25" s="254"/>
      <c r="V25" s="251"/>
      <c r="W25" s="252">
        <v>0</v>
      </c>
      <c r="X25" s="253">
        <f t="shared" si="13"/>
        <v>0</v>
      </c>
      <c r="Y25" s="254"/>
      <c r="Z25" s="251"/>
      <c r="AA25" s="252">
        <v>0</v>
      </c>
      <c r="AB25" s="253">
        <f t="shared" si="14"/>
        <v>0</v>
      </c>
      <c r="AC25" s="230"/>
      <c r="AD25" s="221"/>
    </row>
    <row r="26" spans="2:35" ht="15" customHeight="1" x14ac:dyDescent="0.25">
      <c r="B26" s="216"/>
      <c r="C26" s="231"/>
      <c r="D26" s="256"/>
      <c r="E26" s="217"/>
      <c r="F26" s="251"/>
      <c r="G26" s="252">
        <v>0</v>
      </c>
      <c r="H26" s="253">
        <f t="shared" si="0"/>
        <v>0</v>
      </c>
      <c r="I26" s="254"/>
      <c r="J26" s="251"/>
      <c r="K26" s="252">
        <v>0</v>
      </c>
      <c r="L26" s="253">
        <f t="shared" si="10"/>
        <v>0</v>
      </c>
      <c r="M26" s="254"/>
      <c r="N26" s="251"/>
      <c r="O26" s="252">
        <v>0</v>
      </c>
      <c r="P26" s="253">
        <f t="shared" si="11"/>
        <v>0</v>
      </c>
      <c r="Q26" s="254"/>
      <c r="R26" s="251"/>
      <c r="S26" s="252">
        <v>0</v>
      </c>
      <c r="T26" s="253">
        <f t="shared" si="12"/>
        <v>0</v>
      </c>
      <c r="U26" s="254"/>
      <c r="V26" s="251"/>
      <c r="W26" s="252">
        <v>0</v>
      </c>
      <c r="X26" s="253">
        <f t="shared" si="13"/>
        <v>0</v>
      </c>
      <c r="Y26" s="254"/>
      <c r="Z26" s="251"/>
      <c r="AA26" s="252">
        <v>0</v>
      </c>
      <c r="AB26" s="253">
        <f t="shared" si="14"/>
        <v>0</v>
      </c>
      <c r="AC26" s="230"/>
      <c r="AD26" s="221"/>
    </row>
    <row r="27" spans="2:35" ht="15" customHeight="1" x14ac:dyDescent="0.25">
      <c r="B27" s="216"/>
      <c r="C27" s="231"/>
      <c r="D27" s="256"/>
      <c r="E27" s="217"/>
      <c r="F27" s="251"/>
      <c r="G27" s="252">
        <v>0</v>
      </c>
      <c r="H27" s="253">
        <f t="shared" si="0"/>
        <v>0</v>
      </c>
      <c r="I27" s="254"/>
      <c r="J27" s="251"/>
      <c r="K27" s="252">
        <v>0</v>
      </c>
      <c r="L27" s="253">
        <f t="shared" si="10"/>
        <v>0</v>
      </c>
      <c r="M27" s="254"/>
      <c r="N27" s="251"/>
      <c r="O27" s="252">
        <v>0</v>
      </c>
      <c r="P27" s="253">
        <f t="shared" si="11"/>
        <v>0</v>
      </c>
      <c r="Q27" s="254"/>
      <c r="R27" s="251"/>
      <c r="S27" s="252">
        <v>0</v>
      </c>
      <c r="T27" s="253">
        <f t="shared" si="12"/>
        <v>0</v>
      </c>
      <c r="U27" s="254"/>
      <c r="V27" s="251"/>
      <c r="W27" s="252">
        <v>0</v>
      </c>
      <c r="X27" s="253">
        <f t="shared" si="13"/>
        <v>0</v>
      </c>
      <c r="Y27" s="254"/>
      <c r="Z27" s="251"/>
      <c r="AA27" s="252">
        <v>0</v>
      </c>
      <c r="AB27" s="253">
        <f t="shared" si="14"/>
        <v>0</v>
      </c>
      <c r="AC27" s="230"/>
      <c r="AD27" s="221"/>
    </row>
    <row r="28" spans="2:35" ht="15" customHeight="1" x14ac:dyDescent="0.25">
      <c r="B28" s="216"/>
      <c r="C28" s="231"/>
      <c r="D28" s="256"/>
      <c r="E28" s="217"/>
      <c r="F28" s="251"/>
      <c r="G28" s="252">
        <v>0</v>
      </c>
      <c r="H28" s="253">
        <f t="shared" si="0"/>
        <v>0</v>
      </c>
      <c r="I28" s="254"/>
      <c r="J28" s="251"/>
      <c r="K28" s="252">
        <v>0</v>
      </c>
      <c r="L28" s="253">
        <f t="shared" si="1"/>
        <v>0</v>
      </c>
      <c r="M28" s="254"/>
      <c r="N28" s="251"/>
      <c r="O28" s="252">
        <v>0</v>
      </c>
      <c r="P28" s="253">
        <f t="shared" si="3"/>
        <v>0</v>
      </c>
      <c r="Q28" s="254"/>
      <c r="R28" s="251"/>
      <c r="S28" s="252">
        <v>0</v>
      </c>
      <c r="T28" s="253">
        <f t="shared" si="4"/>
        <v>0</v>
      </c>
      <c r="U28" s="254"/>
      <c r="V28" s="251"/>
      <c r="W28" s="252">
        <v>0</v>
      </c>
      <c r="X28" s="253">
        <f t="shared" si="5"/>
        <v>0</v>
      </c>
      <c r="Y28" s="254"/>
      <c r="Z28" s="251"/>
      <c r="AA28" s="252">
        <v>0</v>
      </c>
      <c r="AB28" s="253">
        <f t="shared" si="6"/>
        <v>0</v>
      </c>
      <c r="AC28" s="230"/>
      <c r="AD28" s="221"/>
    </row>
    <row r="29" spans="2:35" ht="15" customHeight="1" x14ac:dyDescent="0.25">
      <c r="B29" s="216"/>
      <c r="C29" s="231"/>
      <c r="D29" s="257"/>
      <c r="E29" s="258"/>
      <c r="F29" s="251"/>
      <c r="G29" s="252">
        <v>0</v>
      </c>
      <c r="H29" s="253">
        <f t="shared" si="0"/>
        <v>0</v>
      </c>
      <c r="I29" s="254"/>
      <c r="J29" s="251"/>
      <c r="K29" s="252">
        <v>0</v>
      </c>
      <c r="L29" s="253">
        <f t="shared" si="1"/>
        <v>0</v>
      </c>
      <c r="M29" s="254"/>
      <c r="N29" s="251"/>
      <c r="O29" s="252">
        <v>0</v>
      </c>
      <c r="P29" s="253">
        <f t="shared" si="3"/>
        <v>0</v>
      </c>
      <c r="Q29" s="254"/>
      <c r="R29" s="251"/>
      <c r="S29" s="252">
        <v>0</v>
      </c>
      <c r="T29" s="253">
        <f t="shared" si="4"/>
        <v>0</v>
      </c>
      <c r="U29" s="254"/>
      <c r="V29" s="251"/>
      <c r="W29" s="252">
        <v>0</v>
      </c>
      <c r="X29" s="253">
        <f t="shared" si="5"/>
        <v>0</v>
      </c>
      <c r="Y29" s="254"/>
      <c r="Z29" s="251"/>
      <c r="AA29" s="252">
        <v>0</v>
      </c>
      <c r="AB29" s="253">
        <f t="shared" si="6"/>
        <v>0</v>
      </c>
      <c r="AC29" s="230"/>
      <c r="AD29" s="221" t="s">
        <v>2</v>
      </c>
    </row>
    <row r="30" spans="2:35" ht="15" customHeight="1" x14ac:dyDescent="0.25">
      <c r="B30" s="216"/>
      <c r="C30" s="231"/>
      <c r="D30" s="259" t="s">
        <v>32</v>
      </c>
      <c r="E30" s="218"/>
      <c r="F30" s="260">
        <f>SUM(F15:F29)</f>
        <v>0</v>
      </c>
      <c r="G30" s="261"/>
      <c r="H30" s="262">
        <f>SUM(H15:H29)</f>
        <v>0</v>
      </c>
      <c r="I30" s="263"/>
      <c r="J30" s="260">
        <f>SUM(J15:J29)</f>
        <v>6</v>
      </c>
      <c r="K30" s="261"/>
      <c r="L30" s="262">
        <f>SUM(L15:L29)</f>
        <v>295000</v>
      </c>
      <c r="M30" s="263"/>
      <c r="N30" s="260">
        <f>SUM(N15:N29)</f>
        <v>8</v>
      </c>
      <c r="O30" s="261"/>
      <c r="P30" s="262">
        <f>SUM(P15:P29)</f>
        <v>406850</v>
      </c>
      <c r="Q30" s="263"/>
      <c r="R30" s="260">
        <f>SUM(R15:R29)</f>
        <v>13</v>
      </c>
      <c r="S30" s="261"/>
      <c r="T30" s="262">
        <f>SUM(T15:T29)</f>
        <v>678976</v>
      </c>
      <c r="U30" s="263"/>
      <c r="V30" s="260">
        <f>SUM(V15:V29)</f>
        <v>17</v>
      </c>
      <c r="W30" s="261"/>
      <c r="X30" s="262">
        <f>SUM(X15:X29)</f>
        <v>912423</v>
      </c>
      <c r="Y30" s="263"/>
      <c r="Z30" s="260">
        <f>SUM(Z15:Z29)</f>
        <v>19</v>
      </c>
      <c r="AA30" s="261"/>
      <c r="AB30" s="262">
        <f>SUM(AB15:AB29)</f>
        <v>1052344.57</v>
      </c>
      <c r="AC30" s="230"/>
      <c r="AD30" s="221"/>
    </row>
    <row r="31" spans="2:35" ht="15" customHeight="1" x14ac:dyDescent="0.25">
      <c r="B31" s="216"/>
      <c r="C31" s="231"/>
      <c r="D31" s="264"/>
      <c r="E31" s="218"/>
      <c r="F31" s="265"/>
      <c r="G31" s="266"/>
      <c r="H31" s="267"/>
      <c r="I31" s="218"/>
      <c r="J31" s="265"/>
      <c r="K31" s="266"/>
      <c r="L31" s="267"/>
      <c r="M31" s="218"/>
      <c r="N31" s="265"/>
      <c r="O31" s="266"/>
      <c r="P31" s="267"/>
      <c r="Q31" s="218"/>
      <c r="R31" s="265"/>
      <c r="S31" s="266"/>
      <c r="T31" s="267"/>
      <c r="U31" s="218"/>
      <c r="V31" s="265"/>
      <c r="W31" s="266"/>
      <c r="X31" s="267"/>
      <c r="Y31" s="218"/>
      <c r="Z31" s="265"/>
      <c r="AA31" s="266"/>
      <c r="AB31" s="267"/>
      <c r="AC31" s="230"/>
      <c r="AD31" s="221"/>
    </row>
    <row r="32" spans="2:35" ht="15" customHeight="1" x14ac:dyDescent="0.25">
      <c r="B32" s="216"/>
      <c r="C32" s="231"/>
      <c r="D32" s="240" t="s">
        <v>59</v>
      </c>
      <c r="E32" s="241"/>
      <c r="F32" s="268"/>
      <c r="G32" s="269"/>
      <c r="H32" s="270"/>
      <c r="I32" s="220"/>
      <c r="J32" s="271"/>
      <c r="K32" s="272"/>
      <c r="L32" s="273"/>
      <c r="M32" s="249"/>
      <c r="N32" s="271"/>
      <c r="O32" s="272"/>
      <c r="P32" s="273"/>
      <c r="Q32" s="249"/>
      <c r="R32" s="271"/>
      <c r="S32" s="272"/>
      <c r="T32" s="273"/>
      <c r="U32" s="249"/>
      <c r="V32" s="271"/>
      <c r="W32" s="272"/>
      <c r="X32" s="273"/>
      <c r="Y32" s="249"/>
      <c r="Z32" s="271"/>
      <c r="AA32" s="272"/>
      <c r="AB32" s="273"/>
      <c r="AC32" s="255"/>
      <c r="AD32" s="224"/>
      <c r="AE32" s="225"/>
      <c r="AF32" s="225"/>
      <c r="AG32" s="225"/>
      <c r="AH32" s="225"/>
      <c r="AI32" s="225"/>
    </row>
    <row r="33" spans="2:31" ht="15" customHeight="1" x14ac:dyDescent="0.25">
      <c r="B33" s="216"/>
      <c r="C33" s="231"/>
      <c r="D33" s="250" t="s">
        <v>595</v>
      </c>
      <c r="E33" s="217"/>
      <c r="F33" s="251"/>
      <c r="G33" s="252">
        <v>0</v>
      </c>
      <c r="H33" s="253">
        <f>F33*G33</f>
        <v>0</v>
      </c>
      <c r="I33" s="254"/>
      <c r="J33" s="251">
        <v>1</v>
      </c>
      <c r="K33" s="252">
        <v>90000</v>
      </c>
      <c r="L33" s="253">
        <f>J33*K33</f>
        <v>90000</v>
      </c>
      <c r="M33" s="274"/>
      <c r="N33" s="251">
        <v>1</v>
      </c>
      <c r="O33" s="252">
        <f>K33*1.03</f>
        <v>92700</v>
      </c>
      <c r="P33" s="253">
        <f>N33*O33</f>
        <v>92700</v>
      </c>
      <c r="Q33" s="274"/>
      <c r="R33" s="251">
        <v>1</v>
      </c>
      <c r="S33" s="252">
        <f>O33*1.03</f>
        <v>95481</v>
      </c>
      <c r="T33" s="253">
        <f>R33*S33</f>
        <v>95481</v>
      </c>
      <c r="U33" s="274"/>
      <c r="V33" s="251">
        <v>1</v>
      </c>
      <c r="W33" s="252">
        <f>ROUND(S33*1.03,0)</f>
        <v>98345</v>
      </c>
      <c r="X33" s="253">
        <f>V33*W33</f>
        <v>98345</v>
      </c>
      <c r="Y33" s="274"/>
      <c r="Z33" s="251">
        <v>1</v>
      </c>
      <c r="AA33" s="252">
        <f>ROUND(W33*1.03,0)</f>
        <v>101295</v>
      </c>
      <c r="AB33" s="253">
        <f>Z33*AA33</f>
        <v>101295</v>
      </c>
      <c r="AC33" s="275"/>
      <c r="AD33" s="221"/>
    </row>
    <row r="34" spans="2:31" ht="15" customHeight="1" x14ac:dyDescent="0.25">
      <c r="B34" s="216"/>
      <c r="C34" s="231"/>
      <c r="D34" s="250" t="s">
        <v>596</v>
      </c>
      <c r="E34" s="217"/>
      <c r="F34" s="251"/>
      <c r="G34" s="252">
        <v>0</v>
      </c>
      <c r="H34" s="253">
        <f t="shared" ref="H34:H47" si="15">F34*G34</f>
        <v>0</v>
      </c>
      <c r="I34" s="254"/>
      <c r="J34" s="251">
        <v>0.5</v>
      </c>
      <c r="K34" s="252">
        <v>30000</v>
      </c>
      <c r="L34" s="253">
        <f t="shared" ref="L34:L47" si="16">J34*K34</f>
        <v>15000</v>
      </c>
      <c r="M34" s="274"/>
      <c r="N34" s="251">
        <v>0.5</v>
      </c>
      <c r="O34" s="252">
        <f>K34*1.03</f>
        <v>30900</v>
      </c>
      <c r="P34" s="253">
        <f t="shared" ref="P34:P47" si="17">N34*O34</f>
        <v>15450</v>
      </c>
      <c r="Q34" s="274"/>
      <c r="R34" s="251">
        <v>1</v>
      </c>
      <c r="S34" s="252">
        <f>O34*1.03</f>
        <v>31827</v>
      </c>
      <c r="T34" s="253">
        <f t="shared" ref="T34:T47" si="18">R34*S34</f>
        <v>31827</v>
      </c>
      <c r="U34" s="274"/>
      <c r="V34" s="251">
        <v>1</v>
      </c>
      <c r="W34" s="252">
        <f>ROUND(S34*1.03,0)</f>
        <v>32782</v>
      </c>
      <c r="X34" s="253">
        <f t="shared" ref="X34:X47" si="19">V34*W34</f>
        <v>32782</v>
      </c>
      <c r="Y34" s="274"/>
      <c r="Z34" s="251">
        <v>1</v>
      </c>
      <c r="AA34" s="252">
        <f>ROUND(W34*1.03,0)</f>
        <v>33765</v>
      </c>
      <c r="AB34" s="253">
        <f t="shared" ref="AB34:AB47" si="20">Z34*AA34</f>
        <v>33765</v>
      </c>
      <c r="AC34" s="275"/>
      <c r="AD34" s="221"/>
      <c r="AE34" s="214" t="s">
        <v>2</v>
      </c>
    </row>
    <row r="35" spans="2:31" ht="15" customHeight="1" x14ac:dyDescent="0.25">
      <c r="B35" s="216"/>
      <c r="C35" s="231"/>
      <c r="D35" s="256" t="s">
        <v>597</v>
      </c>
      <c r="E35" s="217"/>
      <c r="F35" s="251"/>
      <c r="G35" s="252">
        <v>0</v>
      </c>
      <c r="H35" s="253">
        <f t="shared" si="15"/>
        <v>0</v>
      </c>
      <c r="I35" s="254"/>
      <c r="J35" s="251">
        <v>0</v>
      </c>
      <c r="K35" s="252">
        <v>0</v>
      </c>
      <c r="L35" s="253">
        <f t="shared" si="16"/>
        <v>0</v>
      </c>
      <c r="M35" s="274"/>
      <c r="N35" s="251">
        <v>0</v>
      </c>
      <c r="O35" s="252">
        <v>0</v>
      </c>
      <c r="P35" s="253">
        <f t="shared" si="17"/>
        <v>0</v>
      </c>
      <c r="Q35" s="274"/>
      <c r="R35" s="251">
        <v>0</v>
      </c>
      <c r="S35" s="252">
        <v>0</v>
      </c>
      <c r="T35" s="253">
        <f t="shared" si="18"/>
        <v>0</v>
      </c>
      <c r="U35" s="274"/>
      <c r="V35" s="251">
        <v>0</v>
      </c>
      <c r="W35" s="252">
        <v>0</v>
      </c>
      <c r="X35" s="253">
        <f t="shared" si="19"/>
        <v>0</v>
      </c>
      <c r="Y35" s="274"/>
      <c r="Z35" s="251">
        <v>0</v>
      </c>
      <c r="AA35" s="252">
        <v>0</v>
      </c>
      <c r="AB35" s="253">
        <f t="shared" si="20"/>
        <v>0</v>
      </c>
      <c r="AC35" s="275"/>
      <c r="AD35" s="221"/>
    </row>
    <row r="36" spans="2:31" ht="15" customHeight="1" x14ac:dyDescent="0.25">
      <c r="B36" s="216"/>
      <c r="C36" s="231"/>
      <c r="D36" s="276" t="s">
        <v>598</v>
      </c>
      <c r="E36" s="277"/>
      <c r="F36" s="251"/>
      <c r="G36" s="252">
        <v>0</v>
      </c>
      <c r="H36" s="253">
        <f t="shared" si="15"/>
        <v>0</v>
      </c>
      <c r="I36" s="254"/>
      <c r="J36" s="251">
        <v>0</v>
      </c>
      <c r="K36" s="252">
        <v>0</v>
      </c>
      <c r="L36" s="253">
        <f t="shared" si="16"/>
        <v>0</v>
      </c>
      <c r="M36" s="274"/>
      <c r="N36" s="251">
        <v>0</v>
      </c>
      <c r="O36" s="252">
        <v>0</v>
      </c>
      <c r="P36" s="253">
        <f t="shared" si="17"/>
        <v>0</v>
      </c>
      <c r="Q36" s="274"/>
      <c r="R36" s="251">
        <v>0</v>
      </c>
      <c r="S36" s="252">
        <v>0</v>
      </c>
      <c r="T36" s="253">
        <f t="shared" si="18"/>
        <v>0</v>
      </c>
      <c r="U36" s="274"/>
      <c r="V36" s="251">
        <v>0</v>
      </c>
      <c r="W36" s="252"/>
      <c r="X36" s="253">
        <f t="shared" si="19"/>
        <v>0</v>
      </c>
      <c r="Y36" s="274"/>
      <c r="Z36" s="251">
        <v>1</v>
      </c>
      <c r="AA36" s="252">
        <v>75000</v>
      </c>
      <c r="AB36" s="253">
        <f t="shared" si="20"/>
        <v>75000</v>
      </c>
      <c r="AC36" s="275" t="s">
        <v>2</v>
      </c>
      <c r="AD36" s="221"/>
    </row>
    <row r="37" spans="2:31" ht="15" customHeight="1" x14ac:dyDescent="0.25">
      <c r="B37" s="216"/>
      <c r="C37" s="231"/>
      <c r="D37" s="276" t="s">
        <v>27</v>
      </c>
      <c r="E37" s="277"/>
      <c r="F37" s="251"/>
      <c r="G37" s="252">
        <v>0</v>
      </c>
      <c r="H37" s="253">
        <f t="shared" ref="H37:H42" si="21">F37*G37</f>
        <v>0</v>
      </c>
      <c r="I37" s="254"/>
      <c r="J37" s="251">
        <v>0.2</v>
      </c>
      <c r="K37" s="252">
        <v>50000</v>
      </c>
      <c r="L37" s="253">
        <f t="shared" ref="L37:L42" si="22">J37*K37</f>
        <v>10000</v>
      </c>
      <c r="M37" s="274"/>
      <c r="N37" s="251">
        <v>0.3</v>
      </c>
      <c r="O37" s="252">
        <f>K37*1.03</f>
        <v>51500</v>
      </c>
      <c r="P37" s="253">
        <f t="shared" ref="P37:P42" si="23">N37*O37</f>
        <v>15450</v>
      </c>
      <c r="Q37" s="274"/>
      <c r="R37" s="251">
        <v>0.4</v>
      </c>
      <c r="S37" s="252">
        <f>O37*1.03</f>
        <v>53045</v>
      </c>
      <c r="T37" s="253">
        <f t="shared" ref="T37:T42" si="24">R37*S37</f>
        <v>21218</v>
      </c>
      <c r="U37" s="274"/>
      <c r="V37" s="251">
        <v>0.4</v>
      </c>
      <c r="W37" s="252">
        <f>S37*1.03</f>
        <v>54636.35</v>
      </c>
      <c r="X37" s="253">
        <f t="shared" ref="X37:X42" si="25">V37*W37</f>
        <v>21854.54</v>
      </c>
      <c r="Y37" s="274"/>
      <c r="Z37" s="251">
        <v>0.5</v>
      </c>
      <c r="AA37" s="252">
        <f>W37*1.03</f>
        <v>56275.440499999997</v>
      </c>
      <c r="AB37" s="253">
        <f t="shared" ref="AB37:AB42" si="26">Z37*AA37</f>
        <v>28137.720249999998</v>
      </c>
      <c r="AC37" s="275"/>
      <c r="AD37" s="221"/>
    </row>
    <row r="38" spans="2:31" ht="15" customHeight="1" x14ac:dyDescent="0.25">
      <c r="B38" s="216"/>
      <c r="C38" s="231"/>
      <c r="D38" s="276" t="s">
        <v>600</v>
      </c>
      <c r="E38" s="277"/>
      <c r="F38" s="251"/>
      <c r="G38" s="252">
        <v>0</v>
      </c>
      <c r="H38" s="253">
        <f t="shared" si="21"/>
        <v>0</v>
      </c>
      <c r="I38" s="254"/>
      <c r="J38" s="251">
        <v>0.3</v>
      </c>
      <c r="K38" s="252">
        <v>70000</v>
      </c>
      <c r="L38" s="253">
        <f t="shared" si="22"/>
        <v>21000</v>
      </c>
      <c r="M38" s="274"/>
      <c r="N38" s="251">
        <v>0.6</v>
      </c>
      <c r="O38" s="252">
        <f t="shared" ref="O38:O39" si="27">K38*1.03</f>
        <v>72100</v>
      </c>
      <c r="P38" s="253">
        <f t="shared" si="23"/>
        <v>43260</v>
      </c>
      <c r="Q38" s="274"/>
      <c r="R38" s="251">
        <v>0.8</v>
      </c>
      <c r="S38" s="252">
        <f t="shared" ref="S38:S39" si="28">O38*1.03</f>
        <v>74263</v>
      </c>
      <c r="T38" s="253">
        <f t="shared" si="24"/>
        <v>59410.400000000001</v>
      </c>
      <c r="U38" s="274"/>
      <c r="V38" s="251">
        <v>1</v>
      </c>
      <c r="W38" s="252">
        <f t="shared" ref="W38:W39" si="29">S38*1.03</f>
        <v>76490.89</v>
      </c>
      <c r="X38" s="253">
        <f t="shared" si="25"/>
        <v>76490.89</v>
      </c>
      <c r="Y38" s="274"/>
      <c r="Z38" s="251">
        <v>1</v>
      </c>
      <c r="AA38" s="252">
        <f t="shared" ref="AA38:AA39" si="30">W38*1.03</f>
        <v>78785.616699999999</v>
      </c>
      <c r="AB38" s="253">
        <f t="shared" si="26"/>
        <v>78785.616699999999</v>
      </c>
      <c r="AC38" s="275"/>
      <c r="AD38" s="221"/>
    </row>
    <row r="39" spans="2:31" ht="15" customHeight="1" x14ac:dyDescent="0.25">
      <c r="B39" s="216"/>
      <c r="C39" s="231"/>
      <c r="D39" s="276" t="s">
        <v>498</v>
      </c>
      <c r="E39" s="277"/>
      <c r="F39" s="251"/>
      <c r="G39" s="252">
        <v>0</v>
      </c>
      <c r="H39" s="253">
        <f t="shared" si="21"/>
        <v>0</v>
      </c>
      <c r="I39" s="254"/>
      <c r="J39" s="251">
        <v>0.1</v>
      </c>
      <c r="K39" s="252">
        <v>60000</v>
      </c>
      <c r="L39" s="253">
        <f t="shared" si="22"/>
        <v>6000</v>
      </c>
      <c r="M39" s="274"/>
      <c r="N39" s="251">
        <v>0.2</v>
      </c>
      <c r="O39" s="252">
        <f t="shared" si="27"/>
        <v>61800</v>
      </c>
      <c r="P39" s="253">
        <f t="shared" si="23"/>
        <v>12360</v>
      </c>
      <c r="Q39" s="274"/>
      <c r="R39" s="251">
        <v>0.3</v>
      </c>
      <c r="S39" s="252">
        <f t="shared" si="28"/>
        <v>63654</v>
      </c>
      <c r="T39" s="253">
        <f t="shared" si="24"/>
        <v>19096.2</v>
      </c>
      <c r="U39" s="274"/>
      <c r="V39" s="251">
        <v>0.3</v>
      </c>
      <c r="W39" s="252">
        <f t="shared" si="29"/>
        <v>65563.62</v>
      </c>
      <c r="X39" s="253">
        <f t="shared" si="25"/>
        <v>19669.085999999999</v>
      </c>
      <c r="Y39" s="274"/>
      <c r="Z39" s="251">
        <v>0.4</v>
      </c>
      <c r="AA39" s="252">
        <f t="shared" si="30"/>
        <v>67530.528599999991</v>
      </c>
      <c r="AB39" s="253">
        <f t="shared" si="26"/>
        <v>27012.211439999999</v>
      </c>
      <c r="AC39" s="275"/>
      <c r="AD39" s="221"/>
    </row>
    <row r="40" spans="2:31" ht="15" customHeight="1" x14ac:dyDescent="0.25">
      <c r="B40" s="216"/>
      <c r="C40" s="231"/>
      <c r="D40" s="276"/>
      <c r="E40" s="277"/>
      <c r="F40" s="251"/>
      <c r="G40" s="252">
        <v>0</v>
      </c>
      <c r="H40" s="253">
        <f t="shared" si="21"/>
        <v>0</v>
      </c>
      <c r="I40" s="254"/>
      <c r="J40" s="251"/>
      <c r="K40" s="252">
        <v>0</v>
      </c>
      <c r="L40" s="253">
        <f t="shared" si="22"/>
        <v>0</v>
      </c>
      <c r="M40" s="274"/>
      <c r="N40" s="251"/>
      <c r="O40" s="252">
        <v>0</v>
      </c>
      <c r="P40" s="253">
        <f t="shared" si="23"/>
        <v>0</v>
      </c>
      <c r="Q40" s="274"/>
      <c r="R40" s="251"/>
      <c r="S40" s="252">
        <v>0</v>
      </c>
      <c r="T40" s="253">
        <f t="shared" si="24"/>
        <v>0</v>
      </c>
      <c r="U40" s="274"/>
      <c r="V40" s="251"/>
      <c r="W40" s="252">
        <v>0</v>
      </c>
      <c r="X40" s="253">
        <f t="shared" si="25"/>
        <v>0</v>
      </c>
      <c r="Y40" s="274"/>
      <c r="Z40" s="251"/>
      <c r="AA40" s="252">
        <v>0</v>
      </c>
      <c r="AB40" s="253">
        <f t="shared" si="26"/>
        <v>0</v>
      </c>
      <c r="AC40" s="275"/>
      <c r="AD40" s="221"/>
    </row>
    <row r="41" spans="2:31" ht="15" customHeight="1" x14ac:dyDescent="0.25">
      <c r="B41" s="216"/>
      <c r="C41" s="231"/>
      <c r="D41" s="276"/>
      <c r="E41" s="277"/>
      <c r="F41" s="251"/>
      <c r="G41" s="252">
        <v>0</v>
      </c>
      <c r="H41" s="253">
        <f t="shared" si="21"/>
        <v>0</v>
      </c>
      <c r="I41" s="254"/>
      <c r="J41" s="251"/>
      <c r="K41" s="252">
        <v>0</v>
      </c>
      <c r="L41" s="253">
        <f t="shared" si="22"/>
        <v>0</v>
      </c>
      <c r="M41" s="274"/>
      <c r="N41" s="251"/>
      <c r="O41" s="252">
        <v>0</v>
      </c>
      <c r="P41" s="253">
        <f t="shared" si="23"/>
        <v>0</v>
      </c>
      <c r="Q41" s="274"/>
      <c r="R41" s="251"/>
      <c r="S41" s="252">
        <v>0</v>
      </c>
      <c r="T41" s="253">
        <f t="shared" si="24"/>
        <v>0</v>
      </c>
      <c r="U41" s="274"/>
      <c r="V41" s="251"/>
      <c r="W41" s="252">
        <v>0</v>
      </c>
      <c r="X41" s="253">
        <f t="shared" si="25"/>
        <v>0</v>
      </c>
      <c r="Y41" s="274"/>
      <c r="Z41" s="251"/>
      <c r="AA41" s="252">
        <v>0</v>
      </c>
      <c r="AB41" s="253">
        <f t="shared" si="26"/>
        <v>0</v>
      </c>
      <c r="AC41" s="275"/>
      <c r="AD41" s="221"/>
    </row>
    <row r="42" spans="2:31" ht="15" customHeight="1" x14ac:dyDescent="0.25">
      <c r="B42" s="216"/>
      <c r="C42" s="231"/>
      <c r="D42" s="276"/>
      <c r="E42" s="277"/>
      <c r="F42" s="251"/>
      <c r="G42" s="252">
        <v>0</v>
      </c>
      <c r="H42" s="253">
        <f t="shared" si="21"/>
        <v>0</v>
      </c>
      <c r="I42" s="254"/>
      <c r="J42" s="251"/>
      <c r="K42" s="252">
        <v>0</v>
      </c>
      <c r="L42" s="253">
        <f t="shared" si="22"/>
        <v>0</v>
      </c>
      <c r="M42" s="274"/>
      <c r="N42" s="251"/>
      <c r="O42" s="252">
        <v>0</v>
      </c>
      <c r="P42" s="253">
        <f t="shared" si="23"/>
        <v>0</v>
      </c>
      <c r="Q42" s="274"/>
      <c r="R42" s="251"/>
      <c r="S42" s="252">
        <v>0</v>
      </c>
      <c r="T42" s="253">
        <f t="shared" si="24"/>
        <v>0</v>
      </c>
      <c r="U42" s="274"/>
      <c r="V42" s="251"/>
      <c r="W42" s="252">
        <v>0</v>
      </c>
      <c r="X42" s="253">
        <f t="shared" si="25"/>
        <v>0</v>
      </c>
      <c r="Y42" s="274"/>
      <c r="Z42" s="251"/>
      <c r="AA42" s="252">
        <v>0</v>
      </c>
      <c r="AB42" s="253">
        <f t="shared" si="26"/>
        <v>0</v>
      </c>
      <c r="AC42" s="275"/>
      <c r="AD42" s="221"/>
    </row>
    <row r="43" spans="2:31" ht="15" customHeight="1" x14ac:dyDescent="0.25">
      <c r="B43" s="216"/>
      <c r="C43" s="231"/>
      <c r="D43" s="256"/>
      <c r="E43" s="217"/>
      <c r="F43" s="251"/>
      <c r="G43" s="252">
        <v>0</v>
      </c>
      <c r="H43" s="253">
        <f t="shared" si="15"/>
        <v>0</v>
      </c>
      <c r="I43" s="254"/>
      <c r="J43" s="251"/>
      <c r="K43" s="252">
        <v>0</v>
      </c>
      <c r="L43" s="253">
        <f t="shared" si="16"/>
        <v>0</v>
      </c>
      <c r="M43" s="274"/>
      <c r="N43" s="251"/>
      <c r="O43" s="252">
        <v>0</v>
      </c>
      <c r="P43" s="253">
        <f t="shared" si="17"/>
        <v>0</v>
      </c>
      <c r="Q43" s="274"/>
      <c r="R43" s="251"/>
      <c r="S43" s="252">
        <v>0</v>
      </c>
      <c r="T43" s="253">
        <f t="shared" si="18"/>
        <v>0</v>
      </c>
      <c r="U43" s="274"/>
      <c r="V43" s="251"/>
      <c r="W43" s="252">
        <v>0</v>
      </c>
      <c r="X43" s="253">
        <f t="shared" si="19"/>
        <v>0</v>
      </c>
      <c r="Y43" s="274"/>
      <c r="Z43" s="251"/>
      <c r="AA43" s="252">
        <v>0</v>
      </c>
      <c r="AB43" s="253">
        <f t="shared" si="20"/>
        <v>0</v>
      </c>
      <c r="AC43" s="275"/>
      <c r="AD43" s="221"/>
    </row>
    <row r="44" spans="2:31" ht="15" customHeight="1" x14ac:dyDescent="0.25">
      <c r="B44" s="216"/>
      <c r="C44" s="231"/>
      <c r="D44" s="256"/>
      <c r="E44" s="217"/>
      <c r="F44" s="251"/>
      <c r="G44" s="252">
        <v>0</v>
      </c>
      <c r="H44" s="253">
        <f t="shared" si="15"/>
        <v>0</v>
      </c>
      <c r="I44" s="254"/>
      <c r="J44" s="251"/>
      <c r="K44" s="252">
        <v>0</v>
      </c>
      <c r="L44" s="253">
        <f t="shared" si="16"/>
        <v>0</v>
      </c>
      <c r="M44" s="274"/>
      <c r="N44" s="251"/>
      <c r="O44" s="252">
        <v>0</v>
      </c>
      <c r="P44" s="253">
        <f t="shared" si="17"/>
        <v>0</v>
      </c>
      <c r="Q44" s="274"/>
      <c r="R44" s="251"/>
      <c r="S44" s="252">
        <v>0</v>
      </c>
      <c r="T44" s="253">
        <f t="shared" si="18"/>
        <v>0</v>
      </c>
      <c r="U44" s="274"/>
      <c r="V44" s="251"/>
      <c r="W44" s="252">
        <v>0</v>
      </c>
      <c r="X44" s="253">
        <f t="shared" si="19"/>
        <v>0</v>
      </c>
      <c r="Y44" s="274"/>
      <c r="Z44" s="251"/>
      <c r="AA44" s="252">
        <v>0</v>
      </c>
      <c r="AB44" s="253">
        <f t="shared" si="20"/>
        <v>0</v>
      </c>
      <c r="AC44" s="275"/>
      <c r="AD44" s="221"/>
    </row>
    <row r="45" spans="2:31" ht="15" customHeight="1" x14ac:dyDescent="0.25">
      <c r="B45" s="216"/>
      <c r="C45" s="231"/>
      <c r="D45" s="256"/>
      <c r="E45" s="217"/>
      <c r="F45" s="251"/>
      <c r="G45" s="252">
        <v>0</v>
      </c>
      <c r="H45" s="253">
        <f t="shared" si="15"/>
        <v>0</v>
      </c>
      <c r="I45" s="254"/>
      <c r="J45" s="251"/>
      <c r="K45" s="252">
        <v>0</v>
      </c>
      <c r="L45" s="253">
        <f t="shared" si="16"/>
        <v>0</v>
      </c>
      <c r="M45" s="274"/>
      <c r="N45" s="251"/>
      <c r="O45" s="252">
        <v>0</v>
      </c>
      <c r="P45" s="253">
        <f t="shared" si="17"/>
        <v>0</v>
      </c>
      <c r="Q45" s="274"/>
      <c r="R45" s="251"/>
      <c r="S45" s="252">
        <v>0</v>
      </c>
      <c r="T45" s="253">
        <f t="shared" si="18"/>
        <v>0</v>
      </c>
      <c r="U45" s="274"/>
      <c r="V45" s="251"/>
      <c r="W45" s="252">
        <v>0</v>
      </c>
      <c r="X45" s="253">
        <f t="shared" si="19"/>
        <v>0</v>
      </c>
      <c r="Y45" s="274"/>
      <c r="Z45" s="251"/>
      <c r="AA45" s="252">
        <v>0</v>
      </c>
      <c r="AB45" s="253">
        <f t="shared" si="20"/>
        <v>0</v>
      </c>
      <c r="AC45" s="275"/>
      <c r="AD45" s="221"/>
    </row>
    <row r="46" spans="2:31" ht="15" customHeight="1" x14ac:dyDescent="0.25">
      <c r="B46" s="216"/>
      <c r="C46" s="231"/>
      <c r="D46" s="256"/>
      <c r="E46" s="217"/>
      <c r="F46" s="251"/>
      <c r="G46" s="252">
        <v>0</v>
      </c>
      <c r="H46" s="253">
        <f t="shared" si="15"/>
        <v>0</v>
      </c>
      <c r="I46" s="254"/>
      <c r="J46" s="251"/>
      <c r="K46" s="252">
        <v>0</v>
      </c>
      <c r="L46" s="253">
        <f t="shared" si="16"/>
        <v>0</v>
      </c>
      <c r="M46" s="274"/>
      <c r="N46" s="251"/>
      <c r="O46" s="252">
        <v>0</v>
      </c>
      <c r="P46" s="253">
        <f t="shared" si="17"/>
        <v>0</v>
      </c>
      <c r="Q46" s="274"/>
      <c r="R46" s="251"/>
      <c r="S46" s="252">
        <v>0</v>
      </c>
      <c r="T46" s="253">
        <f t="shared" si="18"/>
        <v>0</v>
      </c>
      <c r="U46" s="274"/>
      <c r="V46" s="251"/>
      <c r="W46" s="252">
        <v>0</v>
      </c>
      <c r="X46" s="253">
        <f t="shared" si="19"/>
        <v>0</v>
      </c>
      <c r="Y46" s="274"/>
      <c r="Z46" s="251"/>
      <c r="AA46" s="252">
        <v>0</v>
      </c>
      <c r="AB46" s="253">
        <f t="shared" si="20"/>
        <v>0</v>
      </c>
      <c r="AC46" s="275"/>
      <c r="AD46" s="221"/>
    </row>
    <row r="47" spans="2:31" ht="15" customHeight="1" x14ac:dyDescent="0.25">
      <c r="B47" s="216"/>
      <c r="C47" s="231"/>
      <c r="D47" s="256"/>
      <c r="E47" s="217"/>
      <c r="F47" s="251"/>
      <c r="G47" s="252">
        <v>0</v>
      </c>
      <c r="H47" s="253">
        <f t="shared" si="15"/>
        <v>0</v>
      </c>
      <c r="I47" s="254"/>
      <c r="J47" s="251"/>
      <c r="K47" s="252">
        <v>0</v>
      </c>
      <c r="L47" s="253">
        <f t="shared" si="16"/>
        <v>0</v>
      </c>
      <c r="M47" s="274"/>
      <c r="N47" s="251"/>
      <c r="O47" s="252">
        <v>0</v>
      </c>
      <c r="P47" s="253">
        <f t="shared" si="17"/>
        <v>0</v>
      </c>
      <c r="Q47" s="274"/>
      <c r="R47" s="251"/>
      <c r="S47" s="252">
        <v>0</v>
      </c>
      <c r="T47" s="253">
        <f t="shared" si="18"/>
        <v>0</v>
      </c>
      <c r="U47" s="274"/>
      <c r="V47" s="251"/>
      <c r="W47" s="252">
        <v>0</v>
      </c>
      <c r="X47" s="253">
        <f t="shared" si="19"/>
        <v>0</v>
      </c>
      <c r="Y47" s="274"/>
      <c r="Z47" s="251"/>
      <c r="AA47" s="252">
        <v>0</v>
      </c>
      <c r="AB47" s="253">
        <f t="shared" si="20"/>
        <v>0</v>
      </c>
      <c r="AC47" s="275"/>
      <c r="AD47" s="221"/>
    </row>
    <row r="48" spans="2:31" ht="15" customHeight="1" x14ac:dyDescent="0.25">
      <c r="B48" s="216"/>
      <c r="C48" s="231"/>
      <c r="D48" s="259" t="s">
        <v>110</v>
      </c>
      <c r="E48" s="218"/>
      <c r="F48" s="260">
        <f>SUM(F33:F47)</f>
        <v>0</v>
      </c>
      <c r="G48" s="261"/>
      <c r="H48" s="262">
        <f>SUM(H33:H47)</f>
        <v>0</v>
      </c>
      <c r="I48" s="263"/>
      <c r="J48" s="260">
        <f>SUM(J33:J47)</f>
        <v>2.1</v>
      </c>
      <c r="K48" s="261"/>
      <c r="L48" s="262">
        <f>SUM(L33:L47)</f>
        <v>142000</v>
      </c>
      <c r="M48" s="278"/>
      <c r="N48" s="260">
        <f>SUM(N33:N47)</f>
        <v>2.6</v>
      </c>
      <c r="O48" s="261"/>
      <c r="P48" s="262">
        <f>SUM(P33:P47)</f>
        <v>179220</v>
      </c>
      <c r="Q48" s="278"/>
      <c r="R48" s="260">
        <f>SUM(R33:R47)</f>
        <v>3.5</v>
      </c>
      <c r="S48" s="261"/>
      <c r="T48" s="262">
        <f>SUM(T33:T47)</f>
        <v>227032.6</v>
      </c>
      <c r="U48" s="278"/>
      <c r="V48" s="260">
        <f>SUM(V33:V47)</f>
        <v>3.6999999999999997</v>
      </c>
      <c r="W48" s="261"/>
      <c r="X48" s="262">
        <f>SUM(X33:X47)</f>
        <v>249141.516</v>
      </c>
      <c r="Y48" s="278"/>
      <c r="Z48" s="260">
        <f>SUM(Z33:Z47)</f>
        <v>4.9000000000000004</v>
      </c>
      <c r="AA48" s="261"/>
      <c r="AB48" s="262">
        <f>SUM(AB33:AB47)</f>
        <v>343995.54839000001</v>
      </c>
      <c r="AC48" s="275"/>
      <c r="AD48" s="221"/>
    </row>
    <row r="49" spans="1:48" ht="15" customHeight="1" x14ac:dyDescent="0.25">
      <c r="B49" s="216"/>
      <c r="C49" s="231"/>
      <c r="D49" s="279"/>
      <c r="E49" s="218"/>
      <c r="F49" s="280"/>
      <c r="G49" s="281"/>
      <c r="H49" s="282"/>
      <c r="I49" s="263"/>
      <c r="J49" s="280"/>
      <c r="K49" s="283"/>
      <c r="L49" s="284"/>
      <c r="M49" s="278"/>
      <c r="N49" s="280"/>
      <c r="O49" s="283"/>
      <c r="P49" s="284"/>
      <c r="Q49" s="278"/>
      <c r="R49" s="280"/>
      <c r="S49" s="283"/>
      <c r="T49" s="284"/>
      <c r="U49" s="278"/>
      <c r="V49" s="280"/>
      <c r="W49" s="283"/>
      <c r="X49" s="284"/>
      <c r="Y49" s="278"/>
      <c r="Z49" s="280"/>
      <c r="AA49" s="254"/>
      <c r="AB49" s="285"/>
      <c r="AC49" s="275"/>
      <c r="AD49" s="221"/>
    </row>
    <row r="50" spans="1:48" ht="43.5" customHeight="1" x14ac:dyDescent="0.25">
      <c r="B50" s="216"/>
      <c r="C50" s="231"/>
      <c r="D50" s="286"/>
      <c r="E50" s="232"/>
      <c r="F50" s="287"/>
      <c r="G50" s="237" t="s">
        <v>108</v>
      </c>
      <c r="H50" s="238" t="s">
        <v>102</v>
      </c>
      <c r="I50" s="239"/>
      <c r="J50" s="287"/>
      <c r="K50" s="237" t="s">
        <v>108</v>
      </c>
      <c r="L50" s="238" t="s">
        <v>102</v>
      </c>
      <c r="M50" s="239"/>
      <c r="N50" s="287"/>
      <c r="O50" s="237" t="s">
        <v>108</v>
      </c>
      <c r="P50" s="238" t="s">
        <v>102</v>
      </c>
      <c r="Q50" s="239"/>
      <c r="R50" s="287"/>
      <c r="S50" s="288" t="s">
        <v>108</v>
      </c>
      <c r="T50" s="238" t="s">
        <v>102</v>
      </c>
      <c r="U50" s="239"/>
      <c r="V50" s="287"/>
      <c r="W50" s="237" t="s">
        <v>108</v>
      </c>
      <c r="X50" s="238" t="s">
        <v>102</v>
      </c>
      <c r="Y50" s="239"/>
      <c r="Z50" s="287"/>
      <c r="AA50" s="238" t="s">
        <v>108</v>
      </c>
      <c r="AB50" s="238" t="s">
        <v>102</v>
      </c>
      <c r="AC50" s="233"/>
      <c r="AD50" s="234"/>
      <c r="AE50" s="289"/>
      <c r="AF50" s="289"/>
      <c r="AG50" s="289"/>
      <c r="AH50" s="289"/>
      <c r="AI50" s="289"/>
    </row>
    <row r="51" spans="1:48" ht="15" customHeight="1" x14ac:dyDescent="0.25">
      <c r="B51" s="216"/>
      <c r="C51" s="231"/>
      <c r="D51" s="240" t="s">
        <v>107</v>
      </c>
      <c r="E51" s="241"/>
      <c r="F51" s="290"/>
      <c r="G51" s="291"/>
      <c r="H51" s="292"/>
      <c r="I51" s="293"/>
      <c r="J51" s="294"/>
      <c r="K51" s="295"/>
      <c r="L51" s="296"/>
      <c r="M51" s="17"/>
      <c r="N51" s="294"/>
      <c r="O51" s="295"/>
      <c r="P51" s="296"/>
      <c r="Q51" s="17"/>
      <c r="R51" s="294"/>
      <c r="S51" s="295"/>
      <c r="T51" s="296"/>
      <c r="U51" s="17"/>
      <c r="V51" s="294"/>
      <c r="W51" s="295"/>
      <c r="X51" s="296"/>
      <c r="Y51" s="17"/>
      <c r="Z51" s="294"/>
      <c r="AA51" s="17"/>
      <c r="AB51" s="297"/>
      <c r="AC51" s="275"/>
      <c r="AD51" s="221"/>
      <c r="AE51" s="211"/>
      <c r="AF51" s="211"/>
      <c r="AG51" s="211"/>
      <c r="AH51" s="211"/>
      <c r="AI51" s="211"/>
    </row>
    <row r="52" spans="1:48" s="210" customFormat="1" ht="15" customHeight="1" x14ac:dyDescent="0.25">
      <c r="B52" s="216"/>
      <c r="C52" s="231"/>
      <c r="D52" s="298" t="s">
        <v>438</v>
      </c>
      <c r="E52" s="217"/>
      <c r="F52" s="299"/>
      <c r="G52" s="300">
        <v>0</v>
      </c>
      <c r="H52" s="253">
        <f>G52*($F$30+$F$48)</f>
        <v>0</v>
      </c>
      <c r="I52" s="254"/>
      <c r="J52" s="301"/>
      <c r="K52" s="300">
        <v>2500</v>
      </c>
      <c r="L52" s="253">
        <f>K52*($J$30+$J$48)</f>
        <v>20250</v>
      </c>
      <c r="M52" s="254"/>
      <c r="N52" s="301"/>
      <c r="O52" s="300">
        <v>2500</v>
      </c>
      <c r="P52" s="253">
        <f>O52*($N$30+$N$48)</f>
        <v>26500</v>
      </c>
      <c r="Q52" s="254"/>
      <c r="R52" s="301"/>
      <c r="S52" s="300">
        <v>2500</v>
      </c>
      <c r="T52" s="253">
        <f>S52*($R$30+$R$48)</f>
        <v>41250</v>
      </c>
      <c r="U52" s="254"/>
      <c r="V52" s="301"/>
      <c r="W52" s="300">
        <v>2000</v>
      </c>
      <c r="X52" s="253">
        <f>W52*($V$30+$V$48)</f>
        <v>41400</v>
      </c>
      <c r="Y52" s="254"/>
      <c r="Z52" s="301"/>
      <c r="AA52" s="300">
        <v>2000</v>
      </c>
      <c r="AB52" s="253">
        <f>AA52*($Z$30+$Z$48)</f>
        <v>47800</v>
      </c>
      <c r="AC52" s="275"/>
      <c r="AD52" s="221"/>
      <c r="AE52" s="211"/>
      <c r="AF52" s="211"/>
      <c r="AG52" s="211"/>
      <c r="AH52" s="211"/>
      <c r="AI52" s="211"/>
      <c r="AJ52" s="211"/>
      <c r="AK52" s="211"/>
      <c r="AL52" s="211"/>
      <c r="AM52" s="211"/>
      <c r="AN52" s="211"/>
      <c r="AO52" s="211"/>
      <c r="AP52" s="211"/>
      <c r="AQ52" s="211"/>
      <c r="AR52" s="211"/>
      <c r="AS52" s="211"/>
      <c r="AT52" s="211"/>
      <c r="AU52" s="211"/>
      <c r="AV52" s="211"/>
    </row>
    <row r="53" spans="1:48" s="210" customFormat="1" ht="15" customHeight="1" x14ac:dyDescent="0.25">
      <c r="B53" s="216"/>
      <c r="C53" s="231"/>
      <c r="D53" s="302" t="s">
        <v>501</v>
      </c>
      <c r="E53" s="217"/>
      <c r="F53" s="299"/>
      <c r="G53" s="300">
        <v>0</v>
      </c>
      <c r="H53" s="253">
        <f>G53*($F$30+$F$48)</f>
        <v>0</v>
      </c>
      <c r="I53" s="254"/>
      <c r="J53" s="301"/>
      <c r="K53" s="300">
        <v>2500</v>
      </c>
      <c r="L53" s="253">
        <f>K53*($J$30+$J$48)</f>
        <v>20250</v>
      </c>
      <c r="M53" s="254"/>
      <c r="N53" s="301"/>
      <c r="O53" s="300">
        <v>2500</v>
      </c>
      <c r="P53" s="253">
        <f>O53*($N$30+$N$48)</f>
        <v>26500</v>
      </c>
      <c r="Q53" s="254"/>
      <c r="R53" s="301"/>
      <c r="S53" s="300">
        <v>2500</v>
      </c>
      <c r="T53" s="253">
        <f>S53*($R$30+$R$48)</f>
        <v>41250</v>
      </c>
      <c r="U53" s="254"/>
      <c r="V53" s="301"/>
      <c r="W53" s="300">
        <v>2500</v>
      </c>
      <c r="X53" s="253">
        <f>W53*($V$30+$V$48)</f>
        <v>51750</v>
      </c>
      <c r="Y53" s="254"/>
      <c r="Z53" s="301"/>
      <c r="AA53" s="300">
        <v>2500</v>
      </c>
      <c r="AB53" s="253">
        <f>AA53*($Z$30+$Z$48)</f>
        <v>59750</v>
      </c>
      <c r="AC53" s="275"/>
      <c r="AD53" s="221"/>
      <c r="AE53" s="211"/>
      <c r="AF53" s="211"/>
      <c r="AG53" s="211"/>
      <c r="AH53" s="211"/>
      <c r="AI53" s="211"/>
      <c r="AJ53" s="211"/>
      <c r="AK53" s="211"/>
      <c r="AL53" s="211"/>
      <c r="AM53" s="211"/>
      <c r="AN53" s="211"/>
      <c r="AO53" s="211"/>
      <c r="AP53" s="211"/>
      <c r="AQ53" s="211"/>
      <c r="AR53" s="211"/>
      <c r="AS53" s="211"/>
      <c r="AT53" s="211"/>
      <c r="AU53" s="211"/>
      <c r="AV53" s="211"/>
    </row>
    <row r="54" spans="1:48" s="210" customFormat="1" ht="15" customHeight="1" x14ac:dyDescent="0.25">
      <c r="B54" s="216"/>
      <c r="C54" s="231"/>
      <c r="D54" s="302" t="s">
        <v>502</v>
      </c>
      <c r="E54" s="217"/>
      <c r="F54" s="299"/>
      <c r="G54" s="303">
        <v>6.2E-2</v>
      </c>
      <c r="H54" s="253">
        <f>G54*($H$30+$H$48)</f>
        <v>0</v>
      </c>
      <c r="I54" s="254"/>
      <c r="J54" s="301"/>
      <c r="K54" s="303">
        <v>6.2E-2</v>
      </c>
      <c r="L54" s="253">
        <f>K54*($L$30+$L$48)</f>
        <v>27094</v>
      </c>
      <c r="M54" s="254"/>
      <c r="N54" s="301"/>
      <c r="O54" s="303">
        <v>6.2E-2</v>
      </c>
      <c r="P54" s="253">
        <f>O54*($P$30+$P$48)</f>
        <v>36336.339999999997</v>
      </c>
      <c r="Q54" s="254"/>
      <c r="R54" s="301"/>
      <c r="S54" s="304">
        <v>6.2E-2</v>
      </c>
      <c r="T54" s="253">
        <f>S54*($T$30+$T$48)</f>
        <v>56172.533199999998</v>
      </c>
      <c r="U54" s="254"/>
      <c r="V54" s="301"/>
      <c r="W54" s="303">
        <v>6.2E-2</v>
      </c>
      <c r="X54" s="253">
        <f>W54*($X$30+$X$48)</f>
        <v>72016.999991999997</v>
      </c>
      <c r="Y54" s="254"/>
      <c r="Z54" s="301"/>
      <c r="AA54" s="303">
        <v>6.2E-2</v>
      </c>
      <c r="AB54" s="253">
        <f>AA54*($AB$30+$AB$48)</f>
        <v>86573.087340179991</v>
      </c>
      <c r="AC54" s="275"/>
      <c r="AD54" s="221"/>
      <c r="AE54" s="211"/>
      <c r="AF54" s="211"/>
      <c r="AG54" s="211"/>
      <c r="AH54" s="211"/>
      <c r="AI54" s="211"/>
      <c r="AJ54" s="211"/>
      <c r="AK54" s="211"/>
      <c r="AL54" s="211"/>
      <c r="AM54" s="211"/>
      <c r="AN54" s="211"/>
      <c r="AO54" s="211"/>
      <c r="AP54" s="211"/>
      <c r="AQ54" s="211"/>
      <c r="AR54" s="211"/>
      <c r="AS54" s="211"/>
      <c r="AT54" s="211"/>
      <c r="AU54" s="211"/>
      <c r="AV54" s="211"/>
    </row>
    <row r="55" spans="1:48" s="210" customFormat="1" ht="15" customHeight="1" x14ac:dyDescent="0.25">
      <c r="B55" s="216"/>
      <c r="C55" s="231"/>
      <c r="D55" s="302" t="s">
        <v>103</v>
      </c>
      <c r="E55" s="217"/>
      <c r="F55" s="299"/>
      <c r="G55" s="305">
        <v>1.4500000000000001E-2</v>
      </c>
      <c r="H55" s="253">
        <f>G55*($H$30+$H$48)</f>
        <v>0</v>
      </c>
      <c r="I55" s="254"/>
      <c r="J55" s="301"/>
      <c r="K55" s="305">
        <v>1.4500000000000001E-2</v>
      </c>
      <c r="L55" s="253">
        <f>K55*($L$30+$L$48)</f>
        <v>6336.5</v>
      </c>
      <c r="M55" s="254"/>
      <c r="N55" s="301"/>
      <c r="O55" s="305">
        <v>1.4500000000000001E-2</v>
      </c>
      <c r="P55" s="253">
        <f>O55*($P$30+$P$48)</f>
        <v>8498.0150000000012</v>
      </c>
      <c r="Q55" s="254"/>
      <c r="R55" s="301"/>
      <c r="S55" s="306">
        <v>1.4500000000000001E-2</v>
      </c>
      <c r="T55" s="253">
        <f>S55*($T$30+$T$48)</f>
        <v>13137.1247</v>
      </c>
      <c r="U55" s="254"/>
      <c r="V55" s="301"/>
      <c r="W55" s="305">
        <v>1.4500000000000001E-2</v>
      </c>
      <c r="X55" s="253">
        <f>W55*($X$30+$X$48)</f>
        <v>16842.685482000001</v>
      </c>
      <c r="Y55" s="254"/>
      <c r="Z55" s="301"/>
      <c r="AA55" s="305">
        <v>1.4500000000000001E-2</v>
      </c>
      <c r="AB55" s="253">
        <f>AA55*($AB$30+$AB$48)</f>
        <v>20246.931716654999</v>
      </c>
      <c r="AC55" s="275"/>
      <c r="AD55" s="221"/>
      <c r="AE55" s="211"/>
      <c r="AF55" s="211"/>
      <c r="AG55" s="211"/>
      <c r="AH55" s="211"/>
      <c r="AI55" s="211"/>
      <c r="AJ55" s="211"/>
      <c r="AK55" s="211"/>
      <c r="AL55" s="211"/>
      <c r="AM55" s="211"/>
      <c r="AN55" s="211"/>
      <c r="AO55" s="211"/>
      <c r="AP55" s="211"/>
      <c r="AQ55" s="211"/>
      <c r="AR55" s="211"/>
      <c r="AS55" s="211"/>
      <c r="AT55" s="211"/>
      <c r="AU55" s="211"/>
      <c r="AV55" s="211"/>
    </row>
    <row r="56" spans="1:48" s="210" customFormat="1" ht="15" customHeight="1" x14ac:dyDescent="0.25">
      <c r="B56" s="216"/>
      <c r="C56" s="231"/>
      <c r="D56" s="302" t="s">
        <v>104</v>
      </c>
      <c r="E56" s="217"/>
      <c r="F56" s="299"/>
      <c r="G56" s="303">
        <v>2.5000000000000001E-2</v>
      </c>
      <c r="H56" s="253">
        <f>G56*($H$30+$H$48)</f>
        <v>0</v>
      </c>
      <c r="I56" s="254"/>
      <c r="J56" s="301"/>
      <c r="K56" s="303">
        <v>2.5000000000000001E-2</v>
      </c>
      <c r="L56" s="253">
        <f>K56*($L$30+$L$48)</f>
        <v>10925</v>
      </c>
      <c r="M56" s="254"/>
      <c r="N56" s="301"/>
      <c r="O56" s="303">
        <v>2.5000000000000001E-2</v>
      </c>
      <c r="P56" s="253">
        <f>O56*($P$30+$P$48)</f>
        <v>14651.75</v>
      </c>
      <c r="Q56" s="254"/>
      <c r="R56" s="301"/>
      <c r="S56" s="304">
        <v>2.5000000000000001E-2</v>
      </c>
      <c r="T56" s="253">
        <f>S56*($T$30+$T$48)</f>
        <v>22650.215</v>
      </c>
      <c r="U56" s="254"/>
      <c r="V56" s="301"/>
      <c r="W56" s="303">
        <v>2.5000000000000001E-2</v>
      </c>
      <c r="X56" s="253">
        <f>W56*($X$30+$X$48)</f>
        <v>29039.112900000004</v>
      </c>
      <c r="Y56" s="254"/>
      <c r="Z56" s="301"/>
      <c r="AA56" s="303">
        <v>2.5000000000000001E-2</v>
      </c>
      <c r="AB56" s="253">
        <f>AA56*($AB$30+$AB$48)</f>
        <v>34908.502959750003</v>
      </c>
      <c r="AC56" s="275"/>
      <c r="AD56" s="221"/>
      <c r="AE56" s="211"/>
      <c r="AF56" s="211"/>
      <c r="AG56" s="211"/>
      <c r="AH56" s="211"/>
      <c r="AI56" s="211"/>
      <c r="AJ56" s="211"/>
      <c r="AK56" s="211"/>
      <c r="AL56" s="211"/>
      <c r="AM56" s="211"/>
      <c r="AN56" s="211"/>
      <c r="AO56" s="211"/>
      <c r="AP56" s="211"/>
      <c r="AQ56" s="211"/>
      <c r="AR56" s="211"/>
      <c r="AS56" s="211"/>
      <c r="AT56" s="211"/>
      <c r="AU56" s="211"/>
      <c r="AV56" s="211"/>
    </row>
    <row r="57" spans="1:48" s="210" customFormat="1" ht="15" customHeight="1" x14ac:dyDescent="0.25">
      <c r="B57" s="216"/>
      <c r="C57" s="231"/>
      <c r="D57" s="302"/>
      <c r="E57" s="217"/>
      <c r="F57" s="290"/>
      <c r="G57" s="534"/>
      <c r="H57" s="532"/>
      <c r="I57" s="254"/>
      <c r="J57" s="294"/>
      <c r="K57" s="534"/>
      <c r="L57" s="532"/>
      <c r="M57" s="254"/>
      <c r="N57" s="294"/>
      <c r="O57" s="534"/>
      <c r="P57" s="532"/>
      <c r="Q57" s="254"/>
      <c r="R57" s="294"/>
      <c r="S57" s="534"/>
      <c r="T57" s="532"/>
      <c r="U57" s="254"/>
      <c r="V57" s="294"/>
      <c r="W57" s="534"/>
      <c r="X57" s="532"/>
      <c r="Y57" s="254"/>
      <c r="Z57" s="294"/>
      <c r="AA57" s="534"/>
      <c r="AB57" s="532"/>
      <c r="AC57" s="275"/>
      <c r="AD57" s="221"/>
      <c r="AE57" s="211"/>
      <c r="AF57" s="211"/>
      <c r="AG57" s="211"/>
      <c r="AH57" s="211"/>
      <c r="AI57" s="211"/>
      <c r="AJ57" s="211"/>
      <c r="AK57" s="211"/>
      <c r="AL57" s="211"/>
      <c r="AM57" s="211"/>
      <c r="AN57" s="211"/>
      <c r="AO57" s="211"/>
      <c r="AP57" s="211"/>
      <c r="AQ57" s="211"/>
      <c r="AR57" s="211"/>
      <c r="AS57" s="211"/>
      <c r="AT57" s="211"/>
      <c r="AU57" s="211"/>
      <c r="AV57" s="211"/>
    </row>
    <row r="58" spans="1:48" s="210" customFormat="1" ht="15" customHeight="1" x14ac:dyDescent="0.25">
      <c r="B58" s="216"/>
      <c r="C58" s="231"/>
      <c r="D58" s="302" t="s">
        <v>503</v>
      </c>
      <c r="E58" s="217"/>
      <c r="F58" s="533"/>
      <c r="G58" s="536"/>
      <c r="H58" s="300">
        <v>0</v>
      </c>
      <c r="I58" s="254"/>
      <c r="J58" s="535"/>
      <c r="K58" s="536"/>
      <c r="L58" s="300">
        <v>0</v>
      </c>
      <c r="M58" s="254"/>
      <c r="N58" s="535"/>
      <c r="O58" s="536"/>
      <c r="P58" s="300">
        <v>0</v>
      </c>
      <c r="Q58" s="254"/>
      <c r="R58" s="535"/>
      <c r="S58" s="536"/>
      <c r="T58" s="300">
        <v>0</v>
      </c>
      <c r="U58" s="254"/>
      <c r="V58" s="535"/>
      <c r="W58" s="536"/>
      <c r="X58" s="300">
        <v>0</v>
      </c>
      <c r="Y58" s="254"/>
      <c r="Z58" s="535"/>
      <c r="AA58" s="536"/>
      <c r="AB58" s="300">
        <v>0</v>
      </c>
      <c r="AC58" s="275"/>
      <c r="AD58" s="221"/>
      <c r="AE58" s="211"/>
      <c r="AF58" s="211"/>
      <c r="AG58" s="211"/>
      <c r="AH58" s="211"/>
      <c r="AI58" s="211"/>
      <c r="AJ58" s="211"/>
      <c r="AK58" s="211"/>
      <c r="AL58" s="211"/>
      <c r="AM58" s="211"/>
      <c r="AN58" s="211"/>
      <c r="AO58" s="211"/>
      <c r="AP58" s="211"/>
      <c r="AQ58" s="211"/>
      <c r="AR58" s="211"/>
      <c r="AS58" s="211"/>
      <c r="AT58" s="211"/>
      <c r="AU58" s="211"/>
      <c r="AV58" s="211"/>
    </row>
    <row r="59" spans="1:48" s="214" customFormat="1" ht="15" customHeight="1" x14ac:dyDescent="0.25">
      <c r="A59" s="211"/>
      <c r="B59" s="216"/>
      <c r="C59" s="307"/>
      <c r="D59" s="308"/>
      <c r="E59" s="309"/>
      <c r="F59" s="310"/>
      <c r="G59" s="311"/>
      <c r="H59" s="312"/>
      <c r="I59" s="281"/>
      <c r="J59" s="313"/>
      <c r="K59" s="311"/>
      <c r="L59" s="312"/>
      <c r="M59" s="281"/>
      <c r="N59" s="313"/>
      <c r="O59" s="311"/>
      <c r="P59" s="312"/>
      <c r="Q59" s="281"/>
      <c r="R59" s="313"/>
      <c r="S59" s="311"/>
      <c r="T59" s="312"/>
      <c r="U59" s="281"/>
      <c r="V59" s="313"/>
      <c r="W59" s="311"/>
      <c r="X59" s="312"/>
      <c r="Y59" s="281"/>
      <c r="Z59" s="313"/>
      <c r="AA59" s="311"/>
      <c r="AB59" s="312"/>
      <c r="AC59" s="314"/>
      <c r="AD59" s="221"/>
      <c r="AE59" s="315"/>
      <c r="AF59" s="211"/>
      <c r="AG59" s="211"/>
      <c r="AH59" s="211"/>
      <c r="AI59" s="211"/>
    </row>
    <row r="60" spans="1:48" s="214" customFormat="1" ht="15" customHeight="1" x14ac:dyDescent="0.25">
      <c r="A60" s="211"/>
      <c r="B60" s="216"/>
      <c r="C60" s="217"/>
      <c r="D60" s="266"/>
      <c r="E60" s="218"/>
      <c r="F60" s="217"/>
      <c r="G60" s="316"/>
      <c r="H60" s="317"/>
      <c r="I60" s="263"/>
      <c r="J60" s="278"/>
      <c r="K60" s="316"/>
      <c r="L60" s="317"/>
      <c r="M60" s="263"/>
      <c r="N60" s="278"/>
      <c r="O60" s="316"/>
      <c r="P60" s="317"/>
      <c r="Q60" s="263"/>
      <c r="R60" s="278"/>
      <c r="S60" s="316"/>
      <c r="T60" s="317"/>
      <c r="U60" s="263"/>
      <c r="V60" s="278"/>
      <c r="W60" s="316"/>
      <c r="X60" s="317"/>
      <c r="Y60" s="263"/>
      <c r="Z60" s="278"/>
      <c r="AA60" s="316"/>
      <c r="AB60" s="317"/>
      <c r="AC60" s="217"/>
      <c r="AD60" s="221"/>
      <c r="AE60" s="315"/>
      <c r="AF60" s="211"/>
      <c r="AG60" s="211"/>
      <c r="AH60" s="211"/>
      <c r="AI60" s="211"/>
    </row>
    <row r="61" spans="1:48" s="214" customFormat="1" ht="15" customHeight="1" x14ac:dyDescent="0.25">
      <c r="A61" s="211"/>
      <c r="B61" s="216"/>
      <c r="C61" s="227"/>
      <c r="D61" s="318"/>
      <c r="E61" s="319"/>
      <c r="F61" s="228"/>
      <c r="G61" s="320"/>
      <c r="H61" s="321"/>
      <c r="I61" s="322"/>
      <c r="J61" s="323"/>
      <c r="K61" s="320"/>
      <c r="L61" s="321"/>
      <c r="M61" s="322"/>
      <c r="N61" s="323"/>
      <c r="O61" s="320"/>
      <c r="P61" s="321"/>
      <c r="Q61" s="322"/>
      <c r="R61" s="323"/>
      <c r="S61" s="320"/>
      <c r="T61" s="321"/>
      <c r="U61" s="322"/>
      <c r="V61" s="323"/>
      <c r="W61" s="320"/>
      <c r="X61" s="321"/>
      <c r="Y61" s="322"/>
      <c r="Z61" s="323"/>
      <c r="AA61" s="320"/>
      <c r="AB61" s="321"/>
      <c r="AC61" s="229"/>
      <c r="AD61" s="221"/>
      <c r="AE61" s="315"/>
      <c r="AF61" s="211"/>
      <c r="AG61" s="211"/>
      <c r="AH61" s="211"/>
      <c r="AI61" s="211"/>
    </row>
    <row r="62" spans="1:48" ht="15" customHeight="1" x14ac:dyDescent="0.25">
      <c r="B62" s="216"/>
      <c r="C62" s="231"/>
      <c r="D62" s="324" t="s">
        <v>111</v>
      </c>
      <c r="E62" s="218"/>
      <c r="F62" s="580" t="s">
        <v>12</v>
      </c>
      <c r="G62" s="581"/>
      <c r="H62" s="582"/>
      <c r="I62" s="217"/>
      <c r="J62" s="580" t="s">
        <v>7</v>
      </c>
      <c r="K62" s="581"/>
      <c r="L62" s="582"/>
      <c r="M62" s="217"/>
      <c r="N62" s="580" t="s">
        <v>8</v>
      </c>
      <c r="O62" s="581"/>
      <c r="P62" s="582"/>
      <c r="Q62" s="217"/>
      <c r="R62" s="580" t="s">
        <v>9</v>
      </c>
      <c r="S62" s="581"/>
      <c r="T62" s="582"/>
      <c r="U62" s="217"/>
      <c r="V62" s="580" t="s">
        <v>10</v>
      </c>
      <c r="W62" s="581"/>
      <c r="X62" s="582"/>
      <c r="Y62" s="217"/>
      <c r="Z62" s="580" t="s">
        <v>11</v>
      </c>
      <c r="AA62" s="581"/>
      <c r="AB62" s="582"/>
      <c r="AC62" s="230"/>
      <c r="AD62" s="221"/>
      <c r="AE62" s="211"/>
      <c r="AF62" s="211"/>
      <c r="AG62" s="211"/>
      <c r="AH62" s="211"/>
      <c r="AI62" s="211"/>
    </row>
    <row r="63" spans="1:48" ht="15" customHeight="1" x14ac:dyDescent="0.25">
      <c r="B63" s="216"/>
      <c r="C63" s="231"/>
      <c r="D63" s="218"/>
      <c r="E63" s="325"/>
      <c r="F63" s="326" t="s">
        <v>60</v>
      </c>
      <c r="G63" s="327"/>
      <c r="H63" s="285">
        <f>F30+F48</f>
        <v>0</v>
      </c>
      <c r="I63" s="327"/>
      <c r="J63" s="326" t="s">
        <v>60</v>
      </c>
      <c r="K63" s="325"/>
      <c r="L63" s="285">
        <f>J30+J48</f>
        <v>8.1</v>
      </c>
      <c r="M63" s="325"/>
      <c r="N63" s="326" t="s">
        <v>60</v>
      </c>
      <c r="O63" s="325"/>
      <c r="P63" s="285">
        <f>N30+N48</f>
        <v>10.6</v>
      </c>
      <c r="Q63" s="325"/>
      <c r="R63" s="326" t="s">
        <v>60</v>
      </c>
      <c r="S63" s="325"/>
      <c r="T63" s="285">
        <f>R30+R48</f>
        <v>16.5</v>
      </c>
      <c r="U63" s="325"/>
      <c r="V63" s="326" t="s">
        <v>60</v>
      </c>
      <c r="W63" s="325"/>
      <c r="X63" s="285">
        <f>V30+V48</f>
        <v>20.7</v>
      </c>
      <c r="Y63" s="325"/>
      <c r="Z63" s="326" t="s">
        <v>60</v>
      </c>
      <c r="AA63" s="325"/>
      <c r="AB63" s="285">
        <f>Z30+Z48</f>
        <v>23.9</v>
      </c>
      <c r="AC63" s="255"/>
      <c r="AD63" s="328"/>
      <c r="AE63" s="329"/>
      <c r="AF63" s="329"/>
      <c r="AG63" s="329"/>
      <c r="AH63" s="330"/>
      <c r="AI63" s="329"/>
    </row>
    <row r="64" spans="1:48" ht="15" customHeight="1" x14ac:dyDescent="0.25">
      <c r="B64" s="216"/>
      <c r="C64" s="231"/>
      <c r="D64" s="218"/>
      <c r="E64" s="218"/>
      <c r="F64" s="326" t="s">
        <v>112</v>
      </c>
      <c r="G64" s="331"/>
      <c r="H64" s="332">
        <f>H30+H48</f>
        <v>0</v>
      </c>
      <c r="I64" s="331"/>
      <c r="J64" s="326" t="s">
        <v>112</v>
      </c>
      <c r="K64" s="331"/>
      <c r="L64" s="332">
        <f>L30+L48</f>
        <v>437000</v>
      </c>
      <c r="M64" s="331"/>
      <c r="N64" s="326" t="s">
        <v>112</v>
      </c>
      <c r="O64" s="331"/>
      <c r="P64" s="332">
        <f>P30+P48</f>
        <v>586070</v>
      </c>
      <c r="Q64" s="331"/>
      <c r="R64" s="326" t="s">
        <v>112</v>
      </c>
      <c r="S64" s="331"/>
      <c r="T64" s="332">
        <f>T30+T48</f>
        <v>906008.6</v>
      </c>
      <c r="U64" s="331"/>
      <c r="V64" s="326" t="s">
        <v>112</v>
      </c>
      <c r="W64" s="331"/>
      <c r="X64" s="332">
        <f>X30+X48</f>
        <v>1161564.5160000001</v>
      </c>
      <c r="Y64" s="331"/>
      <c r="Z64" s="326" t="s">
        <v>112</v>
      </c>
      <c r="AA64" s="331"/>
      <c r="AB64" s="332">
        <f>AB30+AB48</f>
        <v>1396340.11839</v>
      </c>
      <c r="AC64" s="230"/>
      <c r="AD64" s="221"/>
      <c r="AE64" s="210"/>
      <c r="AF64" s="210"/>
      <c r="AG64" s="210"/>
      <c r="AH64" s="211"/>
      <c r="AI64" s="210"/>
    </row>
    <row r="65" spans="2:35" ht="15" customHeight="1" x14ac:dyDescent="0.25">
      <c r="B65" s="216"/>
      <c r="C65" s="231"/>
      <c r="D65" s="218"/>
      <c r="E65" s="218"/>
      <c r="F65" s="326" t="s">
        <v>109</v>
      </c>
      <c r="G65" s="217"/>
      <c r="H65" s="333">
        <f>SUM(H52:H58)</f>
        <v>0</v>
      </c>
      <c r="I65" s="217"/>
      <c r="J65" s="326" t="s">
        <v>109</v>
      </c>
      <c r="K65" s="217"/>
      <c r="L65" s="333">
        <f>SUM(L52:L58)</f>
        <v>84855.5</v>
      </c>
      <c r="M65" s="217"/>
      <c r="N65" s="326" t="s">
        <v>109</v>
      </c>
      <c r="O65" s="217"/>
      <c r="P65" s="333">
        <f>SUM(P52:P58)</f>
        <v>112486.105</v>
      </c>
      <c r="Q65" s="217"/>
      <c r="R65" s="326" t="s">
        <v>109</v>
      </c>
      <c r="S65" s="217"/>
      <c r="T65" s="333">
        <f>SUM(T52:T58)</f>
        <v>174459.87289999999</v>
      </c>
      <c r="U65" s="217"/>
      <c r="V65" s="326" t="s">
        <v>109</v>
      </c>
      <c r="W65" s="217"/>
      <c r="X65" s="333">
        <f>SUM(X52:X58)</f>
        <v>211048.79837400001</v>
      </c>
      <c r="Y65" s="217"/>
      <c r="Z65" s="326" t="s">
        <v>109</v>
      </c>
      <c r="AA65" s="217"/>
      <c r="AB65" s="333">
        <f>SUM(AB52:AB58)</f>
        <v>249278.52201658502</v>
      </c>
      <c r="AC65" s="230"/>
      <c r="AD65" s="221"/>
      <c r="AE65" s="210"/>
      <c r="AF65" s="210"/>
      <c r="AG65" s="210"/>
      <c r="AH65" s="210"/>
      <c r="AI65" s="210"/>
    </row>
    <row r="66" spans="2:35" ht="15" customHeight="1" x14ac:dyDescent="0.25">
      <c r="B66" s="216"/>
      <c r="C66" s="231"/>
      <c r="D66" s="218"/>
      <c r="E66" s="218"/>
      <c r="F66" s="326" t="s">
        <v>113</v>
      </c>
      <c r="G66" s="217"/>
      <c r="H66" s="333">
        <f>H64+H65</f>
        <v>0</v>
      </c>
      <c r="I66" s="217"/>
      <c r="J66" s="326" t="s">
        <v>113</v>
      </c>
      <c r="K66" s="217"/>
      <c r="L66" s="333">
        <f>L64+L65</f>
        <v>521855.5</v>
      </c>
      <c r="M66" s="217"/>
      <c r="N66" s="326" t="s">
        <v>113</v>
      </c>
      <c r="O66" s="217"/>
      <c r="P66" s="333">
        <f>P64+P65</f>
        <v>698556.10499999998</v>
      </c>
      <c r="Q66" s="217"/>
      <c r="R66" s="326" t="s">
        <v>113</v>
      </c>
      <c r="S66" s="217"/>
      <c r="T66" s="333">
        <f>T64+T65</f>
        <v>1080468.4728999999</v>
      </c>
      <c r="U66" s="217"/>
      <c r="V66" s="326" t="s">
        <v>113</v>
      </c>
      <c r="W66" s="217"/>
      <c r="X66" s="333">
        <f>X64+X65</f>
        <v>1372613.3143740001</v>
      </c>
      <c r="Y66" s="217"/>
      <c r="Z66" s="326" t="s">
        <v>113</v>
      </c>
      <c r="AA66" s="217"/>
      <c r="AB66" s="333">
        <f>AB64+AB65</f>
        <v>1645618.6404065851</v>
      </c>
      <c r="AC66" s="230"/>
      <c r="AD66" s="221"/>
      <c r="AE66" s="210"/>
      <c r="AF66" s="210"/>
      <c r="AG66" s="210"/>
      <c r="AH66" s="210"/>
      <c r="AI66" s="210"/>
    </row>
    <row r="67" spans="2:35" ht="15" customHeight="1" x14ac:dyDescent="0.25">
      <c r="B67" s="216"/>
      <c r="C67" s="231"/>
      <c r="D67" s="217"/>
      <c r="E67" s="218"/>
      <c r="F67" s="326" t="s">
        <v>61</v>
      </c>
      <c r="G67" s="274"/>
      <c r="H67" s="285" t="s">
        <v>114</v>
      </c>
      <c r="I67" s="274"/>
      <c r="J67" s="326" t="s">
        <v>61</v>
      </c>
      <c r="K67" s="274"/>
      <c r="L67" s="285" t="str">
        <f>IFERROR((ROUND('2. Enrollment Projections'!E33/(J30),0)&amp;":1"),"")</f>
        <v>0:1</v>
      </c>
      <c r="M67" s="274"/>
      <c r="N67" s="326" t="s">
        <v>61</v>
      </c>
      <c r="O67" s="274"/>
      <c r="P67" s="285" t="str">
        <f>IFERROR((ROUND('2. Enrollment Projections'!F33/(N30),0)&amp;":1"),"")</f>
        <v>0:1</v>
      </c>
      <c r="Q67" s="274"/>
      <c r="R67" s="326" t="s">
        <v>61</v>
      </c>
      <c r="S67" s="274"/>
      <c r="T67" s="285" t="str">
        <f>IFERROR((ROUND('2. Enrollment Projections'!G33/(R30),0)&amp;":1"),"")</f>
        <v>0:1</v>
      </c>
      <c r="U67" s="274"/>
      <c r="V67" s="326" t="s">
        <v>61</v>
      </c>
      <c r="W67" s="274"/>
      <c r="X67" s="285" t="str">
        <f>IFERROR((ROUND('2. Enrollment Projections'!H33/(V30),0)&amp;":1"),"")</f>
        <v>0:1</v>
      </c>
      <c r="Y67" s="274"/>
      <c r="Z67" s="326" t="s">
        <v>61</v>
      </c>
      <c r="AA67" s="274"/>
      <c r="AB67" s="285" t="str">
        <f>IFERROR((ROUND('2. Enrollment Projections'!I33/(Z30),0)&amp;":1"),"")</f>
        <v>0:1</v>
      </c>
      <c r="AC67" s="230"/>
      <c r="AD67" s="221"/>
      <c r="AE67" s="210"/>
      <c r="AF67" s="210"/>
      <c r="AG67" s="210"/>
      <c r="AH67" s="210"/>
      <c r="AI67" s="210"/>
    </row>
    <row r="68" spans="2:35" ht="15" customHeight="1" x14ac:dyDescent="0.25">
      <c r="B68" s="216"/>
      <c r="C68" s="231"/>
      <c r="D68" s="217"/>
      <c r="E68" s="218"/>
      <c r="F68" s="334" t="s">
        <v>62</v>
      </c>
      <c r="G68" s="335"/>
      <c r="H68" s="336" t="s">
        <v>114</v>
      </c>
      <c r="I68" s="274"/>
      <c r="J68" s="334" t="s">
        <v>62</v>
      </c>
      <c r="K68" s="335"/>
      <c r="L68" s="336" t="str">
        <f>IFERROR((ROUND('2. Enrollment Projections'!E33/(J48),0)&amp;":1"),"")</f>
        <v>0:1</v>
      </c>
      <c r="M68" s="274"/>
      <c r="N68" s="334" t="s">
        <v>62</v>
      </c>
      <c r="O68" s="335"/>
      <c r="P68" s="336" t="str">
        <f>IFERROR((ROUND('2. Enrollment Projections'!F33/(N48),0)&amp;":1"),"")</f>
        <v>0:1</v>
      </c>
      <c r="Q68" s="274"/>
      <c r="R68" s="334" t="s">
        <v>62</v>
      </c>
      <c r="S68" s="335"/>
      <c r="T68" s="336" t="str">
        <f>IFERROR((ROUND('2. Enrollment Projections'!G33/(R48),0)&amp;":1"),"")</f>
        <v>0:1</v>
      </c>
      <c r="U68" s="274"/>
      <c r="V68" s="334" t="s">
        <v>62</v>
      </c>
      <c r="W68" s="335"/>
      <c r="X68" s="336" t="str">
        <f>IFERROR((ROUND('2. Enrollment Projections'!H33/(V48),0)&amp;":1"),"")</f>
        <v>0:1</v>
      </c>
      <c r="Y68" s="274"/>
      <c r="Z68" s="334" t="s">
        <v>62</v>
      </c>
      <c r="AA68" s="335"/>
      <c r="AB68" s="336" t="str">
        <f>IFERROR((ROUND('2. Enrollment Projections'!I33/(Z48),0)&amp;":1"),"")</f>
        <v>0:1</v>
      </c>
      <c r="AC68" s="230"/>
      <c r="AD68" s="221"/>
      <c r="AE68" s="215"/>
      <c r="AF68" s="215"/>
      <c r="AG68" s="215"/>
      <c r="AH68" s="215"/>
      <c r="AI68" s="215"/>
    </row>
    <row r="69" spans="2:35" s="211" customFormat="1" ht="15" customHeight="1" x14ac:dyDescent="0.25">
      <c r="B69" s="216"/>
      <c r="C69" s="307"/>
      <c r="D69" s="337"/>
      <c r="E69" s="337"/>
      <c r="F69" s="310"/>
      <c r="G69" s="310"/>
      <c r="H69" s="310"/>
      <c r="I69" s="310"/>
      <c r="J69" s="310"/>
      <c r="K69" s="310"/>
      <c r="L69" s="310"/>
      <c r="M69" s="310"/>
      <c r="N69" s="310"/>
      <c r="O69" s="310"/>
      <c r="P69" s="310"/>
      <c r="Q69" s="310"/>
      <c r="R69" s="310"/>
      <c r="S69" s="310"/>
      <c r="T69" s="310"/>
      <c r="U69" s="310"/>
      <c r="V69" s="310"/>
      <c r="W69" s="310"/>
      <c r="X69" s="310"/>
      <c r="Y69" s="310"/>
      <c r="Z69" s="310"/>
      <c r="AA69" s="310"/>
      <c r="AB69" s="310"/>
      <c r="AC69" s="314"/>
      <c r="AD69" s="221"/>
    </row>
    <row r="70" spans="2:35" s="211" customFormat="1" ht="15" customHeight="1" x14ac:dyDescent="0.25">
      <c r="B70" s="216"/>
      <c r="C70" s="217"/>
      <c r="D70" s="338"/>
      <c r="E70" s="338"/>
      <c r="F70" s="217"/>
      <c r="G70" s="217"/>
      <c r="H70" s="217"/>
      <c r="I70" s="217"/>
      <c r="J70" s="217"/>
      <c r="K70" s="217"/>
      <c r="L70" s="217"/>
      <c r="M70" s="217"/>
      <c r="N70" s="217"/>
      <c r="O70" s="217"/>
      <c r="P70" s="217"/>
      <c r="Q70" s="217"/>
      <c r="R70" s="217"/>
      <c r="S70" s="217"/>
      <c r="T70" s="217"/>
      <c r="U70" s="217"/>
      <c r="V70" s="217"/>
      <c r="W70" s="217"/>
      <c r="X70" s="217"/>
      <c r="Y70" s="217"/>
      <c r="Z70" s="217"/>
      <c r="AA70" s="217"/>
      <c r="AB70" s="217"/>
      <c r="AC70" s="217"/>
      <c r="AD70" s="221"/>
    </row>
    <row r="71" spans="2:35" s="211" customFormat="1" ht="26.25" customHeight="1" x14ac:dyDescent="0.25">
      <c r="B71" s="216"/>
      <c r="C71" s="583" t="s">
        <v>57</v>
      </c>
      <c r="D71" s="584"/>
      <c r="E71" s="584"/>
      <c r="F71" s="584"/>
      <c r="G71" s="584"/>
      <c r="H71" s="584"/>
      <c r="I71" s="584"/>
      <c r="J71" s="584"/>
      <c r="K71" s="584"/>
      <c r="L71" s="584"/>
      <c r="M71" s="584"/>
      <c r="N71" s="584"/>
      <c r="O71" s="584"/>
      <c r="P71" s="584"/>
      <c r="Q71" s="584"/>
      <c r="R71" s="584"/>
      <c r="S71" s="217"/>
      <c r="T71" s="217"/>
      <c r="U71" s="217"/>
      <c r="V71" s="217"/>
      <c r="W71" s="217"/>
      <c r="X71" s="217"/>
      <c r="Y71" s="217"/>
      <c r="Z71" s="217"/>
      <c r="AA71" s="217"/>
      <c r="AB71" s="217"/>
      <c r="AC71" s="217"/>
      <c r="AD71" s="221"/>
    </row>
    <row r="72" spans="2:35" s="211" customFormat="1" ht="27.95" customHeight="1" x14ac:dyDescent="0.25">
      <c r="B72" s="216"/>
      <c r="C72" s="578" t="s">
        <v>549</v>
      </c>
      <c r="D72" s="579"/>
      <c r="E72" s="579"/>
      <c r="F72" s="579"/>
      <c r="G72" s="579"/>
      <c r="H72" s="579"/>
      <c r="I72" s="579"/>
      <c r="J72" s="579"/>
      <c r="K72" s="579"/>
      <c r="L72" s="579"/>
      <c r="M72" s="579"/>
      <c r="N72" s="579"/>
      <c r="O72" s="579"/>
      <c r="P72" s="579"/>
      <c r="Q72" s="579"/>
      <c r="R72" s="579"/>
      <c r="S72" s="579"/>
      <c r="T72" s="579"/>
      <c r="U72" s="579"/>
      <c r="V72" s="579"/>
      <c r="W72" s="579"/>
      <c r="X72" s="217"/>
      <c r="Y72" s="217"/>
      <c r="Z72" s="217"/>
      <c r="AA72" s="217"/>
      <c r="AB72" s="217"/>
      <c r="AC72" s="217"/>
      <c r="AD72" s="221"/>
    </row>
    <row r="73" spans="2:35" s="211" customFormat="1" ht="27.95" customHeight="1" x14ac:dyDescent="0.25">
      <c r="B73" s="216"/>
      <c r="C73" s="579"/>
      <c r="D73" s="579"/>
      <c r="E73" s="579"/>
      <c r="F73" s="579"/>
      <c r="G73" s="579"/>
      <c r="H73" s="579"/>
      <c r="I73" s="579"/>
      <c r="J73" s="579"/>
      <c r="K73" s="579"/>
      <c r="L73" s="579"/>
      <c r="M73" s="579"/>
      <c r="N73" s="579"/>
      <c r="O73" s="579"/>
      <c r="P73" s="579"/>
      <c r="Q73" s="579"/>
      <c r="R73" s="579"/>
      <c r="S73" s="579"/>
      <c r="T73" s="579"/>
      <c r="U73" s="579"/>
      <c r="V73" s="579"/>
      <c r="W73" s="579"/>
      <c r="X73" s="217"/>
      <c r="Y73" s="217"/>
      <c r="Z73" s="217"/>
      <c r="AA73" s="217"/>
      <c r="AB73" s="217"/>
      <c r="AC73" s="217"/>
      <c r="AD73" s="221"/>
    </row>
    <row r="74" spans="2:35" s="211" customFormat="1" ht="27.95" customHeight="1" x14ac:dyDescent="0.25">
      <c r="B74" s="216"/>
      <c r="C74" s="579"/>
      <c r="D74" s="579"/>
      <c r="E74" s="579"/>
      <c r="F74" s="579"/>
      <c r="G74" s="579"/>
      <c r="H74" s="579"/>
      <c r="I74" s="579"/>
      <c r="J74" s="579"/>
      <c r="K74" s="579"/>
      <c r="L74" s="579"/>
      <c r="M74" s="579"/>
      <c r="N74" s="579"/>
      <c r="O74" s="579"/>
      <c r="P74" s="579"/>
      <c r="Q74" s="579"/>
      <c r="R74" s="579"/>
      <c r="S74" s="579"/>
      <c r="T74" s="579"/>
      <c r="U74" s="579"/>
      <c r="V74" s="579"/>
      <c r="W74" s="579"/>
      <c r="X74" s="217"/>
      <c r="Y74" s="217"/>
      <c r="Z74" s="217"/>
      <c r="AA74" s="217"/>
      <c r="AB74" s="217"/>
      <c r="AC74" s="217"/>
      <c r="AD74" s="221"/>
    </row>
    <row r="75" spans="2:35" s="211" customFormat="1" ht="24" customHeight="1" x14ac:dyDescent="0.25">
      <c r="B75" s="216"/>
      <c r="C75" s="579"/>
      <c r="D75" s="579"/>
      <c r="E75" s="579"/>
      <c r="F75" s="579"/>
      <c r="G75" s="579"/>
      <c r="H75" s="579"/>
      <c r="I75" s="579"/>
      <c r="J75" s="579"/>
      <c r="K75" s="579"/>
      <c r="L75" s="579"/>
      <c r="M75" s="579"/>
      <c r="N75" s="579"/>
      <c r="O75" s="579"/>
      <c r="P75" s="579"/>
      <c r="Q75" s="579"/>
      <c r="R75" s="579"/>
      <c r="S75" s="579"/>
      <c r="T75" s="579"/>
      <c r="U75" s="579"/>
      <c r="V75" s="579"/>
      <c r="W75" s="579"/>
      <c r="X75" s="217"/>
      <c r="Y75" s="217"/>
      <c r="Z75" s="217"/>
      <c r="AA75" s="217"/>
      <c r="AB75" s="217"/>
      <c r="AC75" s="217"/>
      <c r="AD75" s="221"/>
    </row>
    <row r="76" spans="2:35" s="211" customFormat="1" ht="28.5" customHeight="1" x14ac:dyDescent="0.25">
      <c r="B76" s="216"/>
      <c r="C76" s="568" t="s">
        <v>548</v>
      </c>
      <c r="D76" s="569"/>
      <c r="E76" s="569"/>
      <c r="F76" s="569"/>
      <c r="G76" s="569"/>
      <c r="H76" s="569"/>
      <c r="I76" s="569"/>
      <c r="J76" s="569"/>
      <c r="K76" s="569"/>
      <c r="L76" s="569"/>
      <c r="M76" s="569"/>
      <c r="N76" s="569"/>
      <c r="O76" s="569"/>
      <c r="P76" s="569"/>
      <c r="Q76" s="569"/>
      <c r="R76" s="569"/>
      <c r="S76" s="569"/>
      <c r="T76" s="569"/>
      <c r="U76" s="569"/>
      <c r="V76" s="569"/>
      <c r="W76" s="569"/>
      <c r="X76" s="217"/>
      <c r="Y76" s="217"/>
      <c r="Z76" s="217"/>
      <c r="AA76" s="217"/>
      <c r="AB76" s="217"/>
      <c r="AC76" s="217"/>
      <c r="AD76" s="221"/>
    </row>
    <row r="77" spans="2:35" s="211" customFormat="1" ht="20.100000000000001" customHeight="1" x14ac:dyDescent="0.25">
      <c r="B77" s="216"/>
      <c r="C77" s="568" t="s">
        <v>546</v>
      </c>
      <c r="D77" s="569"/>
      <c r="E77" s="569"/>
      <c r="F77" s="569"/>
      <c r="G77" s="569"/>
      <c r="H77" s="569"/>
      <c r="I77" s="569"/>
      <c r="J77" s="569"/>
      <c r="K77" s="569"/>
      <c r="L77" s="569"/>
      <c r="M77" s="569"/>
      <c r="N77" s="569"/>
      <c r="O77" s="569"/>
      <c r="P77" s="569"/>
      <c r="Q77" s="569"/>
      <c r="R77" s="569"/>
      <c r="S77" s="569"/>
      <c r="T77" s="569"/>
      <c r="U77" s="569"/>
      <c r="V77" s="569"/>
      <c r="W77" s="569"/>
      <c r="X77" s="217"/>
      <c r="Y77" s="217"/>
      <c r="Z77" s="217"/>
      <c r="AA77" s="217"/>
      <c r="AB77" s="217"/>
      <c r="AC77" s="217"/>
      <c r="AD77" s="221"/>
    </row>
    <row r="78" spans="2:35" s="211" customFormat="1" ht="20.100000000000001" customHeight="1" x14ac:dyDescent="0.25">
      <c r="B78" s="216"/>
      <c r="C78" s="568" t="s">
        <v>547</v>
      </c>
      <c r="D78" s="569"/>
      <c r="E78" s="569"/>
      <c r="F78" s="569"/>
      <c r="G78" s="569"/>
      <c r="H78" s="569"/>
      <c r="I78" s="569"/>
      <c r="J78" s="569"/>
      <c r="K78" s="569"/>
      <c r="L78" s="569"/>
      <c r="M78" s="569"/>
      <c r="N78" s="569"/>
      <c r="O78" s="569"/>
      <c r="P78" s="569"/>
      <c r="Q78" s="569"/>
      <c r="R78" s="569"/>
      <c r="S78" s="569"/>
      <c r="T78" s="569"/>
      <c r="U78" s="569"/>
      <c r="V78" s="569"/>
      <c r="W78" s="569"/>
      <c r="X78" s="217"/>
      <c r="Y78" s="217"/>
      <c r="Z78" s="217"/>
      <c r="AA78" s="217"/>
      <c r="AB78" s="217"/>
      <c r="AC78" s="217"/>
      <c r="AD78" s="221"/>
    </row>
    <row r="79" spans="2:35" s="211" customFormat="1" ht="20.100000000000001" customHeight="1" x14ac:dyDescent="0.25">
      <c r="B79" s="216"/>
      <c r="C79" s="568" t="s">
        <v>588</v>
      </c>
      <c r="D79" s="569"/>
      <c r="E79" s="569"/>
      <c r="F79" s="569"/>
      <c r="G79" s="569"/>
      <c r="H79" s="569"/>
      <c r="I79" s="569"/>
      <c r="J79" s="569"/>
      <c r="K79" s="569"/>
      <c r="L79" s="569"/>
      <c r="M79" s="569"/>
      <c r="N79" s="569"/>
      <c r="O79" s="569"/>
      <c r="P79" s="569"/>
      <c r="Q79" s="569"/>
      <c r="R79" s="569"/>
      <c r="S79" s="569"/>
      <c r="T79" s="569"/>
      <c r="U79" s="569"/>
      <c r="V79" s="569"/>
      <c r="W79" s="569"/>
      <c r="X79" s="217"/>
      <c r="Y79" s="217"/>
      <c r="Z79" s="217"/>
      <c r="AA79" s="217"/>
      <c r="AB79" s="217"/>
      <c r="AC79" s="217"/>
      <c r="AD79" s="221"/>
    </row>
    <row r="80" spans="2:35" ht="15.75" thickBot="1" x14ac:dyDescent="0.3">
      <c r="B80" s="339"/>
      <c r="C80" s="340"/>
      <c r="D80" s="340"/>
      <c r="E80" s="340"/>
      <c r="F80" s="340"/>
      <c r="G80" s="340"/>
      <c r="H80" s="340"/>
      <c r="I80" s="340"/>
      <c r="J80" s="340"/>
      <c r="K80" s="340"/>
      <c r="L80" s="340"/>
      <c r="M80" s="340"/>
      <c r="N80" s="340"/>
      <c r="O80" s="340"/>
      <c r="P80" s="340"/>
      <c r="Q80" s="340"/>
      <c r="R80" s="340"/>
      <c r="S80" s="340"/>
      <c r="T80" s="340"/>
      <c r="U80" s="340"/>
      <c r="V80" s="340"/>
      <c r="W80" s="340"/>
      <c r="X80" s="340"/>
      <c r="Y80" s="340"/>
      <c r="Z80" s="340"/>
      <c r="AA80" s="340"/>
      <c r="AB80" s="340"/>
      <c r="AC80" s="340"/>
      <c r="AD80" s="341"/>
    </row>
    <row r="81" spans="2:20" x14ac:dyDescent="0.25">
      <c r="B81" s="210"/>
      <c r="C81" s="210"/>
      <c r="D81" s="210"/>
      <c r="F81" s="210"/>
      <c r="G81" s="210"/>
      <c r="H81" s="210"/>
      <c r="J81" s="210"/>
      <c r="K81" s="210"/>
      <c r="L81" s="210"/>
      <c r="N81" s="210"/>
      <c r="O81" s="210"/>
      <c r="P81" s="210"/>
      <c r="R81" s="210"/>
      <c r="S81" s="210"/>
      <c r="T81" s="210"/>
    </row>
    <row r="82" spans="2:20" x14ac:dyDescent="0.25">
      <c r="B82" s="210"/>
      <c r="C82" s="210"/>
      <c r="D82" s="210"/>
      <c r="F82" s="128"/>
      <c r="G82" s="210"/>
      <c r="H82" s="210"/>
      <c r="J82" s="210"/>
      <c r="K82" s="210"/>
      <c r="L82" s="210"/>
      <c r="N82" s="210"/>
      <c r="O82" s="210"/>
      <c r="P82" s="210"/>
      <c r="R82" s="210"/>
      <c r="S82" s="210"/>
      <c r="T82" s="210"/>
    </row>
    <row r="83" spans="2:20" x14ac:dyDescent="0.25">
      <c r="B83" s="210"/>
      <c r="C83" s="210"/>
      <c r="D83" s="210"/>
      <c r="F83" s="128"/>
      <c r="G83" s="342"/>
      <c r="H83" s="210"/>
      <c r="J83" s="210"/>
      <c r="K83" s="210"/>
      <c r="L83" s="210"/>
      <c r="N83" s="210"/>
      <c r="O83" s="210"/>
      <c r="P83" s="210"/>
      <c r="R83" s="210"/>
      <c r="S83" s="210"/>
      <c r="T83" s="210"/>
    </row>
    <row r="84" spans="2:20" x14ac:dyDescent="0.25">
      <c r="B84" s="210"/>
      <c r="C84" s="210"/>
      <c r="D84" s="210"/>
      <c r="F84" s="210"/>
      <c r="G84" s="210"/>
      <c r="H84" s="210"/>
      <c r="J84" s="210"/>
      <c r="K84" s="210"/>
      <c r="L84" s="210"/>
      <c r="N84" s="210"/>
      <c r="O84" s="210"/>
      <c r="P84" s="210"/>
      <c r="R84" s="210"/>
      <c r="S84" s="210"/>
      <c r="T84" s="210"/>
    </row>
    <row r="85" spans="2:20" x14ac:dyDescent="0.25">
      <c r="B85" s="210"/>
      <c r="C85" s="210"/>
      <c r="D85" s="210"/>
      <c r="F85" s="210"/>
      <c r="G85" s="210"/>
      <c r="H85" s="210"/>
      <c r="J85" s="210"/>
      <c r="K85" s="210"/>
      <c r="L85" s="210"/>
      <c r="N85" s="210"/>
      <c r="O85" s="210"/>
      <c r="P85" s="210"/>
      <c r="R85" s="210"/>
      <c r="S85" s="210"/>
      <c r="T85" s="210"/>
    </row>
    <row r="86" spans="2:20" x14ac:dyDescent="0.25">
      <c r="B86" s="210"/>
      <c r="C86" s="210"/>
      <c r="D86" s="210"/>
      <c r="F86" s="210"/>
      <c r="G86" s="210"/>
      <c r="H86" s="210"/>
      <c r="J86" s="210"/>
      <c r="K86" s="210"/>
      <c r="L86" s="210"/>
      <c r="N86" s="210"/>
      <c r="O86" s="210"/>
      <c r="P86" s="210"/>
      <c r="R86" s="210"/>
      <c r="S86" s="210"/>
      <c r="T86" s="210"/>
    </row>
    <row r="87" spans="2:20" x14ac:dyDescent="0.25">
      <c r="B87" s="210"/>
      <c r="C87" s="210"/>
      <c r="D87" s="210"/>
      <c r="F87" s="210"/>
      <c r="G87" s="210"/>
      <c r="H87" s="210"/>
      <c r="J87" s="210"/>
      <c r="K87" s="210"/>
      <c r="L87" s="210"/>
      <c r="N87" s="210"/>
      <c r="O87" s="210"/>
      <c r="P87" s="210"/>
      <c r="R87" s="210"/>
      <c r="S87" s="210"/>
      <c r="T87" s="210"/>
    </row>
    <row r="88" spans="2:20" x14ac:dyDescent="0.25">
      <c r="B88" s="210"/>
      <c r="C88" s="210"/>
      <c r="D88" s="210"/>
      <c r="F88" s="210"/>
      <c r="G88" s="210"/>
      <c r="H88" s="210"/>
      <c r="J88" s="210"/>
      <c r="K88" s="210"/>
      <c r="L88" s="210"/>
      <c r="N88" s="210"/>
      <c r="O88" s="210"/>
      <c r="P88" s="210"/>
      <c r="R88" s="210"/>
      <c r="S88" s="210"/>
      <c r="T88" s="210"/>
    </row>
    <row r="89" spans="2:20" x14ac:dyDescent="0.25">
      <c r="B89" s="210"/>
      <c r="C89" s="210"/>
      <c r="D89" s="210"/>
      <c r="F89" s="210"/>
      <c r="G89" s="210"/>
      <c r="H89" s="210"/>
      <c r="J89" s="210"/>
      <c r="K89" s="210"/>
      <c r="L89" s="210"/>
      <c r="N89" s="210"/>
      <c r="O89" s="210"/>
      <c r="P89" s="210"/>
      <c r="R89" s="210"/>
      <c r="S89" s="210"/>
      <c r="T89" s="210"/>
    </row>
    <row r="90" spans="2:20" x14ac:dyDescent="0.25">
      <c r="B90" s="210"/>
      <c r="C90" s="210"/>
      <c r="D90" s="210"/>
      <c r="F90" s="210"/>
      <c r="G90" s="210"/>
      <c r="H90" s="210"/>
      <c r="J90" s="210"/>
      <c r="K90" s="210"/>
      <c r="L90" s="210"/>
      <c r="N90" s="210"/>
      <c r="O90" s="210"/>
      <c r="P90" s="210"/>
      <c r="R90" s="210"/>
      <c r="S90" s="210"/>
      <c r="T90" s="210"/>
    </row>
    <row r="91" spans="2:20" x14ac:dyDescent="0.25">
      <c r="B91" s="210"/>
      <c r="C91" s="210"/>
      <c r="D91" s="210"/>
      <c r="F91" s="210"/>
      <c r="G91" s="210"/>
      <c r="H91" s="210"/>
      <c r="J91" s="210"/>
      <c r="K91" s="210"/>
      <c r="L91" s="210"/>
      <c r="N91" s="210"/>
      <c r="O91" s="210"/>
      <c r="P91" s="210"/>
      <c r="R91" s="210"/>
      <c r="S91" s="210"/>
      <c r="T91" s="210"/>
    </row>
    <row r="92" spans="2:20" x14ac:dyDescent="0.25">
      <c r="B92" s="210"/>
      <c r="C92" s="210"/>
      <c r="D92" s="210"/>
      <c r="F92" s="210"/>
      <c r="G92" s="210"/>
      <c r="H92" s="210"/>
      <c r="J92" s="210"/>
      <c r="K92" s="210"/>
      <c r="L92" s="210"/>
      <c r="N92" s="210"/>
      <c r="O92" s="210"/>
      <c r="P92" s="210"/>
      <c r="R92" s="210"/>
      <c r="S92" s="210"/>
      <c r="T92" s="210"/>
    </row>
    <row r="93" spans="2:20" x14ac:dyDescent="0.25">
      <c r="B93" s="210"/>
      <c r="C93" s="210"/>
      <c r="D93" s="210"/>
      <c r="F93" s="210"/>
      <c r="G93" s="210"/>
      <c r="H93" s="210"/>
      <c r="J93" s="210"/>
      <c r="K93" s="210"/>
      <c r="L93" s="210"/>
      <c r="N93" s="210"/>
      <c r="O93" s="210"/>
      <c r="P93" s="210"/>
      <c r="R93" s="210"/>
      <c r="S93" s="210"/>
      <c r="T93" s="210"/>
    </row>
    <row r="94" spans="2:20" x14ac:dyDescent="0.25">
      <c r="B94" s="210"/>
      <c r="C94" s="210"/>
      <c r="D94" s="210"/>
      <c r="F94" s="210"/>
      <c r="G94" s="210"/>
      <c r="H94" s="210"/>
      <c r="J94" s="210"/>
      <c r="K94" s="210"/>
      <c r="L94" s="210"/>
      <c r="N94" s="210"/>
      <c r="O94" s="210"/>
      <c r="P94" s="210"/>
      <c r="R94" s="210"/>
      <c r="S94" s="210"/>
      <c r="T94" s="210"/>
    </row>
    <row r="95" spans="2:20" x14ac:dyDescent="0.25">
      <c r="B95" s="210"/>
      <c r="C95" s="210"/>
      <c r="D95" s="210"/>
      <c r="F95" s="210"/>
      <c r="G95" s="210"/>
      <c r="H95" s="210"/>
      <c r="J95" s="210"/>
      <c r="K95" s="210"/>
      <c r="L95" s="210"/>
      <c r="N95" s="210"/>
      <c r="O95" s="210"/>
      <c r="P95" s="210"/>
      <c r="R95" s="210"/>
      <c r="S95" s="210"/>
      <c r="T95" s="210"/>
    </row>
    <row r="96" spans="2:20" x14ac:dyDescent="0.25">
      <c r="B96" s="210"/>
      <c r="C96" s="210"/>
      <c r="D96" s="210"/>
      <c r="F96" s="210"/>
      <c r="G96" s="210"/>
      <c r="H96" s="210"/>
      <c r="J96" s="210"/>
      <c r="K96" s="210"/>
      <c r="L96" s="210"/>
      <c r="N96" s="210"/>
      <c r="O96" s="210"/>
      <c r="P96" s="210"/>
      <c r="R96" s="210"/>
      <c r="S96" s="210"/>
      <c r="T96" s="210"/>
    </row>
    <row r="97" spans="2:20" x14ac:dyDescent="0.25">
      <c r="B97" s="210"/>
      <c r="C97" s="210"/>
      <c r="D97" s="210"/>
      <c r="F97" s="210"/>
      <c r="G97" s="210"/>
      <c r="H97" s="210"/>
      <c r="J97" s="210"/>
      <c r="K97" s="210"/>
      <c r="L97" s="210"/>
      <c r="N97" s="210"/>
      <c r="O97" s="210"/>
      <c r="P97" s="210"/>
      <c r="R97" s="210"/>
      <c r="S97" s="210"/>
      <c r="T97" s="210"/>
    </row>
    <row r="98" spans="2:20" x14ac:dyDescent="0.25">
      <c r="B98" s="210"/>
      <c r="C98" s="210"/>
      <c r="D98" s="210"/>
      <c r="F98" s="210"/>
      <c r="G98" s="210"/>
      <c r="H98" s="210"/>
      <c r="J98" s="210"/>
      <c r="K98" s="210"/>
      <c r="L98" s="210"/>
      <c r="N98" s="210"/>
      <c r="O98" s="210"/>
      <c r="P98" s="210"/>
      <c r="R98" s="210"/>
      <c r="S98" s="210"/>
      <c r="T98" s="210"/>
    </row>
    <row r="99" spans="2:20" x14ac:dyDescent="0.25">
      <c r="B99" s="210"/>
      <c r="C99" s="210"/>
      <c r="D99" s="210"/>
      <c r="F99" s="210"/>
      <c r="G99" s="210"/>
      <c r="H99" s="210"/>
      <c r="J99" s="210"/>
      <c r="K99" s="210"/>
      <c r="L99" s="210"/>
      <c r="N99" s="210"/>
      <c r="O99" s="210"/>
      <c r="P99" s="210"/>
      <c r="R99" s="210"/>
      <c r="S99" s="210"/>
      <c r="T99" s="210"/>
    </row>
    <row r="100" spans="2:20" x14ac:dyDescent="0.25">
      <c r="B100" s="210"/>
      <c r="C100" s="210"/>
      <c r="D100" s="210"/>
      <c r="F100" s="210"/>
      <c r="G100" s="210"/>
      <c r="H100" s="210"/>
      <c r="J100" s="210"/>
      <c r="K100" s="210"/>
      <c r="L100" s="210"/>
      <c r="N100" s="210"/>
      <c r="O100" s="210"/>
      <c r="P100" s="210"/>
      <c r="R100" s="210"/>
      <c r="S100" s="210"/>
      <c r="T100" s="210"/>
    </row>
    <row r="101" spans="2:20" x14ac:dyDescent="0.25">
      <c r="B101" s="210"/>
      <c r="C101" s="210"/>
      <c r="D101" s="210"/>
      <c r="F101" s="210"/>
      <c r="G101" s="210"/>
      <c r="H101" s="210"/>
      <c r="J101" s="210"/>
      <c r="K101" s="210"/>
      <c r="L101" s="210"/>
      <c r="N101" s="210"/>
      <c r="O101" s="210"/>
      <c r="P101" s="210"/>
      <c r="R101" s="210"/>
      <c r="S101" s="210"/>
      <c r="T101" s="210"/>
    </row>
    <row r="102" spans="2:20" x14ac:dyDescent="0.25">
      <c r="B102" s="210"/>
      <c r="C102" s="210"/>
      <c r="D102" s="210"/>
      <c r="F102" s="210"/>
      <c r="G102" s="210"/>
      <c r="H102" s="210"/>
      <c r="J102" s="210"/>
      <c r="K102" s="210"/>
      <c r="L102" s="210"/>
      <c r="N102" s="210"/>
      <c r="O102" s="210"/>
      <c r="P102" s="210"/>
      <c r="R102" s="210"/>
      <c r="S102" s="210"/>
      <c r="T102" s="210"/>
    </row>
    <row r="103" spans="2:20" x14ac:dyDescent="0.25">
      <c r="B103" s="210"/>
      <c r="C103" s="210"/>
      <c r="D103" s="210"/>
      <c r="F103" s="210"/>
      <c r="G103" s="210"/>
      <c r="H103" s="210"/>
      <c r="J103" s="210"/>
      <c r="K103" s="210"/>
      <c r="L103" s="210"/>
      <c r="N103" s="210"/>
      <c r="O103" s="210"/>
      <c r="P103" s="210"/>
      <c r="R103" s="210"/>
      <c r="S103" s="210"/>
      <c r="T103" s="210"/>
    </row>
    <row r="104" spans="2:20" x14ac:dyDescent="0.25">
      <c r="B104" s="210"/>
      <c r="C104" s="210"/>
      <c r="D104" s="210"/>
      <c r="F104" s="210"/>
      <c r="G104" s="210"/>
      <c r="H104" s="210"/>
      <c r="J104" s="210"/>
      <c r="K104" s="210"/>
      <c r="L104" s="210"/>
      <c r="N104" s="210"/>
      <c r="O104" s="210"/>
      <c r="P104" s="210"/>
      <c r="R104" s="210"/>
      <c r="S104" s="210"/>
      <c r="T104" s="210"/>
    </row>
    <row r="105" spans="2:20" x14ac:dyDescent="0.25">
      <c r="B105" s="210"/>
      <c r="C105" s="210"/>
      <c r="D105" s="210"/>
      <c r="F105" s="210"/>
      <c r="G105" s="210"/>
      <c r="H105" s="210"/>
      <c r="J105" s="210"/>
      <c r="K105" s="210"/>
      <c r="L105" s="210"/>
      <c r="N105" s="210"/>
      <c r="O105" s="210"/>
      <c r="P105" s="210"/>
      <c r="R105" s="210"/>
      <c r="S105" s="210"/>
      <c r="T105" s="210"/>
    </row>
    <row r="106" spans="2:20" x14ac:dyDescent="0.25">
      <c r="B106" s="210"/>
      <c r="C106" s="210"/>
      <c r="D106" s="210"/>
      <c r="F106" s="210"/>
      <c r="G106" s="210"/>
      <c r="H106" s="210"/>
      <c r="J106" s="210"/>
      <c r="K106" s="210"/>
      <c r="L106" s="210"/>
      <c r="N106" s="210"/>
      <c r="O106" s="210"/>
      <c r="P106" s="210"/>
      <c r="R106" s="210"/>
      <c r="S106" s="210"/>
      <c r="T106" s="210"/>
    </row>
    <row r="107" spans="2:20" x14ac:dyDescent="0.25">
      <c r="B107" s="210"/>
      <c r="C107" s="210"/>
      <c r="D107" s="210"/>
      <c r="F107" s="210"/>
      <c r="G107" s="210"/>
      <c r="H107" s="210"/>
      <c r="J107" s="210"/>
      <c r="K107" s="210"/>
      <c r="L107" s="210"/>
      <c r="N107" s="210"/>
      <c r="O107" s="210"/>
      <c r="P107" s="210"/>
      <c r="R107" s="210"/>
      <c r="S107" s="210"/>
      <c r="T107" s="210"/>
    </row>
    <row r="108" spans="2:20" x14ac:dyDescent="0.25">
      <c r="B108" s="210"/>
      <c r="C108" s="210"/>
      <c r="D108" s="210"/>
      <c r="F108" s="210"/>
      <c r="G108" s="210"/>
      <c r="H108" s="210"/>
      <c r="J108" s="210"/>
      <c r="K108" s="210"/>
      <c r="L108" s="210"/>
      <c r="N108" s="210"/>
      <c r="O108" s="210"/>
      <c r="P108" s="210"/>
      <c r="R108" s="210"/>
      <c r="S108" s="210"/>
      <c r="T108" s="210"/>
    </row>
    <row r="109" spans="2:20" x14ac:dyDescent="0.25">
      <c r="B109" s="210"/>
      <c r="C109" s="210"/>
      <c r="D109" s="210"/>
      <c r="F109" s="210"/>
      <c r="G109" s="210"/>
      <c r="H109" s="210"/>
      <c r="J109" s="210"/>
      <c r="K109" s="210"/>
      <c r="L109" s="210"/>
      <c r="N109" s="210"/>
      <c r="O109" s="210"/>
      <c r="P109" s="210"/>
      <c r="R109" s="210"/>
      <c r="S109" s="210"/>
      <c r="T109" s="210"/>
    </row>
    <row r="110" spans="2:20" x14ac:dyDescent="0.25">
      <c r="B110" s="210"/>
      <c r="C110" s="210"/>
      <c r="D110" s="210"/>
      <c r="F110" s="210"/>
      <c r="G110" s="210"/>
      <c r="H110" s="210"/>
      <c r="J110" s="210"/>
      <c r="K110" s="210"/>
      <c r="L110" s="210"/>
      <c r="N110" s="210"/>
      <c r="O110" s="210"/>
      <c r="P110" s="210"/>
      <c r="R110" s="210"/>
      <c r="S110" s="210"/>
      <c r="T110" s="210"/>
    </row>
    <row r="111" spans="2:20" x14ac:dyDescent="0.25">
      <c r="B111" s="210"/>
      <c r="C111" s="210"/>
      <c r="D111" s="210"/>
      <c r="F111" s="210"/>
      <c r="G111" s="210"/>
      <c r="H111" s="210"/>
      <c r="J111" s="210"/>
      <c r="K111" s="210"/>
      <c r="L111" s="210"/>
      <c r="N111" s="210"/>
      <c r="O111" s="210"/>
      <c r="P111" s="210"/>
      <c r="R111" s="210"/>
      <c r="S111" s="210"/>
      <c r="T111" s="210"/>
    </row>
    <row r="112" spans="2:20" x14ac:dyDescent="0.25">
      <c r="B112" s="210"/>
      <c r="C112" s="210"/>
      <c r="D112" s="210"/>
      <c r="F112" s="210"/>
      <c r="G112" s="210"/>
      <c r="H112" s="210"/>
      <c r="J112" s="210"/>
      <c r="K112" s="210"/>
      <c r="L112" s="210"/>
      <c r="N112" s="210"/>
      <c r="O112" s="210"/>
      <c r="P112" s="210"/>
      <c r="R112" s="210"/>
      <c r="S112" s="210"/>
      <c r="T112" s="210"/>
    </row>
    <row r="113" spans="2:20" x14ac:dyDescent="0.25">
      <c r="B113" s="210"/>
      <c r="C113" s="210"/>
      <c r="D113" s="210"/>
      <c r="F113" s="210"/>
      <c r="G113" s="210"/>
      <c r="H113" s="210"/>
      <c r="J113" s="210"/>
      <c r="K113" s="210"/>
      <c r="L113" s="210"/>
      <c r="N113" s="210"/>
      <c r="O113" s="210"/>
      <c r="P113" s="210"/>
      <c r="R113" s="210"/>
      <c r="S113" s="210"/>
      <c r="T113" s="210"/>
    </row>
    <row r="114" spans="2:20" x14ac:dyDescent="0.25">
      <c r="B114" s="210"/>
      <c r="C114" s="210"/>
      <c r="D114" s="210"/>
      <c r="F114" s="210"/>
      <c r="G114" s="210"/>
      <c r="H114" s="210"/>
      <c r="J114" s="210"/>
      <c r="K114" s="210"/>
      <c r="L114" s="210"/>
      <c r="N114" s="210"/>
      <c r="O114" s="210"/>
      <c r="P114" s="210"/>
      <c r="R114" s="210"/>
      <c r="S114" s="210"/>
      <c r="T114" s="210"/>
    </row>
    <row r="115" spans="2:20" x14ac:dyDescent="0.25">
      <c r="B115" s="210"/>
      <c r="C115" s="210"/>
      <c r="D115" s="210"/>
      <c r="F115" s="210"/>
      <c r="G115" s="210"/>
      <c r="H115" s="210"/>
      <c r="J115" s="210"/>
      <c r="K115" s="210"/>
      <c r="L115" s="210"/>
      <c r="N115" s="210"/>
      <c r="O115" s="210"/>
      <c r="P115" s="210"/>
      <c r="R115" s="210"/>
      <c r="S115" s="210"/>
      <c r="T115" s="210"/>
    </row>
    <row r="116" spans="2:20" x14ac:dyDescent="0.25">
      <c r="B116" s="210"/>
      <c r="C116" s="210"/>
      <c r="D116" s="210"/>
      <c r="F116" s="210"/>
      <c r="G116" s="210"/>
      <c r="H116" s="210"/>
      <c r="J116" s="210"/>
      <c r="K116" s="210"/>
      <c r="L116" s="210"/>
      <c r="N116" s="210"/>
      <c r="O116" s="210"/>
      <c r="P116" s="210"/>
      <c r="R116" s="210"/>
      <c r="S116" s="210"/>
      <c r="T116" s="210"/>
    </row>
    <row r="117" spans="2:20" x14ac:dyDescent="0.25">
      <c r="B117" s="210"/>
      <c r="C117" s="210"/>
      <c r="D117" s="210"/>
      <c r="F117" s="210"/>
      <c r="G117" s="210"/>
      <c r="H117" s="210"/>
      <c r="J117" s="210"/>
      <c r="K117" s="210"/>
      <c r="L117" s="210"/>
      <c r="N117" s="210"/>
      <c r="O117" s="210"/>
      <c r="P117" s="210"/>
      <c r="R117" s="210"/>
      <c r="S117" s="210"/>
      <c r="T117" s="210"/>
    </row>
    <row r="118" spans="2:20" x14ac:dyDescent="0.25">
      <c r="B118" s="210"/>
      <c r="C118" s="210"/>
      <c r="D118" s="210"/>
      <c r="F118" s="210"/>
      <c r="G118" s="210"/>
      <c r="H118" s="210"/>
      <c r="J118" s="210"/>
      <c r="K118" s="210"/>
      <c r="L118" s="210"/>
      <c r="N118" s="210"/>
      <c r="O118" s="210"/>
      <c r="P118" s="210"/>
      <c r="R118" s="210"/>
      <c r="S118" s="210"/>
      <c r="T118" s="210"/>
    </row>
    <row r="119" spans="2:20" x14ac:dyDescent="0.25">
      <c r="B119" s="210"/>
      <c r="C119" s="210"/>
      <c r="D119" s="210"/>
      <c r="F119" s="210"/>
      <c r="G119" s="210"/>
      <c r="H119" s="210"/>
      <c r="J119" s="210"/>
      <c r="K119" s="210"/>
      <c r="L119" s="210"/>
      <c r="N119" s="210"/>
      <c r="O119" s="210"/>
      <c r="P119" s="210"/>
      <c r="R119" s="210"/>
      <c r="S119" s="210"/>
      <c r="T119" s="210"/>
    </row>
    <row r="120" spans="2:20" x14ac:dyDescent="0.25">
      <c r="B120" s="210"/>
      <c r="C120" s="210"/>
      <c r="D120" s="210"/>
      <c r="F120" s="210"/>
      <c r="G120" s="210"/>
      <c r="H120" s="210"/>
      <c r="J120" s="210"/>
      <c r="K120" s="210"/>
      <c r="L120" s="210"/>
      <c r="N120" s="210"/>
      <c r="O120" s="210"/>
      <c r="P120" s="210"/>
      <c r="R120" s="210"/>
      <c r="S120" s="210"/>
      <c r="T120" s="210"/>
    </row>
    <row r="121" spans="2:20" x14ac:dyDescent="0.25">
      <c r="B121" s="210"/>
      <c r="C121" s="210"/>
      <c r="D121" s="210"/>
      <c r="F121" s="210"/>
      <c r="G121" s="210"/>
      <c r="H121" s="210"/>
      <c r="J121" s="210"/>
      <c r="K121" s="210"/>
      <c r="L121" s="210"/>
      <c r="N121" s="210"/>
      <c r="O121" s="210"/>
      <c r="P121" s="210"/>
      <c r="R121" s="210"/>
      <c r="S121" s="210"/>
      <c r="T121" s="210"/>
    </row>
    <row r="122" spans="2:20" x14ac:dyDescent="0.25">
      <c r="B122" s="210"/>
      <c r="C122" s="210"/>
      <c r="D122" s="210"/>
      <c r="F122" s="210"/>
      <c r="G122" s="210"/>
      <c r="H122" s="210"/>
      <c r="J122" s="210"/>
      <c r="K122" s="210"/>
      <c r="L122" s="210"/>
      <c r="N122" s="210"/>
      <c r="O122" s="210"/>
      <c r="P122" s="210"/>
      <c r="R122" s="210"/>
      <c r="S122" s="210"/>
      <c r="T122" s="210"/>
    </row>
    <row r="123" spans="2:20" x14ac:dyDescent="0.25">
      <c r="B123" s="210"/>
      <c r="C123" s="210"/>
      <c r="D123" s="210"/>
      <c r="F123" s="210"/>
      <c r="G123" s="210"/>
      <c r="H123" s="210"/>
      <c r="J123" s="210"/>
      <c r="K123" s="210"/>
      <c r="L123" s="210"/>
      <c r="N123" s="210"/>
      <c r="O123" s="210"/>
      <c r="P123" s="210"/>
      <c r="R123" s="210"/>
      <c r="S123" s="210"/>
      <c r="T123" s="210"/>
    </row>
    <row r="124" spans="2:20" x14ac:dyDescent="0.25">
      <c r="B124" s="210"/>
      <c r="C124" s="210"/>
      <c r="D124" s="210"/>
      <c r="F124" s="210"/>
      <c r="G124" s="210"/>
      <c r="H124" s="210"/>
      <c r="J124" s="210"/>
      <c r="K124" s="210"/>
      <c r="L124" s="210"/>
      <c r="N124" s="210"/>
      <c r="O124" s="210"/>
      <c r="P124" s="210"/>
      <c r="R124" s="210"/>
      <c r="S124" s="210"/>
      <c r="T124" s="210"/>
    </row>
    <row r="125" spans="2:20" x14ac:dyDescent="0.25">
      <c r="B125" s="210"/>
      <c r="C125" s="210"/>
      <c r="D125" s="210"/>
      <c r="F125" s="210"/>
      <c r="G125" s="210"/>
      <c r="H125" s="210"/>
      <c r="J125" s="210"/>
      <c r="K125" s="210"/>
      <c r="L125" s="210"/>
      <c r="N125" s="210"/>
      <c r="O125" s="210"/>
      <c r="P125" s="210"/>
      <c r="R125" s="210"/>
      <c r="S125" s="210"/>
      <c r="T125" s="210"/>
    </row>
    <row r="126" spans="2:20" x14ac:dyDescent="0.25">
      <c r="B126" s="210"/>
      <c r="C126" s="210"/>
      <c r="D126" s="210"/>
      <c r="F126" s="210"/>
      <c r="G126" s="210"/>
      <c r="H126" s="210"/>
      <c r="J126" s="210"/>
      <c r="K126" s="210"/>
      <c r="L126" s="210"/>
      <c r="N126" s="210"/>
      <c r="O126" s="210"/>
      <c r="P126" s="210"/>
      <c r="R126" s="210"/>
      <c r="S126" s="210"/>
      <c r="T126" s="210"/>
    </row>
    <row r="127" spans="2:20" x14ac:dyDescent="0.25">
      <c r="B127" s="210"/>
      <c r="C127" s="210"/>
      <c r="D127" s="210"/>
      <c r="F127" s="210"/>
      <c r="G127" s="210"/>
      <c r="H127" s="210"/>
      <c r="J127" s="210"/>
      <c r="K127" s="210"/>
      <c r="L127" s="210"/>
      <c r="N127" s="210"/>
      <c r="O127" s="210"/>
      <c r="P127" s="210"/>
      <c r="R127" s="210"/>
      <c r="S127" s="210"/>
      <c r="T127" s="210"/>
    </row>
    <row r="128" spans="2:20" x14ac:dyDescent="0.25">
      <c r="B128" s="210"/>
      <c r="C128" s="210"/>
      <c r="D128" s="210"/>
      <c r="F128" s="210"/>
      <c r="G128" s="210"/>
      <c r="H128" s="210"/>
      <c r="J128" s="210"/>
      <c r="K128" s="210"/>
      <c r="L128" s="210"/>
      <c r="N128" s="210"/>
      <c r="O128" s="210"/>
      <c r="P128" s="210"/>
      <c r="R128" s="210"/>
      <c r="S128" s="210"/>
      <c r="T128" s="210"/>
    </row>
    <row r="129" spans="2:20" x14ac:dyDescent="0.25">
      <c r="B129" s="210"/>
      <c r="C129" s="210"/>
      <c r="D129" s="210"/>
      <c r="F129" s="210"/>
      <c r="G129" s="210"/>
      <c r="H129" s="210"/>
      <c r="J129" s="210"/>
      <c r="K129" s="210"/>
      <c r="L129" s="210"/>
      <c r="N129" s="210"/>
      <c r="O129" s="210"/>
      <c r="P129" s="210"/>
      <c r="R129" s="210"/>
      <c r="S129" s="210"/>
      <c r="T129" s="210"/>
    </row>
    <row r="130" spans="2:20" x14ac:dyDescent="0.25">
      <c r="B130" s="210"/>
      <c r="C130" s="210"/>
      <c r="D130" s="210"/>
      <c r="F130" s="210"/>
      <c r="G130" s="210"/>
      <c r="H130" s="210"/>
      <c r="J130" s="210"/>
      <c r="K130" s="210"/>
      <c r="L130" s="210"/>
      <c r="N130" s="210"/>
      <c r="O130" s="210"/>
      <c r="P130" s="210"/>
      <c r="R130" s="210"/>
      <c r="S130" s="210"/>
      <c r="T130" s="210"/>
    </row>
    <row r="131" spans="2:20" x14ac:dyDescent="0.25">
      <c r="B131" s="210"/>
      <c r="C131" s="210"/>
      <c r="D131" s="210"/>
      <c r="F131" s="210"/>
      <c r="G131" s="210"/>
      <c r="H131" s="210"/>
      <c r="J131" s="210"/>
      <c r="K131" s="210"/>
      <c r="L131" s="210"/>
      <c r="N131" s="210"/>
      <c r="O131" s="210"/>
      <c r="P131" s="210"/>
      <c r="R131" s="210"/>
      <c r="S131" s="210"/>
      <c r="T131" s="210"/>
    </row>
    <row r="132" spans="2:20" x14ac:dyDescent="0.25">
      <c r="B132" s="210"/>
      <c r="C132" s="210"/>
      <c r="D132" s="210"/>
      <c r="F132" s="210"/>
      <c r="G132" s="210"/>
      <c r="H132" s="210"/>
      <c r="J132" s="210"/>
      <c r="K132" s="210"/>
      <c r="L132" s="210"/>
      <c r="N132" s="210"/>
      <c r="O132" s="210"/>
      <c r="P132" s="210"/>
      <c r="R132" s="210"/>
      <c r="S132" s="210"/>
      <c r="T132" s="210"/>
    </row>
    <row r="133" spans="2:20" x14ac:dyDescent="0.25">
      <c r="B133" s="210"/>
      <c r="C133" s="210"/>
      <c r="D133" s="210"/>
      <c r="F133" s="210"/>
      <c r="G133" s="210"/>
      <c r="H133" s="210"/>
      <c r="J133" s="210"/>
      <c r="K133" s="210"/>
      <c r="L133" s="210"/>
      <c r="N133" s="210"/>
      <c r="O133" s="210"/>
      <c r="P133" s="210"/>
      <c r="R133" s="210"/>
      <c r="S133" s="210"/>
      <c r="T133" s="210"/>
    </row>
    <row r="134" spans="2:20" x14ac:dyDescent="0.25">
      <c r="B134" s="210"/>
      <c r="C134" s="210"/>
      <c r="D134" s="210"/>
      <c r="F134" s="210"/>
      <c r="G134" s="210"/>
      <c r="H134" s="210"/>
      <c r="J134" s="210"/>
      <c r="K134" s="210"/>
      <c r="L134" s="210"/>
      <c r="N134" s="210"/>
      <c r="O134" s="210"/>
      <c r="P134" s="210"/>
      <c r="R134" s="210"/>
      <c r="S134" s="210"/>
      <c r="T134" s="210"/>
    </row>
    <row r="135" spans="2:20" x14ac:dyDescent="0.25">
      <c r="B135" s="210"/>
      <c r="C135" s="210"/>
      <c r="D135" s="210"/>
      <c r="F135" s="210"/>
      <c r="G135" s="210"/>
      <c r="H135" s="210"/>
      <c r="J135" s="210"/>
      <c r="K135" s="210"/>
      <c r="L135" s="210"/>
      <c r="N135" s="210"/>
      <c r="O135" s="210"/>
      <c r="P135" s="210"/>
      <c r="R135" s="210"/>
      <c r="S135" s="210"/>
      <c r="T135" s="210"/>
    </row>
    <row r="136" spans="2:20" x14ac:dyDescent="0.25">
      <c r="B136" s="210"/>
      <c r="C136" s="210"/>
      <c r="D136" s="210"/>
      <c r="F136" s="210"/>
      <c r="G136" s="210"/>
      <c r="H136" s="210"/>
      <c r="J136" s="210"/>
      <c r="K136" s="210"/>
      <c r="L136" s="210"/>
      <c r="N136" s="210"/>
      <c r="O136" s="210"/>
      <c r="P136" s="210"/>
      <c r="R136" s="210"/>
      <c r="S136" s="210"/>
      <c r="T136" s="210"/>
    </row>
    <row r="137" spans="2:20" x14ac:dyDescent="0.25">
      <c r="B137" s="210"/>
      <c r="C137" s="210"/>
      <c r="D137" s="210"/>
      <c r="F137" s="210"/>
      <c r="G137" s="210"/>
      <c r="H137" s="210"/>
      <c r="J137" s="210"/>
      <c r="K137" s="210"/>
      <c r="L137" s="210"/>
      <c r="N137" s="210"/>
      <c r="O137" s="210"/>
      <c r="P137" s="210"/>
      <c r="R137" s="210"/>
      <c r="S137" s="210"/>
      <c r="T137" s="210"/>
    </row>
    <row r="138" spans="2:20" x14ac:dyDescent="0.25">
      <c r="B138" s="210"/>
      <c r="C138" s="210"/>
      <c r="D138" s="210"/>
      <c r="F138" s="210"/>
      <c r="G138" s="210"/>
      <c r="H138" s="210"/>
      <c r="J138" s="210"/>
      <c r="K138" s="210"/>
      <c r="L138" s="210"/>
      <c r="N138" s="210"/>
      <c r="O138" s="210"/>
      <c r="P138" s="210"/>
      <c r="R138" s="210"/>
      <c r="S138" s="210"/>
      <c r="T138" s="210"/>
    </row>
    <row r="139" spans="2:20" x14ac:dyDescent="0.25">
      <c r="B139" s="210"/>
      <c r="C139" s="210"/>
      <c r="D139" s="210"/>
      <c r="F139" s="210"/>
      <c r="G139" s="210"/>
      <c r="H139" s="210"/>
      <c r="J139" s="210"/>
      <c r="K139" s="210"/>
      <c r="L139" s="210"/>
      <c r="N139" s="210"/>
      <c r="O139" s="210"/>
      <c r="P139" s="210"/>
      <c r="R139" s="210"/>
      <c r="S139" s="210"/>
      <c r="T139" s="210"/>
    </row>
    <row r="140" spans="2:20" x14ac:dyDescent="0.25">
      <c r="B140" s="210"/>
      <c r="C140" s="210"/>
      <c r="D140" s="210"/>
      <c r="F140" s="210"/>
      <c r="G140" s="210"/>
      <c r="H140" s="210"/>
      <c r="J140" s="210"/>
      <c r="K140" s="210"/>
      <c r="L140" s="210"/>
      <c r="N140" s="210"/>
      <c r="O140" s="210"/>
      <c r="P140" s="210"/>
      <c r="R140" s="210"/>
      <c r="S140" s="210"/>
      <c r="T140" s="210"/>
    </row>
  </sheetData>
  <sheetProtection password="BDDB" sheet="1" objects="1" scenarios="1" selectLockedCells="1"/>
  <mergeCells count="22">
    <mergeCell ref="C6:U6"/>
    <mergeCell ref="V12:X12"/>
    <mergeCell ref="N62:P62"/>
    <mergeCell ref="V62:X62"/>
    <mergeCell ref="C2:AC2"/>
    <mergeCell ref="Z12:AB12"/>
    <mergeCell ref="C79:W79"/>
    <mergeCell ref="T9:AF9"/>
    <mergeCell ref="D8:P9"/>
    <mergeCell ref="C72:W75"/>
    <mergeCell ref="C76:W76"/>
    <mergeCell ref="C77:W77"/>
    <mergeCell ref="C78:W78"/>
    <mergeCell ref="J62:L62"/>
    <mergeCell ref="F62:H62"/>
    <mergeCell ref="R62:T62"/>
    <mergeCell ref="C71:R71"/>
    <mergeCell ref="Z62:AB62"/>
    <mergeCell ref="F12:H12"/>
    <mergeCell ref="J12:L12"/>
    <mergeCell ref="N12:P12"/>
    <mergeCell ref="R12:T12"/>
  </mergeCells>
  <conditionalFormatting sqref="L68">
    <cfRule type="expression" dxfId="62" priority="6" stopIfTrue="1">
      <formula>"ROUND('2. Enrollment Projections'!E25/(J46),0) &lt; ROUND('2. Enrollment Projections'!E25/(J28),0)"</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3"/>
  </sheetPr>
  <dimension ref="A1:U165"/>
  <sheetViews>
    <sheetView zoomScaleNormal="100" workbookViewId="0">
      <selection activeCell="G22" sqref="G22"/>
    </sheetView>
  </sheetViews>
  <sheetFormatPr defaultColWidth="9.140625" defaultRowHeight="12.75" x14ac:dyDescent="0.25"/>
  <cols>
    <col min="1" max="2" width="3" style="3" customWidth="1"/>
    <col min="3" max="3" width="3" style="1" customWidth="1"/>
    <col min="4" max="4" width="21.42578125" style="2" customWidth="1"/>
    <col min="5" max="5" width="41.28515625" style="3" customWidth="1"/>
    <col min="6" max="6" width="2.7109375" style="3" customWidth="1"/>
    <col min="7" max="7" width="14.28515625" style="22" customWidth="1"/>
    <col min="8" max="19" width="14.28515625" style="3" customWidth="1"/>
    <col min="20" max="21" width="3" style="3" customWidth="1"/>
    <col min="22" max="16384" width="9.140625" style="3"/>
  </cols>
  <sheetData>
    <row r="1" spans="2:21" ht="15" customHeight="1" thickBot="1" x14ac:dyDescent="0.3"/>
    <row r="2" spans="2:21" ht="21" customHeight="1" x14ac:dyDescent="0.25">
      <c r="B2" s="23"/>
      <c r="C2" s="82"/>
      <c r="D2" s="591" t="s">
        <v>115</v>
      </c>
      <c r="E2" s="630"/>
      <c r="F2" s="630"/>
      <c r="G2" s="630"/>
      <c r="H2" s="630"/>
      <c r="I2" s="630"/>
      <c r="J2" s="630"/>
      <c r="K2" s="630"/>
      <c r="L2" s="630"/>
      <c r="M2" s="630"/>
      <c r="N2" s="630"/>
      <c r="O2" s="630"/>
      <c r="P2" s="630"/>
      <c r="Q2" s="630"/>
      <c r="R2" s="630"/>
      <c r="S2" s="630"/>
      <c r="T2" s="15"/>
      <c r="U2" s="24"/>
    </row>
    <row r="3" spans="2:21" ht="15" customHeight="1" x14ac:dyDescent="0.25">
      <c r="B3" s="25"/>
      <c r="C3" s="6"/>
      <c r="D3" s="16"/>
      <c r="E3" s="83"/>
      <c r="F3" s="83"/>
      <c r="G3" s="14"/>
      <c r="H3" s="32"/>
      <c r="I3" s="32"/>
      <c r="J3" s="32"/>
      <c r="K3" s="32"/>
      <c r="L3" s="32"/>
      <c r="M3" s="32"/>
      <c r="N3" s="32"/>
      <c r="O3" s="32"/>
      <c r="P3" s="32"/>
      <c r="Q3" s="32"/>
      <c r="R3" s="32"/>
      <c r="S3" s="32"/>
      <c r="T3" s="32"/>
      <c r="U3" s="26"/>
    </row>
    <row r="4" spans="2:21" s="389" customFormat="1" ht="15" customHeight="1" x14ac:dyDescent="0.25">
      <c r="B4" s="382"/>
      <c r="C4" s="383"/>
      <c r="D4" s="218" t="s">
        <v>81</v>
      </c>
      <c r="E4" s="390" t="str">
        <f>IF(ISBLANK('1. Instructions'!E6),"Please enter School Name on Tab 1.",'1. Instructions'!E6)</f>
        <v xml:space="preserve">Genai Excellence Academy, Inc </v>
      </c>
      <c r="F4" s="390"/>
      <c r="G4" s="390"/>
      <c r="H4" s="385"/>
      <c r="I4" s="120"/>
      <c r="J4" s="391"/>
      <c r="K4" s="120"/>
      <c r="L4" s="120"/>
      <c r="M4" s="120"/>
      <c r="N4" s="120"/>
      <c r="O4" s="120"/>
      <c r="P4" s="120"/>
      <c r="Q4" s="120"/>
      <c r="R4" s="120"/>
      <c r="S4" s="120"/>
      <c r="T4" s="120"/>
      <c r="U4" s="388"/>
    </row>
    <row r="5" spans="2:21" s="389" customFormat="1" ht="15" customHeight="1" x14ac:dyDescent="0.25">
      <c r="B5" s="382"/>
      <c r="C5" s="383"/>
      <c r="D5" s="218" t="s">
        <v>82</v>
      </c>
      <c r="E5" s="390" t="str">
        <f>IF(ISBLANK('1. Instructions'!E7),"Please enter School's Opening Year on Tab 1.",'1. Instructions'!E7)</f>
        <v>2021-2022</v>
      </c>
      <c r="F5" s="390"/>
      <c r="G5" s="390"/>
      <c r="H5" s="385"/>
      <c r="I5" s="120"/>
      <c r="J5" s="391"/>
      <c r="K5" s="120"/>
      <c r="L5" s="120"/>
      <c r="M5" s="120"/>
      <c r="N5" s="120"/>
      <c r="O5" s="120"/>
      <c r="P5" s="120"/>
      <c r="Q5" s="120"/>
      <c r="R5" s="120"/>
      <c r="S5" s="120"/>
      <c r="T5" s="120"/>
      <c r="U5" s="388"/>
    </row>
    <row r="6" spans="2:21" s="372" customFormat="1" ht="15" customHeight="1" x14ac:dyDescent="0.25">
      <c r="B6" s="382"/>
      <c r="C6" s="383"/>
      <c r="D6" s="392"/>
      <c r="E6" s="120"/>
      <c r="F6" s="120"/>
      <c r="G6" s="120"/>
      <c r="H6" s="120"/>
      <c r="I6" s="120"/>
      <c r="J6" s="120"/>
      <c r="K6" s="120"/>
      <c r="L6" s="120"/>
      <c r="M6" s="232"/>
      <c r="N6" s="232"/>
      <c r="O6" s="232"/>
      <c r="P6" s="232"/>
      <c r="Q6" s="120"/>
      <c r="R6" s="391"/>
      <c r="S6" s="120"/>
      <c r="T6" s="120"/>
      <c r="U6" s="388"/>
    </row>
    <row r="7" spans="2:21" s="372" customFormat="1" ht="18" customHeight="1" x14ac:dyDescent="0.25">
      <c r="B7" s="382"/>
      <c r="C7" s="383"/>
      <c r="D7" s="620" t="s">
        <v>119</v>
      </c>
      <c r="E7" s="621"/>
      <c r="F7" s="621"/>
      <c r="G7" s="621"/>
      <c r="H7" s="621"/>
      <c r="I7" s="621"/>
      <c r="J7" s="621"/>
      <c r="K7" s="621"/>
      <c r="L7" s="621"/>
      <c r="M7" s="621"/>
      <c r="N7" s="621"/>
      <c r="O7" s="621"/>
      <c r="P7" s="621"/>
      <c r="Q7" s="621"/>
      <c r="R7" s="621"/>
      <c r="S7" s="621"/>
      <c r="T7" s="120"/>
      <c r="U7" s="388"/>
    </row>
    <row r="8" spans="2:21" s="372" customFormat="1" ht="46.5" customHeight="1" x14ac:dyDescent="0.25">
      <c r="B8" s="382"/>
      <c r="C8" s="383"/>
      <c r="D8" s="616" t="s">
        <v>123</v>
      </c>
      <c r="E8" s="617"/>
      <c r="F8" s="617"/>
      <c r="G8" s="617"/>
      <c r="H8" s="617"/>
      <c r="I8" s="617"/>
      <c r="J8" s="617"/>
      <c r="K8" s="617"/>
      <c r="L8" s="617"/>
      <c r="M8" s="617"/>
      <c r="N8" s="617"/>
      <c r="O8" s="617"/>
      <c r="P8" s="618"/>
      <c r="Q8" s="618"/>
      <c r="R8" s="618"/>
      <c r="S8" s="619"/>
      <c r="T8" s="120"/>
      <c r="U8" s="388"/>
    </row>
    <row r="9" spans="2:21" s="372" customFormat="1" ht="15" customHeight="1" thickBot="1" x14ac:dyDescent="0.3">
      <c r="B9" s="382"/>
      <c r="C9" s="383"/>
      <c r="D9" s="475"/>
      <c r="E9" s="476"/>
      <c r="F9" s="537"/>
      <c r="G9" s="476"/>
      <c r="H9" s="476"/>
      <c r="I9" s="476"/>
      <c r="J9" s="476"/>
      <c r="K9" s="476"/>
      <c r="L9" s="476"/>
      <c r="M9" s="476"/>
      <c r="N9" s="476"/>
      <c r="O9" s="476"/>
      <c r="P9" s="232"/>
      <c r="Q9" s="120"/>
      <c r="R9" s="391"/>
      <c r="S9" s="120"/>
      <c r="T9" s="120"/>
      <c r="U9" s="388"/>
    </row>
    <row r="10" spans="2:21" s="372" customFormat="1" ht="32.25" customHeight="1" thickBot="1" x14ac:dyDescent="0.3">
      <c r="B10" s="382"/>
      <c r="C10" s="383"/>
      <c r="D10" s="622" t="s">
        <v>574</v>
      </c>
      <c r="E10" s="623"/>
      <c r="F10" s="623"/>
      <c r="G10" s="623"/>
      <c r="H10" s="623"/>
      <c r="I10" s="623"/>
      <c r="J10" s="623"/>
      <c r="K10" s="623"/>
      <c r="L10" s="623"/>
      <c r="M10" s="623"/>
      <c r="N10" s="623"/>
      <c r="O10" s="623"/>
      <c r="P10" s="624"/>
      <c r="Q10" s="624"/>
      <c r="R10" s="624"/>
      <c r="S10" s="625"/>
      <c r="T10" s="120"/>
      <c r="U10" s="388"/>
    </row>
    <row r="11" spans="2:21" ht="15" customHeight="1" x14ac:dyDescent="0.25">
      <c r="B11" s="25"/>
      <c r="C11" s="6"/>
      <c r="D11" s="16"/>
      <c r="E11" s="125"/>
      <c r="F11" s="29"/>
      <c r="G11" s="124"/>
      <c r="H11" s="125"/>
      <c r="I11" s="125"/>
      <c r="J11" s="125"/>
      <c r="K11" s="125"/>
      <c r="L11" s="125"/>
      <c r="M11" s="125"/>
      <c r="N11" s="125"/>
      <c r="O11" s="125"/>
      <c r="P11" s="125"/>
      <c r="Q11" s="125"/>
      <c r="R11" s="125"/>
      <c r="S11" s="125"/>
      <c r="T11" s="125"/>
      <c r="U11" s="26"/>
    </row>
    <row r="12" spans="2:21" s="123" customFormat="1" ht="15" customHeight="1" thickBot="1" x14ac:dyDescent="0.3">
      <c r="B12" s="33"/>
      <c r="C12" s="9"/>
      <c r="D12" s="637"/>
      <c r="E12" s="637"/>
      <c r="F12" s="520"/>
      <c r="G12" s="34"/>
      <c r="H12" s="34"/>
      <c r="I12" s="34"/>
      <c r="J12" s="34"/>
      <c r="K12" s="34"/>
      <c r="L12" s="34"/>
      <c r="M12" s="34"/>
      <c r="N12" s="34"/>
      <c r="O12" s="34"/>
      <c r="P12" s="34"/>
      <c r="Q12" s="34"/>
      <c r="R12" s="34"/>
      <c r="S12" s="34"/>
      <c r="T12" s="28"/>
      <c r="U12" s="35"/>
    </row>
    <row r="13" spans="2:21" s="123" customFormat="1" ht="15" customHeight="1" x14ac:dyDescent="0.25">
      <c r="B13" s="33"/>
      <c r="C13" s="10"/>
      <c r="D13" s="638" t="s">
        <v>571</v>
      </c>
      <c r="E13" s="639"/>
      <c r="F13" s="521"/>
      <c r="G13" s="642" t="s">
        <v>64</v>
      </c>
      <c r="H13" s="631" t="s">
        <v>65</v>
      </c>
      <c r="I13" s="631" t="s">
        <v>66</v>
      </c>
      <c r="J13" s="631" t="s">
        <v>67</v>
      </c>
      <c r="K13" s="631" t="s">
        <v>68</v>
      </c>
      <c r="L13" s="633" t="s">
        <v>69</v>
      </c>
      <c r="M13" s="635" t="s">
        <v>70</v>
      </c>
      <c r="N13" s="631" t="s">
        <v>71</v>
      </c>
      <c r="O13" s="631" t="s">
        <v>72</v>
      </c>
      <c r="P13" s="631" t="s">
        <v>73</v>
      </c>
      <c r="Q13" s="631" t="s">
        <v>74</v>
      </c>
      <c r="R13" s="631" t="s">
        <v>63</v>
      </c>
      <c r="S13" s="644" t="s">
        <v>118</v>
      </c>
      <c r="T13" s="20"/>
      <c r="U13" s="35"/>
    </row>
    <row r="14" spans="2:21" s="123" customFormat="1" ht="15" customHeight="1" x14ac:dyDescent="0.25">
      <c r="B14" s="33"/>
      <c r="C14" s="10"/>
      <c r="D14" s="640"/>
      <c r="E14" s="641"/>
      <c r="F14" s="294"/>
      <c r="G14" s="643"/>
      <c r="H14" s="632"/>
      <c r="I14" s="632"/>
      <c r="J14" s="632"/>
      <c r="K14" s="632"/>
      <c r="L14" s="634"/>
      <c r="M14" s="636"/>
      <c r="N14" s="632"/>
      <c r="O14" s="632"/>
      <c r="P14" s="632"/>
      <c r="Q14" s="632"/>
      <c r="R14" s="632"/>
      <c r="S14" s="645"/>
      <c r="T14" s="20"/>
      <c r="U14" s="35"/>
    </row>
    <row r="15" spans="2:21" s="123" customFormat="1" ht="15" customHeight="1" x14ac:dyDescent="0.25">
      <c r="B15" s="33"/>
      <c r="C15" s="7"/>
      <c r="D15" s="626" t="s">
        <v>558</v>
      </c>
      <c r="E15" s="627"/>
      <c r="F15" s="463"/>
      <c r="G15" s="54"/>
      <c r="H15" s="54"/>
      <c r="I15" s="54"/>
      <c r="J15" s="54"/>
      <c r="K15" s="54"/>
      <c r="L15" s="54"/>
      <c r="M15" s="54"/>
      <c r="N15" s="54"/>
      <c r="O15" s="54"/>
      <c r="P15" s="54"/>
      <c r="Q15" s="54"/>
      <c r="R15" s="54"/>
      <c r="S15" s="30"/>
      <c r="T15" s="38"/>
      <c r="U15" s="35"/>
    </row>
    <row r="16" spans="2:21" ht="15" customHeight="1" x14ac:dyDescent="0.25">
      <c r="B16" s="25"/>
      <c r="C16" s="7"/>
      <c r="D16" s="598" t="s">
        <v>576</v>
      </c>
      <c r="E16" s="599"/>
      <c r="F16" s="525"/>
      <c r="G16" s="39">
        <v>0</v>
      </c>
      <c r="H16" s="39">
        <v>0</v>
      </c>
      <c r="I16" s="39">
        <v>0</v>
      </c>
      <c r="J16" s="39">
        <v>0</v>
      </c>
      <c r="K16" s="39">
        <v>0</v>
      </c>
      <c r="L16" s="40">
        <v>0</v>
      </c>
      <c r="M16" s="41">
        <v>0</v>
      </c>
      <c r="N16" s="39">
        <v>0</v>
      </c>
      <c r="O16" s="39">
        <v>0</v>
      </c>
      <c r="P16" s="39">
        <v>0</v>
      </c>
      <c r="Q16" s="39">
        <v>0</v>
      </c>
      <c r="R16" s="39">
        <v>0</v>
      </c>
      <c r="S16" s="42">
        <f>SUM(G16:R16)</f>
        <v>0</v>
      </c>
      <c r="T16" s="38"/>
      <c r="U16" s="26"/>
    </row>
    <row r="17" spans="2:21" ht="15" customHeight="1" x14ac:dyDescent="0.25">
      <c r="B17" s="25"/>
      <c r="C17" s="7"/>
      <c r="D17" s="598" t="s">
        <v>581</v>
      </c>
      <c r="E17" s="599"/>
      <c r="F17" s="515"/>
      <c r="G17" s="39">
        <v>0</v>
      </c>
      <c r="H17" s="39">
        <v>0</v>
      </c>
      <c r="I17" s="39">
        <v>0</v>
      </c>
      <c r="J17" s="39">
        <v>0</v>
      </c>
      <c r="K17" s="39">
        <v>0</v>
      </c>
      <c r="L17" s="40">
        <v>0</v>
      </c>
      <c r="M17" s="41">
        <v>0</v>
      </c>
      <c r="N17" s="39">
        <v>0</v>
      </c>
      <c r="O17" s="39">
        <v>0</v>
      </c>
      <c r="P17" s="39">
        <v>0</v>
      </c>
      <c r="Q17" s="39">
        <v>0</v>
      </c>
      <c r="R17" s="39">
        <v>0</v>
      </c>
      <c r="S17" s="42">
        <f>SUM(G17:R17)</f>
        <v>0</v>
      </c>
      <c r="T17" s="38"/>
      <c r="U17" s="26"/>
    </row>
    <row r="18" spans="2:21" ht="15" customHeight="1" x14ac:dyDescent="0.25">
      <c r="B18" s="25"/>
      <c r="C18" s="7"/>
      <c r="D18" s="608"/>
      <c r="E18" s="609"/>
      <c r="F18" s="120"/>
      <c r="G18" s="30"/>
      <c r="H18" s="30"/>
      <c r="I18" s="30"/>
      <c r="J18" s="30"/>
      <c r="K18" s="30"/>
      <c r="L18" s="30"/>
      <c r="M18" s="30"/>
      <c r="N18" s="30"/>
      <c r="O18" s="30"/>
      <c r="P18" s="30"/>
      <c r="Q18" s="30"/>
      <c r="R18" s="30"/>
      <c r="S18" s="519"/>
      <c r="T18" s="19"/>
      <c r="U18" s="26"/>
    </row>
    <row r="19" spans="2:21" ht="15" customHeight="1" x14ac:dyDescent="0.25">
      <c r="B19" s="25"/>
      <c r="C19" s="7"/>
      <c r="D19" s="606" t="s">
        <v>560</v>
      </c>
      <c r="E19" s="607"/>
      <c r="F19" s="498"/>
      <c r="G19" s="43">
        <f t="shared" ref="G19:R19" si="0">SUM(G16:G17)</f>
        <v>0</v>
      </c>
      <c r="H19" s="43">
        <f t="shared" si="0"/>
        <v>0</v>
      </c>
      <c r="I19" s="43">
        <f t="shared" si="0"/>
        <v>0</v>
      </c>
      <c r="J19" s="43">
        <f t="shared" si="0"/>
        <v>0</v>
      </c>
      <c r="K19" s="43">
        <f t="shared" si="0"/>
        <v>0</v>
      </c>
      <c r="L19" s="44">
        <f t="shared" si="0"/>
        <v>0</v>
      </c>
      <c r="M19" s="45">
        <f t="shared" si="0"/>
        <v>0</v>
      </c>
      <c r="N19" s="43">
        <f t="shared" si="0"/>
        <v>0</v>
      </c>
      <c r="O19" s="43">
        <f t="shared" si="0"/>
        <v>0</v>
      </c>
      <c r="P19" s="43">
        <f t="shared" si="0"/>
        <v>0</v>
      </c>
      <c r="Q19" s="43">
        <f t="shared" si="0"/>
        <v>0</v>
      </c>
      <c r="R19" s="43">
        <f t="shared" si="0"/>
        <v>0</v>
      </c>
      <c r="S19" s="42">
        <f>SUM(G19:R19)</f>
        <v>0</v>
      </c>
      <c r="T19" s="38"/>
      <c r="U19" s="26"/>
    </row>
    <row r="20" spans="2:21" ht="15" customHeight="1" x14ac:dyDescent="0.25">
      <c r="B20" s="25"/>
      <c r="C20" s="7"/>
      <c r="D20" s="608"/>
      <c r="E20" s="609"/>
      <c r="F20" s="498"/>
      <c r="G20" s="46"/>
      <c r="H20" s="46"/>
      <c r="I20" s="46"/>
      <c r="J20" s="46"/>
      <c r="K20" s="46"/>
      <c r="L20" s="46"/>
      <c r="M20" s="46"/>
      <c r="N20" s="46"/>
      <c r="O20" s="46"/>
      <c r="P20" s="46"/>
      <c r="Q20" s="46"/>
      <c r="R20" s="46"/>
      <c r="S20" s="31"/>
      <c r="T20" s="38"/>
      <c r="U20" s="26"/>
    </row>
    <row r="21" spans="2:21" ht="15" customHeight="1" x14ac:dyDescent="0.25">
      <c r="B21" s="25"/>
      <c r="C21" s="7"/>
      <c r="D21" s="614" t="s">
        <v>559</v>
      </c>
      <c r="E21" s="615"/>
      <c r="F21" s="516"/>
      <c r="G21" s="36"/>
      <c r="H21" s="36"/>
      <c r="I21" s="36"/>
      <c r="J21" s="36"/>
      <c r="K21" s="36"/>
      <c r="L21" s="36"/>
      <c r="M21" s="36"/>
      <c r="N21" s="36"/>
      <c r="O21" s="36"/>
      <c r="P21" s="36"/>
      <c r="Q21" s="36"/>
      <c r="R21" s="36"/>
      <c r="S21" s="53"/>
      <c r="T21" s="38"/>
      <c r="U21" s="26"/>
    </row>
    <row r="22" spans="2:21" ht="15" customHeight="1" x14ac:dyDescent="0.25">
      <c r="B22" s="25"/>
      <c r="C22" s="7"/>
      <c r="D22" s="608" t="s">
        <v>23</v>
      </c>
      <c r="E22" s="609"/>
      <c r="F22" s="516"/>
      <c r="G22" s="39">
        <v>0</v>
      </c>
      <c r="H22" s="39">
        <v>0</v>
      </c>
      <c r="I22" s="39">
        <v>0</v>
      </c>
      <c r="J22" s="39">
        <v>0</v>
      </c>
      <c r="K22" s="39">
        <v>0</v>
      </c>
      <c r="L22" s="40">
        <v>0</v>
      </c>
      <c r="M22" s="41">
        <v>0</v>
      </c>
      <c r="N22" s="39">
        <v>0</v>
      </c>
      <c r="O22" s="39">
        <v>0</v>
      </c>
      <c r="P22" s="39">
        <v>0</v>
      </c>
      <c r="Q22" s="39">
        <v>0</v>
      </c>
      <c r="R22" s="39">
        <v>0</v>
      </c>
      <c r="S22" s="42">
        <f>SUM(G22:R22)</f>
        <v>0</v>
      </c>
      <c r="T22" s="38"/>
      <c r="U22" s="26"/>
    </row>
    <row r="23" spans="2:21" ht="15" customHeight="1" x14ac:dyDescent="0.25">
      <c r="B23" s="25"/>
      <c r="C23" s="7"/>
      <c r="D23" s="608" t="s">
        <v>19</v>
      </c>
      <c r="E23" s="609"/>
      <c r="F23" s="516"/>
      <c r="G23" s="39">
        <v>0</v>
      </c>
      <c r="H23" s="39">
        <v>0</v>
      </c>
      <c r="I23" s="39">
        <v>0</v>
      </c>
      <c r="J23" s="39">
        <v>0</v>
      </c>
      <c r="K23" s="39">
        <v>0</v>
      </c>
      <c r="L23" s="40">
        <v>0</v>
      </c>
      <c r="M23" s="41">
        <v>0</v>
      </c>
      <c r="N23" s="39">
        <v>0</v>
      </c>
      <c r="O23" s="39">
        <v>0</v>
      </c>
      <c r="P23" s="39">
        <v>0</v>
      </c>
      <c r="Q23" s="39">
        <v>0</v>
      </c>
      <c r="R23" s="39">
        <v>0</v>
      </c>
      <c r="S23" s="42">
        <f>SUM(G23:R23)</f>
        <v>0</v>
      </c>
      <c r="T23" s="38"/>
      <c r="U23" s="26"/>
    </row>
    <row r="24" spans="2:21" ht="15" customHeight="1" x14ac:dyDescent="0.25">
      <c r="B24" s="25"/>
      <c r="C24" s="7"/>
      <c r="D24" s="608" t="s">
        <v>580</v>
      </c>
      <c r="E24" s="609"/>
      <c r="F24" s="516"/>
      <c r="G24" s="39">
        <v>0</v>
      </c>
      <c r="H24" s="39">
        <v>0</v>
      </c>
      <c r="I24" s="39">
        <v>0</v>
      </c>
      <c r="J24" s="39">
        <v>0</v>
      </c>
      <c r="K24" s="39">
        <v>0</v>
      </c>
      <c r="L24" s="40">
        <v>0</v>
      </c>
      <c r="M24" s="41">
        <v>0</v>
      </c>
      <c r="N24" s="39">
        <v>0</v>
      </c>
      <c r="O24" s="39">
        <v>0</v>
      </c>
      <c r="P24" s="39">
        <v>0</v>
      </c>
      <c r="Q24" s="39">
        <v>0</v>
      </c>
      <c r="R24" s="39">
        <v>0</v>
      </c>
      <c r="S24" s="42">
        <f>SUM(G24:R24)</f>
        <v>0</v>
      </c>
      <c r="T24" s="38"/>
      <c r="U24" s="26"/>
    </row>
    <row r="25" spans="2:21" ht="15" customHeight="1" x14ac:dyDescent="0.25">
      <c r="B25" s="25"/>
      <c r="C25" s="7"/>
      <c r="D25" s="608"/>
      <c r="E25" s="609"/>
      <c r="F25" s="496"/>
      <c r="G25" s="30"/>
      <c r="H25" s="30"/>
      <c r="I25" s="30"/>
      <c r="J25" s="30"/>
      <c r="K25" s="30"/>
      <c r="L25" s="30"/>
      <c r="M25" s="30"/>
      <c r="N25" s="30"/>
      <c r="O25" s="30"/>
      <c r="P25" s="30"/>
      <c r="Q25" s="30"/>
      <c r="R25" s="30"/>
      <c r="S25" s="30"/>
      <c r="T25" s="38"/>
      <c r="U25" s="26"/>
    </row>
    <row r="26" spans="2:21" ht="15" customHeight="1" x14ac:dyDescent="0.25">
      <c r="B26" s="25"/>
      <c r="C26" s="7"/>
      <c r="D26" s="606" t="s">
        <v>561</v>
      </c>
      <c r="E26" s="607"/>
      <c r="F26" s="516"/>
      <c r="G26" s="47">
        <f t="shared" ref="G26:L26" si="1">SUM(G22:G24)</f>
        <v>0</v>
      </c>
      <c r="H26" s="47">
        <f t="shared" si="1"/>
        <v>0</v>
      </c>
      <c r="I26" s="47">
        <f t="shared" si="1"/>
        <v>0</v>
      </c>
      <c r="J26" s="47">
        <f t="shared" si="1"/>
        <v>0</v>
      </c>
      <c r="K26" s="47">
        <f t="shared" si="1"/>
        <v>0</v>
      </c>
      <c r="L26" s="48">
        <f t="shared" si="1"/>
        <v>0</v>
      </c>
      <c r="M26" s="49">
        <f t="shared" ref="M26:R26" si="2">SUM(M22:M24)</f>
        <v>0</v>
      </c>
      <c r="N26" s="47">
        <f t="shared" si="2"/>
        <v>0</v>
      </c>
      <c r="O26" s="47">
        <f t="shared" si="2"/>
        <v>0</v>
      </c>
      <c r="P26" s="47">
        <f t="shared" si="2"/>
        <v>0</v>
      </c>
      <c r="Q26" s="47">
        <f t="shared" si="2"/>
        <v>0</v>
      </c>
      <c r="R26" s="47">
        <f t="shared" si="2"/>
        <v>0</v>
      </c>
      <c r="S26" s="42">
        <f>SUM(G26:R26)</f>
        <v>0</v>
      </c>
      <c r="T26" s="38"/>
      <c r="U26" s="26"/>
    </row>
    <row r="27" spans="2:21" ht="15" customHeight="1" x14ac:dyDescent="0.25">
      <c r="B27" s="25"/>
      <c r="C27" s="7"/>
      <c r="D27" s="608"/>
      <c r="E27" s="609"/>
      <c r="F27" s="496"/>
      <c r="G27" s="30"/>
      <c r="H27" s="30"/>
      <c r="I27" s="30"/>
      <c r="J27" s="30"/>
      <c r="K27" s="30"/>
      <c r="L27" s="30"/>
      <c r="M27" s="30"/>
      <c r="N27" s="30"/>
      <c r="O27" s="30"/>
      <c r="P27" s="30"/>
      <c r="Q27" s="30"/>
      <c r="R27" s="30"/>
      <c r="S27" s="519"/>
      <c r="T27" s="19"/>
      <c r="U27" s="26"/>
    </row>
    <row r="28" spans="2:21" ht="15" customHeight="1" x14ac:dyDescent="0.25">
      <c r="B28" s="25"/>
      <c r="C28" s="7"/>
      <c r="D28" s="610" t="s">
        <v>562</v>
      </c>
      <c r="E28" s="611"/>
      <c r="F28" s="516"/>
      <c r="G28" s="43">
        <f t="shared" ref="G28:L28" si="3">G19+G26</f>
        <v>0</v>
      </c>
      <c r="H28" s="43">
        <f t="shared" si="3"/>
        <v>0</v>
      </c>
      <c r="I28" s="43">
        <f t="shared" si="3"/>
        <v>0</v>
      </c>
      <c r="J28" s="43">
        <f t="shared" si="3"/>
        <v>0</v>
      </c>
      <c r="K28" s="43">
        <f t="shared" si="3"/>
        <v>0</v>
      </c>
      <c r="L28" s="44">
        <f t="shared" si="3"/>
        <v>0</v>
      </c>
      <c r="M28" s="45">
        <f t="shared" ref="M28:R28" si="4">M19+M26</f>
        <v>0</v>
      </c>
      <c r="N28" s="43">
        <f t="shared" si="4"/>
        <v>0</v>
      </c>
      <c r="O28" s="43">
        <f t="shared" si="4"/>
        <v>0</v>
      </c>
      <c r="P28" s="43">
        <f t="shared" si="4"/>
        <v>0</v>
      </c>
      <c r="Q28" s="43">
        <f t="shared" si="4"/>
        <v>0</v>
      </c>
      <c r="R28" s="43">
        <f t="shared" si="4"/>
        <v>0</v>
      </c>
      <c r="S28" s="42">
        <f>SUM(G28:R28)</f>
        <v>0</v>
      </c>
      <c r="T28" s="38"/>
      <c r="U28" s="26"/>
    </row>
    <row r="29" spans="2:21" ht="15" customHeight="1" x14ac:dyDescent="0.25">
      <c r="B29" s="25"/>
      <c r="C29" s="7"/>
      <c r="D29" s="508"/>
      <c r="E29" s="509"/>
      <c r="F29" s="496"/>
      <c r="G29" s="46"/>
      <c r="H29" s="46"/>
      <c r="I29" s="46"/>
      <c r="J29" s="46"/>
      <c r="K29" s="46"/>
      <c r="L29" s="46"/>
      <c r="M29" s="46"/>
      <c r="N29" s="46"/>
      <c r="O29" s="46"/>
      <c r="P29" s="46"/>
      <c r="Q29" s="46"/>
      <c r="R29" s="46"/>
      <c r="S29" s="31"/>
      <c r="T29" s="38"/>
      <c r="U29" s="26"/>
    </row>
    <row r="30" spans="2:21" ht="15" customHeight="1" x14ac:dyDescent="0.25">
      <c r="B30" s="25"/>
      <c r="C30" s="10"/>
      <c r="D30" s="646" t="s">
        <v>26</v>
      </c>
      <c r="E30" s="647"/>
      <c r="F30" s="120"/>
      <c r="G30" s="50"/>
      <c r="H30" s="50"/>
      <c r="I30" s="50"/>
      <c r="J30" s="50"/>
      <c r="K30" s="50"/>
      <c r="L30" s="50"/>
      <c r="M30" s="50"/>
      <c r="N30" s="50"/>
      <c r="O30" s="50"/>
      <c r="P30" s="50"/>
      <c r="Q30" s="50"/>
      <c r="R30" s="50"/>
      <c r="S30" s="86"/>
      <c r="T30" s="38"/>
      <c r="U30" s="26"/>
    </row>
    <row r="31" spans="2:21" ht="15" customHeight="1" x14ac:dyDescent="0.25">
      <c r="B31" s="25"/>
      <c r="C31" s="10"/>
      <c r="D31" s="648"/>
      <c r="E31" s="649"/>
      <c r="F31" s="517"/>
      <c r="G31" s="50"/>
      <c r="H31" s="50"/>
      <c r="I31" s="50"/>
      <c r="J31" s="50"/>
      <c r="K31" s="50"/>
      <c r="L31" s="50"/>
      <c r="M31" s="50"/>
      <c r="N31" s="50"/>
      <c r="O31" s="50"/>
      <c r="P31" s="50"/>
      <c r="Q31" s="50"/>
      <c r="R31" s="50"/>
      <c r="S31" s="86"/>
      <c r="T31" s="38"/>
      <c r="U31" s="26"/>
    </row>
    <row r="32" spans="2:21" ht="15" customHeight="1" x14ac:dyDescent="0.25">
      <c r="B32" s="25"/>
      <c r="C32" s="7"/>
      <c r="D32" s="628" t="s">
        <v>14</v>
      </c>
      <c r="E32" s="629"/>
      <c r="F32" s="120"/>
      <c r="G32" s="36"/>
      <c r="H32" s="36"/>
      <c r="I32" s="36"/>
      <c r="J32" s="36"/>
      <c r="K32" s="36"/>
      <c r="L32" s="36"/>
      <c r="M32" s="36"/>
      <c r="N32" s="36"/>
      <c r="O32" s="36"/>
      <c r="P32" s="36"/>
      <c r="Q32" s="36"/>
      <c r="R32" s="36"/>
      <c r="S32" s="53"/>
      <c r="T32" s="38"/>
      <c r="U32" s="26"/>
    </row>
    <row r="33" spans="2:21" ht="15" customHeight="1" x14ac:dyDescent="0.25">
      <c r="B33" s="25"/>
      <c r="C33" s="7"/>
      <c r="D33" s="608" t="s">
        <v>572</v>
      </c>
      <c r="E33" s="609"/>
      <c r="F33" s="385"/>
      <c r="G33" s="39">
        <v>0</v>
      </c>
      <c r="H33" s="39">
        <v>0</v>
      </c>
      <c r="I33" s="39">
        <v>0</v>
      </c>
      <c r="J33" s="39">
        <v>0</v>
      </c>
      <c r="K33" s="39">
        <v>0</v>
      </c>
      <c r="L33" s="40">
        <v>0</v>
      </c>
      <c r="M33" s="41">
        <v>0</v>
      </c>
      <c r="N33" s="39">
        <v>0</v>
      </c>
      <c r="O33" s="39">
        <v>0</v>
      </c>
      <c r="P33" s="39">
        <v>0</v>
      </c>
      <c r="Q33" s="39">
        <v>0</v>
      </c>
      <c r="R33" s="39">
        <v>0</v>
      </c>
      <c r="S33" s="42">
        <f>SUM(G33:R33)</f>
        <v>0</v>
      </c>
      <c r="T33" s="38"/>
      <c r="U33" s="26"/>
    </row>
    <row r="34" spans="2:21" ht="15" customHeight="1" x14ac:dyDescent="0.25">
      <c r="B34" s="25"/>
      <c r="C34" s="7"/>
      <c r="D34" s="504"/>
      <c r="E34" s="505"/>
      <c r="F34" s="120"/>
      <c r="G34" s="30"/>
      <c r="H34" s="30"/>
      <c r="I34" s="30"/>
      <c r="J34" s="30"/>
      <c r="K34" s="30"/>
      <c r="L34" s="30"/>
      <c r="M34" s="51"/>
      <c r="N34" s="51"/>
      <c r="O34" s="51"/>
      <c r="P34" s="51"/>
      <c r="Q34" s="51"/>
      <c r="R34" s="51"/>
      <c r="S34" s="51"/>
      <c r="T34" s="52"/>
      <c r="U34" s="26"/>
    </row>
    <row r="35" spans="2:21" ht="15" customHeight="1" x14ac:dyDescent="0.25">
      <c r="B35" s="25"/>
      <c r="C35" s="7"/>
      <c r="D35" s="606" t="s">
        <v>39</v>
      </c>
      <c r="E35" s="607"/>
      <c r="F35" s="120"/>
      <c r="G35" s="47">
        <f t="shared" ref="G35:R35" si="5">SUM(G33:G33)</f>
        <v>0</v>
      </c>
      <c r="H35" s="47">
        <f t="shared" si="5"/>
        <v>0</v>
      </c>
      <c r="I35" s="47">
        <f t="shared" si="5"/>
        <v>0</v>
      </c>
      <c r="J35" s="47">
        <f t="shared" si="5"/>
        <v>0</v>
      </c>
      <c r="K35" s="47">
        <f t="shared" si="5"/>
        <v>0</v>
      </c>
      <c r="L35" s="48">
        <f t="shared" si="5"/>
        <v>0</v>
      </c>
      <c r="M35" s="49">
        <f t="shared" si="5"/>
        <v>0</v>
      </c>
      <c r="N35" s="47">
        <f t="shared" si="5"/>
        <v>0</v>
      </c>
      <c r="O35" s="47">
        <f t="shared" si="5"/>
        <v>0</v>
      </c>
      <c r="P35" s="47">
        <f t="shared" si="5"/>
        <v>0</v>
      </c>
      <c r="Q35" s="47">
        <f t="shared" si="5"/>
        <v>0</v>
      </c>
      <c r="R35" s="47">
        <f t="shared" si="5"/>
        <v>0</v>
      </c>
      <c r="S35" s="42">
        <f>SUM(G35:R35)</f>
        <v>0</v>
      </c>
      <c r="T35" s="38"/>
      <c r="U35" s="26"/>
    </row>
    <row r="36" spans="2:21" s="29" customFormat="1" ht="15" customHeight="1" x14ac:dyDescent="0.25">
      <c r="B36" s="25"/>
      <c r="C36" s="7"/>
      <c r="D36" s="506"/>
      <c r="E36" s="507"/>
      <c r="F36" s="120"/>
      <c r="G36" s="31"/>
      <c r="H36" s="31"/>
      <c r="I36" s="31"/>
      <c r="J36" s="31"/>
      <c r="K36" s="31"/>
      <c r="L36" s="31"/>
      <c r="M36" s="31"/>
      <c r="N36" s="31"/>
      <c r="O36" s="31"/>
      <c r="P36" s="31"/>
      <c r="Q36" s="31"/>
      <c r="R36" s="31"/>
      <c r="S36" s="18"/>
      <c r="T36" s="19"/>
      <c r="U36" s="26"/>
    </row>
    <row r="37" spans="2:21" s="29" customFormat="1" ht="15" customHeight="1" x14ac:dyDescent="0.25">
      <c r="B37" s="25"/>
      <c r="C37" s="7"/>
      <c r="D37" s="614" t="s">
        <v>117</v>
      </c>
      <c r="E37" s="615"/>
      <c r="F37" s="120"/>
      <c r="G37" s="36"/>
      <c r="H37" s="36"/>
      <c r="I37" s="36"/>
      <c r="J37" s="36"/>
      <c r="K37" s="36"/>
      <c r="L37" s="36"/>
      <c r="M37" s="36"/>
      <c r="N37" s="36"/>
      <c r="O37" s="36"/>
      <c r="P37" s="36"/>
      <c r="Q37" s="36"/>
      <c r="R37" s="36"/>
      <c r="S37" s="53"/>
      <c r="T37" s="38"/>
      <c r="U37" s="26"/>
    </row>
    <row r="38" spans="2:21" ht="15" customHeight="1" x14ac:dyDescent="0.25">
      <c r="B38" s="25"/>
      <c r="C38" s="7"/>
      <c r="D38" s="608" t="s">
        <v>3</v>
      </c>
      <c r="E38" s="609"/>
      <c r="F38" s="120"/>
      <c r="G38" s="39">
        <v>0</v>
      </c>
      <c r="H38" s="39">
        <v>0</v>
      </c>
      <c r="I38" s="39">
        <v>0</v>
      </c>
      <c r="J38" s="39">
        <v>0</v>
      </c>
      <c r="K38" s="39">
        <v>0</v>
      </c>
      <c r="L38" s="40">
        <v>0</v>
      </c>
      <c r="M38" s="41">
        <v>0</v>
      </c>
      <c r="N38" s="39">
        <v>0</v>
      </c>
      <c r="O38" s="39">
        <v>0</v>
      </c>
      <c r="P38" s="39">
        <v>0</v>
      </c>
      <c r="Q38" s="39">
        <v>0</v>
      </c>
      <c r="R38" s="39">
        <v>0</v>
      </c>
      <c r="S38" s="42">
        <f t="shared" ref="S38:S45" si="6">SUM(G38:R38)</f>
        <v>0</v>
      </c>
      <c r="T38" s="38"/>
      <c r="U38" s="26"/>
    </row>
    <row r="39" spans="2:21" ht="15" customHeight="1" x14ac:dyDescent="0.25">
      <c r="B39" s="25"/>
      <c r="C39" s="7"/>
      <c r="D39" s="608" t="s">
        <v>40</v>
      </c>
      <c r="E39" s="609"/>
      <c r="F39" s="120"/>
      <c r="G39" s="39">
        <v>0</v>
      </c>
      <c r="H39" s="39">
        <v>0</v>
      </c>
      <c r="I39" s="39">
        <v>0</v>
      </c>
      <c r="J39" s="39">
        <v>0</v>
      </c>
      <c r="K39" s="39">
        <v>0</v>
      </c>
      <c r="L39" s="40">
        <v>0</v>
      </c>
      <c r="M39" s="41">
        <v>0</v>
      </c>
      <c r="N39" s="39">
        <v>0</v>
      </c>
      <c r="O39" s="39">
        <v>0</v>
      </c>
      <c r="P39" s="39">
        <v>0</v>
      </c>
      <c r="Q39" s="39">
        <v>0</v>
      </c>
      <c r="R39" s="39">
        <v>0</v>
      </c>
      <c r="S39" s="42">
        <f t="shared" si="6"/>
        <v>0</v>
      </c>
      <c r="T39" s="38"/>
      <c r="U39" s="26"/>
    </row>
    <row r="40" spans="2:21" ht="15" customHeight="1" x14ac:dyDescent="0.25">
      <c r="B40" s="25"/>
      <c r="C40" s="7"/>
      <c r="D40" s="608" t="s">
        <v>507</v>
      </c>
      <c r="E40" s="609"/>
      <c r="F40" s="120"/>
      <c r="G40" s="39">
        <v>0</v>
      </c>
      <c r="H40" s="39">
        <v>0</v>
      </c>
      <c r="I40" s="39">
        <v>0</v>
      </c>
      <c r="J40" s="39">
        <v>0</v>
      </c>
      <c r="K40" s="39">
        <v>0</v>
      </c>
      <c r="L40" s="40">
        <v>0</v>
      </c>
      <c r="M40" s="41">
        <v>0</v>
      </c>
      <c r="N40" s="39">
        <v>0</v>
      </c>
      <c r="O40" s="39">
        <v>0</v>
      </c>
      <c r="P40" s="39">
        <v>0</v>
      </c>
      <c r="Q40" s="39">
        <v>0</v>
      </c>
      <c r="R40" s="39">
        <v>0</v>
      </c>
      <c r="S40" s="42">
        <f t="shared" si="6"/>
        <v>0</v>
      </c>
      <c r="T40" s="38"/>
      <c r="U40" s="26"/>
    </row>
    <row r="41" spans="2:21" ht="15" customHeight="1" x14ac:dyDescent="0.25">
      <c r="B41" s="25"/>
      <c r="C41" s="7"/>
      <c r="D41" s="608" t="s">
        <v>41</v>
      </c>
      <c r="E41" s="609"/>
      <c r="F41" s="120"/>
      <c r="G41" s="39">
        <v>0</v>
      </c>
      <c r="H41" s="39">
        <v>0</v>
      </c>
      <c r="I41" s="39">
        <v>0</v>
      </c>
      <c r="J41" s="39">
        <v>0</v>
      </c>
      <c r="K41" s="39">
        <v>0</v>
      </c>
      <c r="L41" s="40">
        <v>0</v>
      </c>
      <c r="M41" s="41">
        <v>0</v>
      </c>
      <c r="N41" s="39">
        <v>0</v>
      </c>
      <c r="O41" s="39">
        <v>0</v>
      </c>
      <c r="P41" s="39">
        <v>0</v>
      </c>
      <c r="Q41" s="39">
        <v>0</v>
      </c>
      <c r="R41" s="39">
        <v>0</v>
      </c>
      <c r="S41" s="42">
        <f t="shared" si="6"/>
        <v>0</v>
      </c>
      <c r="T41" s="38"/>
      <c r="U41" s="26"/>
    </row>
    <row r="42" spans="2:21" ht="15" customHeight="1" x14ac:dyDescent="0.25">
      <c r="B42" s="25"/>
      <c r="C42" s="7"/>
      <c r="D42" s="608" t="s">
        <v>42</v>
      </c>
      <c r="E42" s="609"/>
      <c r="F42" s="120"/>
      <c r="G42" s="39">
        <v>0</v>
      </c>
      <c r="H42" s="39">
        <v>0</v>
      </c>
      <c r="I42" s="39">
        <v>0</v>
      </c>
      <c r="J42" s="39">
        <v>0</v>
      </c>
      <c r="K42" s="39">
        <v>0</v>
      </c>
      <c r="L42" s="40">
        <v>0</v>
      </c>
      <c r="M42" s="41">
        <v>0</v>
      </c>
      <c r="N42" s="39">
        <v>0</v>
      </c>
      <c r="O42" s="39">
        <v>0</v>
      </c>
      <c r="P42" s="39">
        <v>0</v>
      </c>
      <c r="Q42" s="39">
        <v>0</v>
      </c>
      <c r="R42" s="39">
        <v>0</v>
      </c>
      <c r="S42" s="42">
        <f t="shared" si="6"/>
        <v>0</v>
      </c>
      <c r="T42" s="38"/>
      <c r="U42" s="26"/>
    </row>
    <row r="43" spans="2:21" ht="15" customHeight="1" x14ac:dyDescent="0.25">
      <c r="B43" s="25"/>
      <c r="C43" s="8"/>
      <c r="D43" s="608" t="s">
        <v>13</v>
      </c>
      <c r="E43" s="609"/>
      <c r="F43" s="517"/>
      <c r="G43" s="39">
        <v>0</v>
      </c>
      <c r="H43" s="39">
        <v>0</v>
      </c>
      <c r="I43" s="39">
        <v>0</v>
      </c>
      <c r="J43" s="39">
        <v>0</v>
      </c>
      <c r="K43" s="39">
        <v>0</v>
      </c>
      <c r="L43" s="40">
        <v>0</v>
      </c>
      <c r="M43" s="41">
        <v>0</v>
      </c>
      <c r="N43" s="39">
        <v>0</v>
      </c>
      <c r="O43" s="39">
        <v>0</v>
      </c>
      <c r="P43" s="39">
        <v>0</v>
      </c>
      <c r="Q43" s="39">
        <v>0</v>
      </c>
      <c r="R43" s="39">
        <v>0</v>
      </c>
      <c r="S43" s="42">
        <f t="shared" si="6"/>
        <v>0</v>
      </c>
      <c r="T43" s="38"/>
      <c r="U43" s="26"/>
    </row>
    <row r="44" spans="2:21" ht="15" customHeight="1" x14ac:dyDescent="0.25">
      <c r="B44" s="25"/>
      <c r="C44" s="7"/>
      <c r="D44" s="608" t="s">
        <v>508</v>
      </c>
      <c r="E44" s="609"/>
      <c r="F44" s="120"/>
      <c r="G44" s="39">
        <v>0</v>
      </c>
      <c r="H44" s="39">
        <v>0</v>
      </c>
      <c r="I44" s="39">
        <v>0</v>
      </c>
      <c r="J44" s="39">
        <v>0</v>
      </c>
      <c r="K44" s="39">
        <v>0</v>
      </c>
      <c r="L44" s="40">
        <v>0</v>
      </c>
      <c r="M44" s="41">
        <v>0</v>
      </c>
      <c r="N44" s="39">
        <v>0</v>
      </c>
      <c r="O44" s="39">
        <v>0</v>
      </c>
      <c r="P44" s="39">
        <v>0</v>
      </c>
      <c r="Q44" s="39">
        <v>0</v>
      </c>
      <c r="R44" s="39">
        <v>0</v>
      </c>
      <c r="S44" s="42">
        <f t="shared" si="6"/>
        <v>0</v>
      </c>
      <c r="T44" s="38"/>
      <c r="U44" s="26"/>
    </row>
    <row r="45" spans="2:21" ht="15" customHeight="1" x14ac:dyDescent="0.25">
      <c r="B45" s="25"/>
      <c r="C45" s="7"/>
      <c r="D45" s="608" t="s">
        <v>509</v>
      </c>
      <c r="E45" s="609"/>
      <c r="F45" s="385"/>
      <c r="G45" s="39">
        <v>0</v>
      </c>
      <c r="H45" s="39">
        <v>0</v>
      </c>
      <c r="I45" s="39">
        <v>0</v>
      </c>
      <c r="J45" s="39">
        <v>0</v>
      </c>
      <c r="K45" s="39">
        <v>0</v>
      </c>
      <c r="L45" s="40">
        <v>0</v>
      </c>
      <c r="M45" s="41">
        <v>0</v>
      </c>
      <c r="N45" s="39">
        <v>0</v>
      </c>
      <c r="O45" s="39">
        <v>0</v>
      </c>
      <c r="P45" s="39">
        <v>0</v>
      </c>
      <c r="Q45" s="39">
        <v>0</v>
      </c>
      <c r="R45" s="39">
        <v>0</v>
      </c>
      <c r="S45" s="42">
        <f t="shared" si="6"/>
        <v>0</v>
      </c>
      <c r="T45" s="38"/>
      <c r="U45" s="26"/>
    </row>
    <row r="46" spans="2:21" ht="15" customHeight="1" x14ac:dyDescent="0.25">
      <c r="B46" s="25"/>
      <c r="C46" s="7"/>
      <c r="D46" s="504"/>
      <c r="E46" s="505"/>
      <c r="F46" s="120"/>
      <c r="G46" s="54"/>
      <c r="H46" s="54"/>
      <c r="I46" s="54"/>
      <c r="J46" s="54"/>
      <c r="K46" s="54"/>
      <c r="L46" s="54"/>
      <c r="M46" s="54"/>
      <c r="N46" s="54"/>
      <c r="O46" s="54"/>
      <c r="P46" s="54"/>
      <c r="Q46" s="54"/>
      <c r="R46" s="54"/>
      <c r="S46" s="30"/>
      <c r="T46" s="38"/>
      <c r="U46" s="26"/>
    </row>
    <row r="47" spans="2:21" ht="15" customHeight="1" x14ac:dyDescent="0.25">
      <c r="B47" s="25"/>
      <c r="C47" s="7"/>
      <c r="D47" s="606" t="s">
        <v>43</v>
      </c>
      <c r="E47" s="607"/>
      <c r="F47" s="120"/>
      <c r="G47" s="43">
        <f t="shared" ref="G47:L47" si="7">SUM(G38:G45)</f>
        <v>0</v>
      </c>
      <c r="H47" s="43">
        <f t="shared" si="7"/>
        <v>0</v>
      </c>
      <c r="I47" s="43">
        <f t="shared" si="7"/>
        <v>0</v>
      </c>
      <c r="J47" s="43">
        <f t="shared" si="7"/>
        <v>0</v>
      </c>
      <c r="K47" s="43">
        <f t="shared" si="7"/>
        <v>0</v>
      </c>
      <c r="L47" s="44">
        <f t="shared" si="7"/>
        <v>0</v>
      </c>
      <c r="M47" s="45">
        <f t="shared" ref="M47:R47" si="8">SUM(M38:M45)</f>
        <v>0</v>
      </c>
      <c r="N47" s="43">
        <f t="shared" si="8"/>
        <v>0</v>
      </c>
      <c r="O47" s="43">
        <f t="shared" si="8"/>
        <v>0</v>
      </c>
      <c r="P47" s="43">
        <f t="shared" si="8"/>
        <v>0</v>
      </c>
      <c r="Q47" s="43">
        <f t="shared" si="8"/>
        <v>0</v>
      </c>
      <c r="R47" s="43">
        <f t="shared" si="8"/>
        <v>0</v>
      </c>
      <c r="S47" s="42">
        <f>SUM(G47:R47)</f>
        <v>0</v>
      </c>
      <c r="T47" s="38"/>
      <c r="U47" s="26"/>
    </row>
    <row r="48" spans="2:21" ht="15" customHeight="1" x14ac:dyDescent="0.25">
      <c r="B48" s="25"/>
      <c r="C48" s="7"/>
      <c r="D48" s="504"/>
      <c r="E48" s="505"/>
      <c r="F48" s="120"/>
      <c r="G48" s="46"/>
      <c r="H48" s="46"/>
      <c r="I48" s="46"/>
      <c r="J48" s="46"/>
      <c r="K48" s="46"/>
      <c r="L48" s="46"/>
      <c r="M48" s="46"/>
      <c r="N48" s="46"/>
      <c r="O48" s="46"/>
      <c r="P48" s="46"/>
      <c r="Q48" s="46"/>
      <c r="R48" s="46"/>
      <c r="S48" s="31"/>
      <c r="T48" s="38"/>
      <c r="U48" s="26"/>
    </row>
    <row r="49" spans="2:21" ht="15" customHeight="1" x14ac:dyDescent="0.25">
      <c r="B49" s="25"/>
      <c r="C49" s="7"/>
      <c r="D49" s="614" t="s">
        <v>510</v>
      </c>
      <c r="E49" s="615"/>
      <c r="F49" s="120"/>
      <c r="G49" s="36"/>
      <c r="H49" s="36"/>
      <c r="I49" s="36"/>
      <c r="J49" s="36"/>
      <c r="K49" s="36"/>
      <c r="L49" s="36"/>
      <c r="M49" s="36"/>
      <c r="N49" s="36"/>
      <c r="O49" s="36"/>
      <c r="P49" s="36"/>
      <c r="Q49" s="36"/>
      <c r="R49" s="36"/>
      <c r="S49" s="53"/>
      <c r="T49" s="38"/>
      <c r="U49" s="26"/>
    </row>
    <row r="50" spans="2:21" ht="15" customHeight="1" x14ac:dyDescent="0.25">
      <c r="B50" s="25"/>
      <c r="C50" s="7"/>
      <c r="D50" s="608" t="s">
        <v>511</v>
      </c>
      <c r="E50" s="609"/>
      <c r="F50" s="120"/>
      <c r="G50" s="39">
        <v>0</v>
      </c>
      <c r="H50" s="39">
        <v>0</v>
      </c>
      <c r="I50" s="39">
        <v>0</v>
      </c>
      <c r="J50" s="39">
        <v>0</v>
      </c>
      <c r="K50" s="39">
        <v>0</v>
      </c>
      <c r="L50" s="40">
        <v>0</v>
      </c>
      <c r="M50" s="41">
        <v>0</v>
      </c>
      <c r="N50" s="41">
        <v>0</v>
      </c>
      <c r="O50" s="41">
        <v>0</v>
      </c>
      <c r="P50" s="41">
        <v>0</v>
      </c>
      <c r="Q50" s="41">
        <v>0</v>
      </c>
      <c r="R50" s="41">
        <v>0</v>
      </c>
      <c r="S50" s="42">
        <f>SUM(G50:R50)</f>
        <v>0</v>
      </c>
      <c r="T50" s="38"/>
      <c r="U50" s="26"/>
    </row>
    <row r="51" spans="2:21" ht="15" customHeight="1" x14ac:dyDescent="0.25">
      <c r="B51" s="25"/>
      <c r="C51" s="7"/>
      <c r="D51" s="608" t="s">
        <v>579</v>
      </c>
      <c r="E51" s="609"/>
      <c r="F51" s="120"/>
      <c r="G51" s="39">
        <v>0</v>
      </c>
      <c r="H51" s="39">
        <v>0</v>
      </c>
      <c r="I51" s="39">
        <v>0</v>
      </c>
      <c r="J51" s="39">
        <v>0</v>
      </c>
      <c r="K51" s="39">
        <v>0</v>
      </c>
      <c r="L51" s="40">
        <v>0</v>
      </c>
      <c r="M51" s="41">
        <v>0</v>
      </c>
      <c r="N51" s="41">
        <v>0</v>
      </c>
      <c r="O51" s="41">
        <v>0</v>
      </c>
      <c r="P51" s="41">
        <v>0</v>
      </c>
      <c r="Q51" s="41">
        <v>0</v>
      </c>
      <c r="R51" s="41">
        <v>0</v>
      </c>
      <c r="S51" s="42">
        <f>SUM(G51:R51)</f>
        <v>0</v>
      </c>
      <c r="T51" s="38"/>
      <c r="U51" s="26"/>
    </row>
    <row r="52" spans="2:21" ht="15" customHeight="1" x14ac:dyDescent="0.25">
      <c r="B52" s="25"/>
      <c r="C52" s="7"/>
      <c r="D52" s="504"/>
      <c r="E52" s="505"/>
      <c r="F52" s="517"/>
      <c r="G52" s="54"/>
      <c r="H52" s="54"/>
      <c r="I52" s="54"/>
      <c r="J52" s="54"/>
      <c r="K52" s="54"/>
      <c r="L52" s="54"/>
      <c r="M52" s="54"/>
      <c r="N52" s="54"/>
      <c r="O52" s="54"/>
      <c r="P52" s="54"/>
      <c r="Q52" s="54"/>
      <c r="R52" s="54"/>
      <c r="S52" s="30"/>
      <c r="T52" s="38"/>
      <c r="U52" s="26"/>
    </row>
    <row r="53" spans="2:21" s="29" customFormat="1" ht="15" customHeight="1" x14ac:dyDescent="0.25">
      <c r="B53" s="25"/>
      <c r="C53" s="7"/>
      <c r="D53" s="606" t="s">
        <v>513</v>
      </c>
      <c r="E53" s="607"/>
      <c r="F53" s="120"/>
      <c r="G53" s="43">
        <f t="shared" ref="G53:R53" si="9">SUM(G50:G51)</f>
        <v>0</v>
      </c>
      <c r="H53" s="43">
        <f t="shared" si="9"/>
        <v>0</v>
      </c>
      <c r="I53" s="43">
        <f t="shared" si="9"/>
        <v>0</v>
      </c>
      <c r="J53" s="43">
        <f t="shared" si="9"/>
        <v>0</v>
      </c>
      <c r="K53" s="43">
        <f t="shared" si="9"/>
        <v>0</v>
      </c>
      <c r="L53" s="44">
        <f t="shared" si="9"/>
        <v>0</v>
      </c>
      <c r="M53" s="45">
        <f t="shared" si="9"/>
        <v>0</v>
      </c>
      <c r="N53" s="43">
        <f t="shared" si="9"/>
        <v>0</v>
      </c>
      <c r="O53" s="43">
        <f t="shared" si="9"/>
        <v>0</v>
      </c>
      <c r="P53" s="43">
        <f t="shared" si="9"/>
        <v>0</v>
      </c>
      <c r="Q53" s="43">
        <f t="shared" si="9"/>
        <v>0</v>
      </c>
      <c r="R53" s="43">
        <f t="shared" si="9"/>
        <v>0</v>
      </c>
      <c r="S53" s="42">
        <f>SUM(G53:R53)</f>
        <v>0</v>
      </c>
      <c r="T53" s="38"/>
      <c r="U53" s="26"/>
    </row>
    <row r="54" spans="2:21" s="29" customFormat="1" ht="15" customHeight="1" x14ac:dyDescent="0.25">
      <c r="B54" s="25"/>
      <c r="C54" s="7"/>
      <c r="D54" s="504"/>
      <c r="E54" s="505"/>
      <c r="F54" s="518"/>
      <c r="G54" s="46"/>
      <c r="H54" s="46"/>
      <c r="I54" s="46"/>
      <c r="J54" s="46"/>
      <c r="K54" s="46"/>
      <c r="L54" s="46"/>
      <c r="M54" s="46"/>
      <c r="N54" s="46"/>
      <c r="O54" s="46"/>
      <c r="P54" s="46"/>
      <c r="Q54" s="46"/>
      <c r="R54" s="46"/>
      <c r="S54" s="31"/>
      <c r="T54" s="38"/>
      <c r="U54" s="26"/>
    </row>
    <row r="55" spans="2:21" ht="15" customHeight="1" x14ac:dyDescent="0.25">
      <c r="B55" s="25"/>
      <c r="C55" s="7"/>
      <c r="D55" s="614" t="s">
        <v>44</v>
      </c>
      <c r="E55" s="615"/>
      <c r="F55" s="120"/>
      <c r="G55" s="36"/>
      <c r="H55" s="36"/>
      <c r="I55" s="36"/>
      <c r="J55" s="36"/>
      <c r="K55" s="36"/>
      <c r="L55" s="36"/>
      <c r="M55" s="36"/>
      <c r="N55" s="36"/>
      <c r="O55" s="36"/>
      <c r="P55" s="36"/>
      <c r="Q55" s="36"/>
      <c r="R55" s="36"/>
      <c r="S55" s="53"/>
      <c r="T55" s="38"/>
      <c r="U55" s="26"/>
    </row>
    <row r="56" spans="2:21" ht="15" customHeight="1" x14ac:dyDescent="0.25">
      <c r="B56" s="25"/>
      <c r="C56" s="7"/>
      <c r="D56" s="608" t="s">
        <v>4</v>
      </c>
      <c r="E56" s="609"/>
      <c r="F56" s="220"/>
      <c r="G56" s="39">
        <v>0</v>
      </c>
      <c r="H56" s="39">
        <v>0</v>
      </c>
      <c r="I56" s="39">
        <v>0</v>
      </c>
      <c r="J56" s="39">
        <v>0</v>
      </c>
      <c r="K56" s="39">
        <v>0</v>
      </c>
      <c r="L56" s="40">
        <v>0</v>
      </c>
      <c r="M56" s="41">
        <v>0</v>
      </c>
      <c r="N56" s="39">
        <v>0</v>
      </c>
      <c r="O56" s="39">
        <v>0</v>
      </c>
      <c r="P56" s="39">
        <v>0</v>
      </c>
      <c r="Q56" s="39">
        <v>0</v>
      </c>
      <c r="R56" s="39">
        <v>0</v>
      </c>
      <c r="S56" s="42">
        <f>SUM(G56:R56)</f>
        <v>0</v>
      </c>
      <c r="T56" s="38"/>
      <c r="U56" s="26"/>
    </row>
    <row r="57" spans="2:21" ht="15" customHeight="1" x14ac:dyDescent="0.25">
      <c r="B57" s="25"/>
      <c r="C57" s="7"/>
      <c r="D57" s="608" t="s">
        <v>578</v>
      </c>
      <c r="E57" s="609"/>
      <c r="F57" s="217"/>
      <c r="G57" s="39">
        <v>0</v>
      </c>
      <c r="H57" s="39">
        <v>0</v>
      </c>
      <c r="I57" s="39">
        <v>0</v>
      </c>
      <c r="J57" s="39">
        <v>0</v>
      </c>
      <c r="K57" s="39">
        <v>0</v>
      </c>
      <c r="L57" s="40">
        <v>0</v>
      </c>
      <c r="M57" s="41">
        <v>0</v>
      </c>
      <c r="N57" s="39">
        <v>0</v>
      </c>
      <c r="O57" s="39">
        <v>0</v>
      </c>
      <c r="P57" s="39">
        <v>0</v>
      </c>
      <c r="Q57" s="39">
        <v>0</v>
      </c>
      <c r="R57" s="39">
        <v>0</v>
      </c>
      <c r="S57" s="42">
        <f>SUM(G57:R57)</f>
        <v>0</v>
      </c>
      <c r="T57" s="38"/>
      <c r="U57" s="26"/>
    </row>
    <row r="58" spans="2:21" ht="15" customHeight="1" x14ac:dyDescent="0.25">
      <c r="B58" s="25"/>
      <c r="C58" s="7"/>
      <c r="D58" s="504"/>
      <c r="E58" s="505"/>
      <c r="F58" s="120"/>
      <c r="G58" s="30"/>
      <c r="H58" s="30"/>
      <c r="I58" s="30"/>
      <c r="J58" s="30"/>
      <c r="K58" s="30"/>
      <c r="L58" s="30"/>
      <c r="M58" s="30"/>
      <c r="N58" s="30"/>
      <c r="O58" s="30"/>
      <c r="P58" s="30"/>
      <c r="Q58" s="30"/>
      <c r="R58" s="30"/>
      <c r="S58" s="519"/>
      <c r="T58" s="38"/>
      <c r="U58" s="26"/>
    </row>
    <row r="59" spans="2:21" ht="15" customHeight="1" x14ac:dyDescent="0.25">
      <c r="B59" s="25"/>
      <c r="C59" s="7"/>
      <c r="D59" s="606" t="s">
        <v>573</v>
      </c>
      <c r="E59" s="607"/>
      <c r="F59" s="385"/>
      <c r="G59" s="43">
        <f t="shared" ref="G59:R59" si="10">SUM(G56:G57)</f>
        <v>0</v>
      </c>
      <c r="H59" s="43">
        <f t="shared" si="10"/>
        <v>0</v>
      </c>
      <c r="I59" s="43">
        <f t="shared" si="10"/>
        <v>0</v>
      </c>
      <c r="J59" s="43">
        <f t="shared" si="10"/>
        <v>0</v>
      </c>
      <c r="K59" s="43">
        <f t="shared" si="10"/>
        <v>0</v>
      </c>
      <c r="L59" s="44">
        <f t="shared" si="10"/>
        <v>0</v>
      </c>
      <c r="M59" s="45">
        <f t="shared" si="10"/>
        <v>0</v>
      </c>
      <c r="N59" s="43">
        <f t="shared" si="10"/>
        <v>0</v>
      </c>
      <c r="O59" s="43">
        <f t="shared" si="10"/>
        <v>0</v>
      </c>
      <c r="P59" s="43">
        <f t="shared" si="10"/>
        <v>0</v>
      </c>
      <c r="Q59" s="43">
        <f t="shared" si="10"/>
        <v>0</v>
      </c>
      <c r="R59" s="43">
        <f t="shared" si="10"/>
        <v>0</v>
      </c>
      <c r="S59" s="42">
        <f>SUM(G59:R59)</f>
        <v>0</v>
      </c>
      <c r="T59" s="38"/>
      <c r="U59" s="26"/>
    </row>
    <row r="60" spans="2:21" ht="15" customHeight="1" x14ac:dyDescent="0.25">
      <c r="B60" s="25"/>
      <c r="C60" s="7"/>
      <c r="D60" s="504"/>
      <c r="E60" s="505"/>
      <c r="F60" s="120"/>
      <c r="G60" s="46"/>
      <c r="H60" s="46"/>
      <c r="I60" s="46"/>
      <c r="J60" s="46"/>
      <c r="K60" s="46"/>
      <c r="L60" s="46"/>
      <c r="M60" s="46"/>
      <c r="N60" s="46"/>
      <c r="O60" s="46"/>
      <c r="P60" s="46"/>
      <c r="Q60" s="46"/>
      <c r="R60" s="46"/>
      <c r="S60" s="31"/>
      <c r="T60" s="38"/>
      <c r="U60" s="26"/>
    </row>
    <row r="61" spans="2:21" ht="15" customHeight="1" x14ac:dyDescent="0.25">
      <c r="B61" s="25"/>
      <c r="C61" s="7"/>
      <c r="D61" s="614" t="s">
        <v>534</v>
      </c>
      <c r="E61" s="615"/>
      <c r="F61" s="120"/>
      <c r="G61" s="36"/>
      <c r="H61" s="36"/>
      <c r="I61" s="36"/>
      <c r="J61" s="36"/>
      <c r="K61" s="36"/>
      <c r="L61" s="36"/>
      <c r="M61" s="36"/>
      <c r="N61" s="36"/>
      <c r="O61" s="36"/>
      <c r="P61" s="36"/>
      <c r="Q61" s="36"/>
      <c r="R61" s="36"/>
      <c r="S61" s="53"/>
      <c r="T61" s="38"/>
      <c r="U61" s="26"/>
    </row>
    <row r="62" spans="2:21" ht="15" customHeight="1" x14ac:dyDescent="0.25">
      <c r="B62" s="25"/>
      <c r="C62" s="7"/>
      <c r="D62" s="608" t="s">
        <v>45</v>
      </c>
      <c r="E62" s="609"/>
      <c r="F62" s="120"/>
      <c r="G62" s="39">
        <v>0</v>
      </c>
      <c r="H62" s="39">
        <v>0</v>
      </c>
      <c r="I62" s="39">
        <v>0</v>
      </c>
      <c r="J62" s="39">
        <v>0</v>
      </c>
      <c r="K62" s="39">
        <v>0</v>
      </c>
      <c r="L62" s="40">
        <v>0</v>
      </c>
      <c r="M62" s="41">
        <v>0</v>
      </c>
      <c r="N62" s="39">
        <v>0</v>
      </c>
      <c r="O62" s="39">
        <v>0</v>
      </c>
      <c r="P62" s="39">
        <v>0</v>
      </c>
      <c r="Q62" s="39">
        <v>0</v>
      </c>
      <c r="R62" s="39">
        <v>0</v>
      </c>
      <c r="S62" s="42">
        <f t="shared" ref="S62:S75" si="11">SUM(G62:R62)</f>
        <v>0</v>
      </c>
      <c r="T62" s="38"/>
      <c r="U62" s="26"/>
    </row>
    <row r="63" spans="2:21" ht="15" customHeight="1" x14ac:dyDescent="0.25">
      <c r="B63" s="25"/>
      <c r="C63" s="7"/>
      <c r="D63" s="608" t="s">
        <v>5</v>
      </c>
      <c r="E63" s="609"/>
      <c r="F63" s="120"/>
      <c r="G63" s="39">
        <v>0</v>
      </c>
      <c r="H63" s="39">
        <v>0</v>
      </c>
      <c r="I63" s="39">
        <v>0</v>
      </c>
      <c r="J63" s="39">
        <v>0</v>
      </c>
      <c r="K63" s="39">
        <v>0</v>
      </c>
      <c r="L63" s="40">
        <v>0</v>
      </c>
      <c r="M63" s="41">
        <v>0</v>
      </c>
      <c r="N63" s="39">
        <v>0</v>
      </c>
      <c r="O63" s="39">
        <v>0</v>
      </c>
      <c r="P63" s="39">
        <v>0</v>
      </c>
      <c r="Q63" s="39">
        <v>0</v>
      </c>
      <c r="R63" s="39">
        <v>0</v>
      </c>
      <c r="S63" s="42">
        <f t="shared" si="11"/>
        <v>0</v>
      </c>
      <c r="T63" s="38"/>
      <c r="U63" s="26"/>
    </row>
    <row r="64" spans="2:21" ht="15" customHeight="1" x14ac:dyDescent="0.25">
      <c r="B64" s="25"/>
      <c r="C64" s="7"/>
      <c r="D64" s="608" t="s">
        <v>46</v>
      </c>
      <c r="E64" s="609"/>
      <c r="F64" s="120"/>
      <c r="G64" s="39">
        <v>0</v>
      </c>
      <c r="H64" s="39">
        <v>0</v>
      </c>
      <c r="I64" s="39">
        <v>0</v>
      </c>
      <c r="J64" s="39">
        <v>0</v>
      </c>
      <c r="K64" s="39">
        <v>0</v>
      </c>
      <c r="L64" s="40">
        <v>0</v>
      </c>
      <c r="M64" s="41">
        <v>0</v>
      </c>
      <c r="N64" s="39">
        <v>0</v>
      </c>
      <c r="O64" s="39">
        <v>0</v>
      </c>
      <c r="P64" s="39">
        <v>0</v>
      </c>
      <c r="Q64" s="39">
        <v>0</v>
      </c>
      <c r="R64" s="39">
        <v>0</v>
      </c>
      <c r="S64" s="42">
        <f t="shared" si="11"/>
        <v>0</v>
      </c>
      <c r="T64" s="38"/>
      <c r="U64" s="26"/>
    </row>
    <row r="65" spans="2:21" ht="15" customHeight="1" x14ac:dyDescent="0.25">
      <c r="B65" s="25"/>
      <c r="C65" s="7"/>
      <c r="D65" s="608" t="s">
        <v>47</v>
      </c>
      <c r="E65" s="609"/>
      <c r="F65" s="517"/>
      <c r="G65" s="39">
        <v>0</v>
      </c>
      <c r="H65" s="39">
        <v>0</v>
      </c>
      <c r="I65" s="39">
        <v>0</v>
      </c>
      <c r="J65" s="39">
        <v>0</v>
      </c>
      <c r="K65" s="39">
        <v>0</v>
      </c>
      <c r="L65" s="40">
        <v>0</v>
      </c>
      <c r="M65" s="41">
        <v>0</v>
      </c>
      <c r="N65" s="39">
        <v>0</v>
      </c>
      <c r="O65" s="39">
        <v>0</v>
      </c>
      <c r="P65" s="39">
        <v>0</v>
      </c>
      <c r="Q65" s="39">
        <v>0</v>
      </c>
      <c r="R65" s="39">
        <v>0</v>
      </c>
      <c r="S65" s="42">
        <f t="shared" si="11"/>
        <v>0</v>
      </c>
      <c r="T65" s="38"/>
      <c r="U65" s="26"/>
    </row>
    <row r="66" spans="2:21" s="29" customFormat="1" ht="15" customHeight="1" x14ac:dyDescent="0.25">
      <c r="B66" s="25"/>
      <c r="C66" s="7"/>
      <c r="D66" s="608" t="s">
        <v>515</v>
      </c>
      <c r="E66" s="609"/>
      <c r="F66" s="385"/>
      <c r="G66" s="39">
        <v>0</v>
      </c>
      <c r="H66" s="39">
        <v>0</v>
      </c>
      <c r="I66" s="39">
        <v>0</v>
      </c>
      <c r="J66" s="39">
        <v>0</v>
      </c>
      <c r="K66" s="39">
        <v>0</v>
      </c>
      <c r="L66" s="40">
        <v>0</v>
      </c>
      <c r="M66" s="41">
        <v>0</v>
      </c>
      <c r="N66" s="39">
        <v>0</v>
      </c>
      <c r="O66" s="39">
        <v>0</v>
      </c>
      <c r="P66" s="39">
        <v>0</v>
      </c>
      <c r="Q66" s="39">
        <v>0</v>
      </c>
      <c r="R66" s="39">
        <v>0</v>
      </c>
      <c r="S66" s="42">
        <f t="shared" si="11"/>
        <v>0</v>
      </c>
      <c r="T66" s="19"/>
      <c r="U66" s="26"/>
    </row>
    <row r="67" spans="2:21" s="29" customFormat="1" ht="15" customHeight="1" x14ac:dyDescent="0.25">
      <c r="B67" s="25"/>
      <c r="C67" s="7"/>
      <c r="D67" s="608" t="s">
        <v>516</v>
      </c>
      <c r="E67" s="609"/>
      <c r="F67" s="385"/>
      <c r="G67" s="39">
        <v>0</v>
      </c>
      <c r="H67" s="39">
        <v>0</v>
      </c>
      <c r="I67" s="39">
        <v>0</v>
      </c>
      <c r="J67" s="39">
        <v>0</v>
      </c>
      <c r="K67" s="39">
        <v>0</v>
      </c>
      <c r="L67" s="40">
        <v>0</v>
      </c>
      <c r="M67" s="41">
        <v>0</v>
      </c>
      <c r="N67" s="39">
        <v>0</v>
      </c>
      <c r="O67" s="39">
        <v>0</v>
      </c>
      <c r="P67" s="39">
        <v>0</v>
      </c>
      <c r="Q67" s="39">
        <v>0</v>
      </c>
      <c r="R67" s="39">
        <v>0</v>
      </c>
      <c r="S67" s="42">
        <f t="shared" si="11"/>
        <v>0</v>
      </c>
      <c r="T67" s="38"/>
      <c r="U67" s="26"/>
    </row>
    <row r="68" spans="2:21" ht="15" customHeight="1" x14ac:dyDescent="0.25">
      <c r="B68" s="25"/>
      <c r="C68" s="7"/>
      <c r="D68" s="608" t="s">
        <v>6</v>
      </c>
      <c r="E68" s="609"/>
      <c r="F68" s="120"/>
      <c r="G68" s="39">
        <v>0</v>
      </c>
      <c r="H68" s="39">
        <v>0</v>
      </c>
      <c r="I68" s="39">
        <v>0</v>
      </c>
      <c r="J68" s="39">
        <v>0</v>
      </c>
      <c r="K68" s="39">
        <v>0</v>
      </c>
      <c r="L68" s="40">
        <v>0</v>
      </c>
      <c r="M68" s="41">
        <v>0</v>
      </c>
      <c r="N68" s="39">
        <v>0</v>
      </c>
      <c r="O68" s="39">
        <v>0</v>
      </c>
      <c r="P68" s="39">
        <v>0</v>
      </c>
      <c r="Q68" s="39">
        <v>0</v>
      </c>
      <c r="R68" s="39">
        <v>0</v>
      </c>
      <c r="S68" s="42">
        <f t="shared" si="11"/>
        <v>0</v>
      </c>
      <c r="T68" s="38"/>
      <c r="U68" s="26"/>
    </row>
    <row r="69" spans="2:21" ht="15" customHeight="1" x14ac:dyDescent="0.25">
      <c r="B69" s="25"/>
      <c r="C69" s="7"/>
      <c r="D69" s="608" t="s">
        <v>517</v>
      </c>
      <c r="E69" s="609"/>
      <c r="F69" s="120"/>
      <c r="G69" s="39">
        <v>0</v>
      </c>
      <c r="H69" s="39">
        <v>0</v>
      </c>
      <c r="I69" s="39">
        <v>0</v>
      </c>
      <c r="J69" s="39">
        <v>0</v>
      </c>
      <c r="K69" s="39">
        <v>0</v>
      </c>
      <c r="L69" s="40">
        <v>0</v>
      </c>
      <c r="M69" s="41">
        <v>0</v>
      </c>
      <c r="N69" s="39">
        <v>0</v>
      </c>
      <c r="O69" s="39">
        <v>0</v>
      </c>
      <c r="P69" s="39">
        <v>0</v>
      </c>
      <c r="Q69" s="39">
        <v>0</v>
      </c>
      <c r="R69" s="39">
        <v>0</v>
      </c>
      <c r="S69" s="42">
        <f t="shared" si="11"/>
        <v>0</v>
      </c>
      <c r="T69" s="38"/>
      <c r="U69" s="26"/>
    </row>
    <row r="70" spans="2:21" ht="15" customHeight="1" x14ac:dyDescent="0.25">
      <c r="B70" s="25"/>
      <c r="C70" s="7"/>
      <c r="D70" s="608" t="s">
        <v>48</v>
      </c>
      <c r="E70" s="609"/>
      <c r="F70" s="120"/>
      <c r="G70" s="39">
        <v>0</v>
      </c>
      <c r="H70" s="39">
        <v>0</v>
      </c>
      <c r="I70" s="39">
        <v>0</v>
      </c>
      <c r="J70" s="39">
        <v>0</v>
      </c>
      <c r="K70" s="39">
        <v>0</v>
      </c>
      <c r="L70" s="40">
        <v>0</v>
      </c>
      <c r="M70" s="41">
        <v>0</v>
      </c>
      <c r="N70" s="39">
        <v>0</v>
      </c>
      <c r="O70" s="39">
        <v>0</v>
      </c>
      <c r="P70" s="39">
        <v>0</v>
      </c>
      <c r="Q70" s="39">
        <v>0</v>
      </c>
      <c r="R70" s="39">
        <v>0</v>
      </c>
      <c r="S70" s="42">
        <f t="shared" si="11"/>
        <v>0</v>
      </c>
      <c r="T70" s="38"/>
      <c r="U70" s="26"/>
    </row>
    <row r="71" spans="2:21" ht="15" customHeight="1" x14ac:dyDescent="0.25">
      <c r="B71" s="25"/>
      <c r="C71" s="7"/>
      <c r="D71" s="608" t="s">
        <v>518</v>
      </c>
      <c r="E71" s="609"/>
      <c r="F71" s="120"/>
      <c r="G71" s="39">
        <v>0</v>
      </c>
      <c r="H71" s="39">
        <v>0</v>
      </c>
      <c r="I71" s="39">
        <v>0</v>
      </c>
      <c r="J71" s="39">
        <v>0</v>
      </c>
      <c r="K71" s="39">
        <v>0</v>
      </c>
      <c r="L71" s="40">
        <v>0</v>
      </c>
      <c r="M71" s="41">
        <v>0</v>
      </c>
      <c r="N71" s="39">
        <v>0</v>
      </c>
      <c r="O71" s="39">
        <v>0</v>
      </c>
      <c r="P71" s="39">
        <v>0</v>
      </c>
      <c r="Q71" s="39">
        <v>0</v>
      </c>
      <c r="R71" s="39">
        <v>0</v>
      </c>
      <c r="S71" s="42">
        <f t="shared" si="11"/>
        <v>0</v>
      </c>
      <c r="T71" s="38"/>
      <c r="U71" s="26"/>
    </row>
    <row r="72" spans="2:21" ht="15" customHeight="1" x14ac:dyDescent="0.25">
      <c r="B72" s="25"/>
      <c r="C72" s="7"/>
      <c r="D72" s="608" t="s">
        <v>49</v>
      </c>
      <c r="E72" s="609"/>
      <c r="F72" s="120"/>
      <c r="G72" s="39">
        <v>0</v>
      </c>
      <c r="H72" s="39">
        <v>0</v>
      </c>
      <c r="I72" s="39">
        <v>0</v>
      </c>
      <c r="J72" s="39">
        <v>0</v>
      </c>
      <c r="K72" s="39">
        <v>0</v>
      </c>
      <c r="L72" s="40">
        <v>0</v>
      </c>
      <c r="M72" s="41">
        <v>0</v>
      </c>
      <c r="N72" s="39">
        <v>0</v>
      </c>
      <c r="O72" s="39">
        <v>0</v>
      </c>
      <c r="P72" s="39">
        <v>0</v>
      </c>
      <c r="Q72" s="39">
        <v>0</v>
      </c>
      <c r="R72" s="39">
        <v>0</v>
      </c>
      <c r="S72" s="42">
        <f t="shared" si="11"/>
        <v>0</v>
      </c>
      <c r="T72" s="38"/>
      <c r="U72" s="26"/>
    </row>
    <row r="73" spans="2:21" ht="15" customHeight="1" x14ac:dyDescent="0.25">
      <c r="B73" s="25"/>
      <c r="C73" s="7"/>
      <c r="D73" s="608" t="s">
        <v>519</v>
      </c>
      <c r="E73" s="609"/>
      <c r="F73" s="517"/>
      <c r="G73" s="39">
        <v>0</v>
      </c>
      <c r="H73" s="39">
        <v>0</v>
      </c>
      <c r="I73" s="39">
        <v>0</v>
      </c>
      <c r="J73" s="39">
        <v>0</v>
      </c>
      <c r="K73" s="39">
        <v>0</v>
      </c>
      <c r="L73" s="40">
        <v>0</v>
      </c>
      <c r="M73" s="41">
        <v>0</v>
      </c>
      <c r="N73" s="39">
        <v>0</v>
      </c>
      <c r="O73" s="39">
        <v>0</v>
      </c>
      <c r="P73" s="39">
        <v>0</v>
      </c>
      <c r="Q73" s="39">
        <v>0</v>
      </c>
      <c r="R73" s="39">
        <v>0</v>
      </c>
      <c r="S73" s="42">
        <f t="shared" si="11"/>
        <v>0</v>
      </c>
      <c r="T73" s="38"/>
      <c r="U73" s="26"/>
    </row>
    <row r="74" spans="2:21" ht="15" customHeight="1" x14ac:dyDescent="0.25">
      <c r="B74" s="25"/>
      <c r="C74" s="7"/>
      <c r="D74" s="608" t="s">
        <v>520</v>
      </c>
      <c r="E74" s="609"/>
      <c r="F74" s="120"/>
      <c r="G74" s="39">
        <v>0</v>
      </c>
      <c r="H74" s="39">
        <v>0</v>
      </c>
      <c r="I74" s="39">
        <v>0</v>
      </c>
      <c r="J74" s="39">
        <v>0</v>
      </c>
      <c r="K74" s="39">
        <v>0</v>
      </c>
      <c r="L74" s="40">
        <v>0</v>
      </c>
      <c r="M74" s="41">
        <v>0</v>
      </c>
      <c r="N74" s="39">
        <v>0</v>
      </c>
      <c r="O74" s="39">
        <v>0</v>
      </c>
      <c r="P74" s="39">
        <v>0</v>
      </c>
      <c r="Q74" s="39">
        <v>0</v>
      </c>
      <c r="R74" s="39">
        <v>0</v>
      </c>
      <c r="S74" s="42">
        <f t="shared" si="11"/>
        <v>0</v>
      </c>
      <c r="T74" s="38"/>
      <c r="U74" s="26"/>
    </row>
    <row r="75" spans="2:21" ht="15" customHeight="1" x14ac:dyDescent="0.25">
      <c r="B75" s="25"/>
      <c r="C75" s="7"/>
      <c r="D75" s="608" t="s">
        <v>577</v>
      </c>
      <c r="E75" s="609"/>
      <c r="F75" s="385"/>
      <c r="G75" s="39">
        <v>0</v>
      </c>
      <c r="H75" s="39">
        <v>0</v>
      </c>
      <c r="I75" s="39">
        <v>0</v>
      </c>
      <c r="J75" s="39">
        <v>0</v>
      </c>
      <c r="K75" s="39">
        <v>0</v>
      </c>
      <c r="L75" s="40">
        <v>0</v>
      </c>
      <c r="M75" s="41">
        <v>0</v>
      </c>
      <c r="N75" s="39">
        <v>0</v>
      </c>
      <c r="O75" s="39">
        <v>0</v>
      </c>
      <c r="P75" s="39">
        <v>0</v>
      </c>
      <c r="Q75" s="39">
        <v>0</v>
      </c>
      <c r="R75" s="39">
        <v>0</v>
      </c>
      <c r="S75" s="42">
        <f t="shared" si="11"/>
        <v>0</v>
      </c>
      <c r="T75" s="38"/>
      <c r="U75" s="26"/>
    </row>
    <row r="76" spans="2:21" ht="15" customHeight="1" x14ac:dyDescent="0.25">
      <c r="B76" s="25"/>
      <c r="C76" s="7"/>
      <c r="D76" s="504"/>
      <c r="E76" s="505"/>
      <c r="F76" s="120"/>
      <c r="G76" s="54"/>
      <c r="H76" s="54"/>
      <c r="I76" s="54"/>
      <c r="J76" s="54"/>
      <c r="K76" s="54"/>
      <c r="L76" s="54"/>
      <c r="M76" s="54"/>
      <c r="N76" s="54"/>
      <c r="O76" s="54"/>
      <c r="P76" s="54"/>
      <c r="Q76" s="54"/>
      <c r="R76" s="54"/>
      <c r="S76" s="30"/>
      <c r="T76" s="38"/>
      <c r="U76" s="26"/>
    </row>
    <row r="77" spans="2:21" s="29" customFormat="1" ht="15" customHeight="1" x14ac:dyDescent="0.25">
      <c r="B77" s="25"/>
      <c r="C77" s="7"/>
      <c r="D77" s="606" t="s">
        <v>522</v>
      </c>
      <c r="E77" s="607"/>
      <c r="F77" s="120"/>
      <c r="G77" s="43">
        <f t="shared" ref="G77:R77" si="12">SUM(G62:G75)</f>
        <v>0</v>
      </c>
      <c r="H77" s="43">
        <f t="shared" si="12"/>
        <v>0</v>
      </c>
      <c r="I77" s="43">
        <f t="shared" si="12"/>
        <v>0</v>
      </c>
      <c r="J77" s="43">
        <f t="shared" si="12"/>
        <v>0</v>
      </c>
      <c r="K77" s="43">
        <f t="shared" si="12"/>
        <v>0</v>
      </c>
      <c r="L77" s="44">
        <f t="shared" si="12"/>
        <v>0</v>
      </c>
      <c r="M77" s="45">
        <f t="shared" si="12"/>
        <v>0</v>
      </c>
      <c r="N77" s="43">
        <f t="shared" si="12"/>
        <v>0</v>
      </c>
      <c r="O77" s="43">
        <f t="shared" si="12"/>
        <v>0</v>
      </c>
      <c r="P77" s="43">
        <f t="shared" si="12"/>
        <v>0</v>
      </c>
      <c r="Q77" s="43">
        <f t="shared" si="12"/>
        <v>0</v>
      </c>
      <c r="R77" s="43">
        <f t="shared" si="12"/>
        <v>0</v>
      </c>
      <c r="S77" s="42">
        <f>SUM(G77:R77)</f>
        <v>0</v>
      </c>
      <c r="T77" s="38"/>
      <c r="U77" s="26"/>
    </row>
    <row r="78" spans="2:21" s="29" customFormat="1" ht="15" customHeight="1" x14ac:dyDescent="0.25">
      <c r="B78" s="25"/>
      <c r="C78" s="7"/>
      <c r="D78" s="504"/>
      <c r="E78" s="505"/>
      <c r="F78" s="120"/>
      <c r="G78" s="46"/>
      <c r="H78" s="46"/>
      <c r="I78" s="46"/>
      <c r="J78" s="46"/>
      <c r="K78" s="46"/>
      <c r="L78" s="46"/>
      <c r="M78" s="46"/>
      <c r="N78" s="46"/>
      <c r="O78" s="46"/>
      <c r="P78" s="46"/>
      <c r="Q78" s="46"/>
      <c r="R78" s="46"/>
      <c r="S78" s="31"/>
      <c r="T78" s="38"/>
      <c r="U78" s="26"/>
    </row>
    <row r="79" spans="2:21" ht="15" customHeight="1" x14ac:dyDescent="0.25">
      <c r="B79" s="25"/>
      <c r="C79" s="7"/>
      <c r="D79" s="614" t="s">
        <v>535</v>
      </c>
      <c r="E79" s="615"/>
      <c r="F79" s="120"/>
      <c r="G79" s="36"/>
      <c r="H79" s="36"/>
      <c r="I79" s="36"/>
      <c r="J79" s="36"/>
      <c r="K79" s="36"/>
      <c r="L79" s="36"/>
      <c r="M79" s="36"/>
      <c r="N79" s="36"/>
      <c r="O79" s="36"/>
      <c r="P79" s="36"/>
      <c r="Q79" s="36"/>
      <c r="R79" s="36"/>
      <c r="S79" s="53"/>
      <c r="T79" s="38"/>
      <c r="U79" s="26"/>
    </row>
    <row r="80" spans="2:21" ht="15" customHeight="1" x14ac:dyDescent="0.25">
      <c r="B80" s="25"/>
      <c r="C80" s="7"/>
      <c r="D80" s="608" t="s">
        <v>524</v>
      </c>
      <c r="E80" s="609"/>
      <c r="F80" s="120"/>
      <c r="G80" s="39">
        <v>0</v>
      </c>
      <c r="H80" s="39">
        <v>0</v>
      </c>
      <c r="I80" s="39">
        <v>0</v>
      </c>
      <c r="J80" s="39">
        <v>0</v>
      </c>
      <c r="K80" s="39">
        <v>0</v>
      </c>
      <c r="L80" s="40">
        <v>0</v>
      </c>
      <c r="M80" s="41">
        <v>0</v>
      </c>
      <c r="N80" s="39">
        <v>0</v>
      </c>
      <c r="O80" s="39">
        <v>0</v>
      </c>
      <c r="P80" s="39">
        <v>0</v>
      </c>
      <c r="Q80" s="39">
        <v>0</v>
      </c>
      <c r="R80" s="39">
        <v>0</v>
      </c>
      <c r="S80" s="42">
        <f t="shared" ref="S80:S89" si="13">SUM(G80:R80)</f>
        <v>0</v>
      </c>
      <c r="T80" s="38"/>
      <c r="U80" s="26"/>
    </row>
    <row r="81" spans="2:21" ht="15" customHeight="1" x14ac:dyDescent="0.25">
      <c r="B81" s="25"/>
      <c r="C81" s="7"/>
      <c r="D81" s="608" t="s">
        <v>523</v>
      </c>
      <c r="E81" s="609"/>
      <c r="F81" s="120"/>
      <c r="G81" s="39">
        <v>0</v>
      </c>
      <c r="H81" s="39">
        <v>0</v>
      </c>
      <c r="I81" s="39">
        <v>0</v>
      </c>
      <c r="J81" s="39">
        <v>0</v>
      </c>
      <c r="K81" s="39">
        <v>0</v>
      </c>
      <c r="L81" s="40">
        <v>0</v>
      </c>
      <c r="M81" s="41">
        <v>0</v>
      </c>
      <c r="N81" s="39">
        <v>0</v>
      </c>
      <c r="O81" s="39">
        <v>0</v>
      </c>
      <c r="P81" s="39">
        <v>0</v>
      </c>
      <c r="Q81" s="39">
        <v>0</v>
      </c>
      <c r="R81" s="39">
        <v>0</v>
      </c>
      <c r="S81" s="42">
        <f t="shared" si="13"/>
        <v>0</v>
      </c>
      <c r="T81" s="38"/>
      <c r="U81" s="26"/>
    </row>
    <row r="82" spans="2:21" ht="15" customHeight="1" x14ac:dyDescent="0.25">
      <c r="B82" s="25"/>
      <c r="C82" s="7"/>
      <c r="D82" s="504" t="s">
        <v>526</v>
      </c>
      <c r="E82" s="505"/>
      <c r="F82" s="120"/>
      <c r="G82" s="39">
        <v>0</v>
      </c>
      <c r="H82" s="39">
        <v>0</v>
      </c>
      <c r="I82" s="39">
        <v>0</v>
      </c>
      <c r="J82" s="39">
        <v>0</v>
      </c>
      <c r="K82" s="39">
        <v>0</v>
      </c>
      <c r="L82" s="40">
        <v>0</v>
      </c>
      <c r="M82" s="41">
        <v>0</v>
      </c>
      <c r="N82" s="39">
        <v>0</v>
      </c>
      <c r="O82" s="39">
        <v>0</v>
      </c>
      <c r="P82" s="39">
        <v>0</v>
      </c>
      <c r="Q82" s="39">
        <v>0</v>
      </c>
      <c r="R82" s="39">
        <v>0</v>
      </c>
      <c r="S82" s="42">
        <f t="shared" si="13"/>
        <v>0</v>
      </c>
      <c r="T82" s="38"/>
      <c r="U82" s="26"/>
    </row>
    <row r="83" spans="2:21" ht="15" customHeight="1" x14ac:dyDescent="0.25">
      <c r="B83" s="25"/>
      <c r="C83" s="7"/>
      <c r="D83" s="504" t="s">
        <v>525</v>
      </c>
      <c r="E83" s="505"/>
      <c r="F83" s="120"/>
      <c r="G83" s="39">
        <v>0</v>
      </c>
      <c r="H83" s="39">
        <v>0</v>
      </c>
      <c r="I83" s="39">
        <v>0</v>
      </c>
      <c r="J83" s="39">
        <v>0</v>
      </c>
      <c r="K83" s="39">
        <v>0</v>
      </c>
      <c r="L83" s="40">
        <v>0</v>
      </c>
      <c r="M83" s="41">
        <v>0</v>
      </c>
      <c r="N83" s="39">
        <v>0</v>
      </c>
      <c r="O83" s="39">
        <v>0</v>
      </c>
      <c r="P83" s="39">
        <v>0</v>
      </c>
      <c r="Q83" s="39">
        <v>0</v>
      </c>
      <c r="R83" s="39">
        <v>0</v>
      </c>
      <c r="S83" s="42">
        <f t="shared" si="13"/>
        <v>0</v>
      </c>
      <c r="T83" s="38"/>
      <c r="U83" s="26"/>
    </row>
    <row r="84" spans="2:21" ht="15" customHeight="1" x14ac:dyDescent="0.25">
      <c r="B84" s="25"/>
      <c r="C84" s="7"/>
      <c r="D84" s="504" t="s">
        <v>527</v>
      </c>
      <c r="E84" s="505"/>
      <c r="F84" s="120"/>
      <c r="G84" s="39">
        <v>0</v>
      </c>
      <c r="H84" s="39">
        <v>0</v>
      </c>
      <c r="I84" s="39">
        <v>0</v>
      </c>
      <c r="J84" s="39">
        <v>0</v>
      </c>
      <c r="K84" s="39">
        <v>0</v>
      </c>
      <c r="L84" s="40">
        <v>0</v>
      </c>
      <c r="M84" s="41">
        <v>0</v>
      </c>
      <c r="N84" s="39">
        <v>0</v>
      </c>
      <c r="O84" s="39">
        <v>0</v>
      </c>
      <c r="P84" s="39">
        <v>0</v>
      </c>
      <c r="Q84" s="39">
        <v>0</v>
      </c>
      <c r="R84" s="39">
        <v>0</v>
      </c>
      <c r="S84" s="42">
        <f t="shared" si="13"/>
        <v>0</v>
      </c>
      <c r="T84" s="38"/>
      <c r="U84" s="26"/>
    </row>
    <row r="85" spans="2:21" ht="15" customHeight="1" x14ac:dyDescent="0.25">
      <c r="B85" s="25"/>
      <c r="C85" s="7"/>
      <c r="D85" s="504" t="s">
        <v>528</v>
      </c>
      <c r="E85" s="505"/>
      <c r="F85" s="120"/>
      <c r="G85" s="39">
        <v>0</v>
      </c>
      <c r="H85" s="39">
        <v>0</v>
      </c>
      <c r="I85" s="39">
        <v>0</v>
      </c>
      <c r="J85" s="39">
        <v>0</v>
      </c>
      <c r="K85" s="39">
        <v>0</v>
      </c>
      <c r="L85" s="40">
        <v>0</v>
      </c>
      <c r="M85" s="41">
        <v>0</v>
      </c>
      <c r="N85" s="39">
        <v>0</v>
      </c>
      <c r="O85" s="39">
        <v>0</v>
      </c>
      <c r="P85" s="39">
        <v>0</v>
      </c>
      <c r="Q85" s="39">
        <v>0</v>
      </c>
      <c r="R85" s="39">
        <v>0</v>
      </c>
      <c r="S85" s="42">
        <f t="shared" si="13"/>
        <v>0</v>
      </c>
      <c r="T85" s="38"/>
      <c r="U85" s="26"/>
    </row>
    <row r="86" spans="2:21" ht="15" customHeight="1" x14ac:dyDescent="0.25">
      <c r="B86" s="25"/>
      <c r="C86" s="7"/>
      <c r="D86" s="504" t="s">
        <v>54</v>
      </c>
      <c r="E86" s="505"/>
      <c r="F86" s="517"/>
      <c r="G86" s="39">
        <v>0</v>
      </c>
      <c r="H86" s="39">
        <v>0</v>
      </c>
      <c r="I86" s="39">
        <v>0</v>
      </c>
      <c r="J86" s="39">
        <v>0</v>
      </c>
      <c r="K86" s="39">
        <v>0</v>
      </c>
      <c r="L86" s="40">
        <v>0</v>
      </c>
      <c r="M86" s="41">
        <v>0</v>
      </c>
      <c r="N86" s="39">
        <v>0</v>
      </c>
      <c r="O86" s="39">
        <v>0</v>
      </c>
      <c r="P86" s="39">
        <v>0</v>
      </c>
      <c r="Q86" s="39">
        <v>0</v>
      </c>
      <c r="R86" s="39">
        <v>0</v>
      </c>
      <c r="S86" s="42">
        <f t="shared" si="13"/>
        <v>0</v>
      </c>
      <c r="T86" s="38"/>
      <c r="U86" s="26"/>
    </row>
    <row r="87" spans="2:21" ht="15" customHeight="1" x14ac:dyDescent="0.25">
      <c r="B87" s="25"/>
      <c r="C87" s="7"/>
      <c r="D87" s="504" t="s">
        <v>529</v>
      </c>
      <c r="E87" s="505"/>
      <c r="F87" s="120"/>
      <c r="G87" s="39">
        <v>0</v>
      </c>
      <c r="H87" s="39">
        <v>0</v>
      </c>
      <c r="I87" s="39">
        <v>0</v>
      </c>
      <c r="J87" s="39">
        <v>0</v>
      </c>
      <c r="K87" s="39">
        <v>0</v>
      </c>
      <c r="L87" s="40">
        <v>0</v>
      </c>
      <c r="M87" s="41">
        <v>0</v>
      </c>
      <c r="N87" s="39">
        <v>0</v>
      </c>
      <c r="O87" s="39">
        <v>0</v>
      </c>
      <c r="P87" s="39">
        <v>0</v>
      </c>
      <c r="Q87" s="39">
        <v>0</v>
      </c>
      <c r="R87" s="39">
        <v>0</v>
      </c>
      <c r="S87" s="42">
        <f t="shared" si="13"/>
        <v>0</v>
      </c>
      <c r="T87" s="38"/>
      <c r="U87" s="26"/>
    </row>
    <row r="88" spans="2:21" ht="15" customHeight="1" x14ac:dyDescent="0.25">
      <c r="B88" s="25"/>
      <c r="C88" s="7"/>
      <c r="D88" s="504" t="s">
        <v>530</v>
      </c>
      <c r="E88" s="505"/>
      <c r="F88" s="517"/>
      <c r="G88" s="39">
        <v>0</v>
      </c>
      <c r="H88" s="39">
        <v>0</v>
      </c>
      <c r="I88" s="39">
        <v>0</v>
      </c>
      <c r="J88" s="39">
        <v>0</v>
      </c>
      <c r="K88" s="39">
        <v>0</v>
      </c>
      <c r="L88" s="40">
        <v>0</v>
      </c>
      <c r="M88" s="41">
        <v>0</v>
      </c>
      <c r="N88" s="39">
        <v>0</v>
      </c>
      <c r="O88" s="39">
        <v>0</v>
      </c>
      <c r="P88" s="39">
        <v>0</v>
      </c>
      <c r="Q88" s="39">
        <v>0</v>
      </c>
      <c r="R88" s="39">
        <v>0</v>
      </c>
      <c r="S88" s="42">
        <f t="shared" si="13"/>
        <v>0</v>
      </c>
      <c r="T88" s="38"/>
      <c r="U88" s="26"/>
    </row>
    <row r="89" spans="2:21" ht="15" customHeight="1" x14ac:dyDescent="0.25">
      <c r="B89" s="25"/>
      <c r="C89" s="7"/>
      <c r="D89" s="608" t="s">
        <v>531</v>
      </c>
      <c r="E89" s="609"/>
      <c r="F89" s="120"/>
      <c r="G89" s="39">
        <v>0</v>
      </c>
      <c r="H89" s="39">
        <v>0</v>
      </c>
      <c r="I89" s="39">
        <v>0</v>
      </c>
      <c r="J89" s="39">
        <v>0</v>
      </c>
      <c r="K89" s="39">
        <v>0</v>
      </c>
      <c r="L89" s="40">
        <v>0</v>
      </c>
      <c r="M89" s="41">
        <v>0</v>
      </c>
      <c r="N89" s="39">
        <v>0</v>
      </c>
      <c r="O89" s="39">
        <v>0</v>
      </c>
      <c r="P89" s="39">
        <v>0</v>
      </c>
      <c r="Q89" s="39">
        <v>0</v>
      </c>
      <c r="R89" s="39">
        <v>0</v>
      </c>
      <c r="S89" s="42">
        <f t="shared" si="13"/>
        <v>0</v>
      </c>
      <c r="T89" s="38"/>
      <c r="U89" s="26"/>
    </row>
    <row r="90" spans="2:21" ht="15" customHeight="1" x14ac:dyDescent="0.25">
      <c r="B90" s="25"/>
      <c r="C90" s="7"/>
      <c r="D90" s="608" t="s">
        <v>50</v>
      </c>
      <c r="E90" s="609"/>
      <c r="F90" s="385"/>
      <c r="G90" s="39">
        <v>0</v>
      </c>
      <c r="H90" s="39">
        <v>0</v>
      </c>
      <c r="I90" s="39">
        <v>0</v>
      </c>
      <c r="J90" s="39">
        <v>0</v>
      </c>
      <c r="K90" s="39">
        <v>0</v>
      </c>
      <c r="L90" s="40">
        <v>0</v>
      </c>
      <c r="M90" s="41">
        <v>0</v>
      </c>
      <c r="N90" s="39">
        <v>0</v>
      </c>
      <c r="O90" s="39">
        <v>0</v>
      </c>
      <c r="P90" s="39">
        <v>0</v>
      </c>
      <c r="Q90" s="39">
        <v>0</v>
      </c>
      <c r="R90" s="39">
        <v>0</v>
      </c>
      <c r="S90" s="42">
        <f t="shared" ref="S90:S95" si="14">SUM(G90:R90)</f>
        <v>0</v>
      </c>
      <c r="T90" s="38"/>
      <c r="U90" s="26"/>
    </row>
    <row r="91" spans="2:21" ht="15" customHeight="1" x14ac:dyDescent="0.25">
      <c r="B91" s="25"/>
      <c r="C91" s="7"/>
      <c r="D91" s="608" t="s">
        <v>532</v>
      </c>
      <c r="E91" s="609"/>
      <c r="F91" s="120"/>
      <c r="G91" s="39">
        <v>0</v>
      </c>
      <c r="H91" s="39">
        <v>0</v>
      </c>
      <c r="I91" s="39">
        <v>0</v>
      </c>
      <c r="J91" s="39">
        <v>0</v>
      </c>
      <c r="K91" s="39">
        <v>0</v>
      </c>
      <c r="L91" s="40">
        <v>0</v>
      </c>
      <c r="M91" s="41">
        <v>0</v>
      </c>
      <c r="N91" s="39">
        <v>0</v>
      </c>
      <c r="O91" s="39">
        <v>0</v>
      </c>
      <c r="P91" s="39">
        <v>0</v>
      </c>
      <c r="Q91" s="39">
        <v>0</v>
      </c>
      <c r="R91" s="39">
        <v>0</v>
      </c>
      <c r="S91" s="42">
        <f t="shared" si="14"/>
        <v>0</v>
      </c>
      <c r="T91" s="38"/>
      <c r="U91" s="26"/>
    </row>
    <row r="92" spans="2:21" ht="15" customHeight="1" x14ac:dyDescent="0.25">
      <c r="B92" s="25"/>
      <c r="C92" s="7"/>
      <c r="D92" s="608" t="s">
        <v>533</v>
      </c>
      <c r="E92" s="609"/>
      <c r="F92" s="120"/>
      <c r="G92" s="39">
        <v>0</v>
      </c>
      <c r="H92" s="39">
        <v>0</v>
      </c>
      <c r="I92" s="39">
        <v>0</v>
      </c>
      <c r="J92" s="39">
        <v>0</v>
      </c>
      <c r="K92" s="39">
        <v>0</v>
      </c>
      <c r="L92" s="40">
        <v>0</v>
      </c>
      <c r="M92" s="41">
        <v>0</v>
      </c>
      <c r="N92" s="39">
        <v>0</v>
      </c>
      <c r="O92" s="39">
        <v>0</v>
      </c>
      <c r="P92" s="39">
        <v>0</v>
      </c>
      <c r="Q92" s="39">
        <v>0</v>
      </c>
      <c r="R92" s="39">
        <v>0</v>
      </c>
      <c r="S92" s="42">
        <f t="shared" si="14"/>
        <v>0</v>
      </c>
      <c r="T92" s="38"/>
      <c r="U92" s="26"/>
    </row>
    <row r="93" spans="2:21" ht="15" customHeight="1" x14ac:dyDescent="0.25">
      <c r="B93" s="25"/>
      <c r="C93" s="7"/>
      <c r="D93" s="608" t="s">
        <v>51</v>
      </c>
      <c r="E93" s="609"/>
      <c r="F93" s="120"/>
      <c r="G93" s="39">
        <v>0</v>
      </c>
      <c r="H93" s="39">
        <v>0</v>
      </c>
      <c r="I93" s="39">
        <v>0</v>
      </c>
      <c r="J93" s="39">
        <v>0</v>
      </c>
      <c r="K93" s="39">
        <v>0</v>
      </c>
      <c r="L93" s="40">
        <v>0</v>
      </c>
      <c r="M93" s="41">
        <v>0</v>
      </c>
      <c r="N93" s="39">
        <v>0</v>
      </c>
      <c r="O93" s="39">
        <v>0</v>
      </c>
      <c r="P93" s="39">
        <v>0</v>
      </c>
      <c r="Q93" s="39">
        <v>0</v>
      </c>
      <c r="R93" s="39">
        <v>0</v>
      </c>
      <c r="S93" s="42">
        <f t="shared" si="14"/>
        <v>0</v>
      </c>
      <c r="T93" s="38"/>
      <c r="U93" s="26"/>
    </row>
    <row r="94" spans="2:21" ht="15" customHeight="1" x14ac:dyDescent="0.25">
      <c r="B94" s="25"/>
      <c r="C94" s="7"/>
      <c r="D94" s="608" t="s">
        <v>536</v>
      </c>
      <c r="E94" s="609"/>
      <c r="F94" s="120"/>
      <c r="G94" s="39">
        <v>0</v>
      </c>
      <c r="H94" s="39">
        <v>0</v>
      </c>
      <c r="I94" s="39">
        <v>0</v>
      </c>
      <c r="J94" s="39">
        <v>0</v>
      </c>
      <c r="K94" s="39">
        <v>0</v>
      </c>
      <c r="L94" s="40">
        <v>0</v>
      </c>
      <c r="M94" s="41">
        <v>0</v>
      </c>
      <c r="N94" s="39">
        <v>0</v>
      </c>
      <c r="O94" s="39">
        <v>0</v>
      </c>
      <c r="P94" s="39">
        <v>0</v>
      </c>
      <c r="Q94" s="39">
        <v>0</v>
      </c>
      <c r="R94" s="39">
        <v>0</v>
      </c>
      <c r="S94" s="42">
        <f t="shared" si="14"/>
        <v>0</v>
      </c>
      <c r="T94" s="38"/>
      <c r="U94" s="26"/>
    </row>
    <row r="95" spans="2:21" ht="15" customHeight="1" x14ac:dyDescent="0.25">
      <c r="B95" s="25"/>
      <c r="C95" s="7"/>
      <c r="D95" s="608" t="s">
        <v>537</v>
      </c>
      <c r="E95" s="609"/>
      <c r="F95" s="120"/>
      <c r="G95" s="39">
        <v>0</v>
      </c>
      <c r="H95" s="39">
        <v>0</v>
      </c>
      <c r="I95" s="39">
        <v>0</v>
      </c>
      <c r="J95" s="39">
        <v>0</v>
      </c>
      <c r="K95" s="39">
        <v>0</v>
      </c>
      <c r="L95" s="40">
        <v>0</v>
      </c>
      <c r="M95" s="41">
        <v>0</v>
      </c>
      <c r="N95" s="39">
        <v>0</v>
      </c>
      <c r="O95" s="39">
        <v>0</v>
      </c>
      <c r="P95" s="39">
        <v>0</v>
      </c>
      <c r="Q95" s="39">
        <v>0</v>
      </c>
      <c r="R95" s="39">
        <v>0</v>
      </c>
      <c r="S95" s="42">
        <f t="shared" si="14"/>
        <v>0</v>
      </c>
      <c r="T95" s="38"/>
      <c r="U95" s="26"/>
    </row>
    <row r="96" spans="2:21" ht="15" customHeight="1" x14ac:dyDescent="0.25">
      <c r="B96" s="25"/>
      <c r="C96" s="7"/>
      <c r="D96" s="504"/>
      <c r="E96" s="505"/>
      <c r="F96" s="517"/>
      <c r="G96" s="54"/>
      <c r="H96" s="54"/>
      <c r="I96" s="54"/>
      <c r="J96" s="54"/>
      <c r="K96" s="54"/>
      <c r="L96" s="54"/>
      <c r="M96" s="54"/>
      <c r="N96" s="54"/>
      <c r="O96" s="54"/>
      <c r="P96" s="54"/>
      <c r="Q96" s="54"/>
      <c r="R96" s="54"/>
      <c r="S96" s="30"/>
      <c r="T96" s="38"/>
      <c r="U96" s="26"/>
    </row>
    <row r="97" spans="1:21" ht="15" customHeight="1" x14ac:dyDescent="0.25">
      <c r="B97" s="25"/>
      <c r="C97" s="7"/>
      <c r="D97" s="606" t="s">
        <v>52</v>
      </c>
      <c r="E97" s="607"/>
      <c r="F97" s="120"/>
      <c r="G97" s="43">
        <f>SUM(G80:G95)</f>
        <v>0</v>
      </c>
      <c r="H97" s="43">
        <f>SUM(H80:H95)</f>
        <v>0</v>
      </c>
      <c r="I97" s="43">
        <f t="shared" ref="I97:R97" si="15">SUM(I80:I95)</f>
        <v>0</v>
      </c>
      <c r="J97" s="43">
        <f t="shared" si="15"/>
        <v>0</v>
      </c>
      <c r="K97" s="43">
        <f t="shared" si="15"/>
        <v>0</v>
      </c>
      <c r="L97" s="43">
        <f t="shared" si="15"/>
        <v>0</v>
      </c>
      <c r="M97" s="43">
        <f t="shared" si="15"/>
        <v>0</v>
      </c>
      <c r="N97" s="43">
        <f t="shared" si="15"/>
        <v>0</v>
      </c>
      <c r="O97" s="43">
        <f t="shared" si="15"/>
        <v>0</v>
      </c>
      <c r="P97" s="43">
        <f t="shared" si="15"/>
        <v>0</v>
      </c>
      <c r="Q97" s="43">
        <f t="shared" si="15"/>
        <v>0</v>
      </c>
      <c r="R97" s="43">
        <f t="shared" si="15"/>
        <v>0</v>
      </c>
      <c r="S97" s="42">
        <f>SUM(G97:R97)</f>
        <v>0</v>
      </c>
      <c r="T97" s="38"/>
      <c r="U97" s="26"/>
    </row>
    <row r="98" spans="1:21" ht="15" customHeight="1" x14ac:dyDescent="0.25">
      <c r="B98" s="25"/>
      <c r="C98" s="7"/>
      <c r="D98" s="504"/>
      <c r="E98" s="505"/>
      <c r="F98" s="517"/>
      <c r="G98" s="46"/>
      <c r="H98" s="46"/>
      <c r="I98" s="46"/>
      <c r="J98" s="46"/>
      <c r="K98" s="46"/>
      <c r="L98" s="46"/>
      <c r="M98" s="46"/>
      <c r="N98" s="46"/>
      <c r="O98" s="46"/>
      <c r="P98" s="46"/>
      <c r="Q98" s="46"/>
      <c r="R98" s="46"/>
      <c r="S98" s="31"/>
      <c r="T98" s="38"/>
      <c r="U98" s="26"/>
    </row>
    <row r="99" spans="1:21" ht="15" customHeight="1" x14ac:dyDescent="0.25">
      <c r="B99" s="25"/>
      <c r="C99" s="7"/>
      <c r="D99" s="614" t="s">
        <v>116</v>
      </c>
      <c r="E99" s="615"/>
      <c r="F99" s="120"/>
      <c r="G99" s="36"/>
      <c r="H99" s="36"/>
      <c r="I99" s="36"/>
      <c r="J99" s="36"/>
      <c r="K99" s="36"/>
      <c r="L99" s="36"/>
      <c r="M99" s="36"/>
      <c r="N99" s="36"/>
      <c r="O99" s="36"/>
      <c r="P99" s="36"/>
      <c r="Q99" s="36"/>
      <c r="R99" s="36"/>
      <c r="S99" s="53"/>
      <c r="T99" s="38"/>
      <c r="U99" s="26"/>
    </row>
    <row r="100" spans="1:21" ht="15" customHeight="1" x14ac:dyDescent="0.25">
      <c r="B100" s="25"/>
      <c r="C100" s="7"/>
      <c r="D100" s="604" t="s">
        <v>582</v>
      </c>
      <c r="E100" s="605"/>
      <c r="F100" s="120"/>
      <c r="G100" s="39">
        <v>0</v>
      </c>
      <c r="H100" s="39">
        <v>0</v>
      </c>
      <c r="I100" s="39">
        <v>0</v>
      </c>
      <c r="J100" s="39">
        <v>0</v>
      </c>
      <c r="K100" s="39">
        <v>0</v>
      </c>
      <c r="L100" s="40">
        <v>0</v>
      </c>
      <c r="M100" s="41">
        <v>0</v>
      </c>
      <c r="N100" s="39">
        <v>0</v>
      </c>
      <c r="O100" s="39">
        <v>0</v>
      </c>
      <c r="P100" s="39">
        <v>0</v>
      </c>
      <c r="Q100" s="39">
        <v>0</v>
      </c>
      <c r="R100" s="39">
        <v>0</v>
      </c>
      <c r="S100" s="42">
        <f>SUM(G100:R100)</f>
        <v>0</v>
      </c>
      <c r="T100" s="38"/>
      <c r="U100" s="26"/>
    </row>
    <row r="101" spans="1:21" ht="15" customHeight="1" x14ac:dyDescent="0.25">
      <c r="B101" s="25"/>
      <c r="C101" s="7"/>
      <c r="D101" s="608" t="s">
        <v>53</v>
      </c>
      <c r="E101" s="609"/>
      <c r="F101" s="120"/>
      <c r="G101" s="39">
        <v>0</v>
      </c>
      <c r="H101" s="39">
        <v>0</v>
      </c>
      <c r="I101" s="39">
        <v>0</v>
      </c>
      <c r="J101" s="39">
        <v>0</v>
      </c>
      <c r="K101" s="39">
        <v>0</v>
      </c>
      <c r="L101" s="40">
        <v>0</v>
      </c>
      <c r="M101" s="41">
        <v>0</v>
      </c>
      <c r="N101" s="39">
        <v>0</v>
      </c>
      <c r="O101" s="39">
        <v>0</v>
      </c>
      <c r="P101" s="39">
        <v>0</v>
      </c>
      <c r="Q101" s="39">
        <v>0</v>
      </c>
      <c r="R101" s="39">
        <v>0</v>
      </c>
      <c r="S101" s="42">
        <f>SUM(G101:R101)</f>
        <v>0</v>
      </c>
      <c r="T101" s="38"/>
      <c r="U101" s="26"/>
    </row>
    <row r="102" spans="1:21" ht="15" customHeight="1" x14ac:dyDescent="0.25">
      <c r="B102" s="25"/>
      <c r="C102" s="7"/>
      <c r="D102" s="604" t="s">
        <v>538</v>
      </c>
      <c r="E102" s="605"/>
      <c r="F102" s="120"/>
      <c r="G102" s="39">
        <v>0</v>
      </c>
      <c r="H102" s="39">
        <v>0</v>
      </c>
      <c r="I102" s="39">
        <v>0</v>
      </c>
      <c r="J102" s="39">
        <v>0</v>
      </c>
      <c r="K102" s="39">
        <v>0</v>
      </c>
      <c r="L102" s="40">
        <v>0</v>
      </c>
      <c r="M102" s="41">
        <v>0</v>
      </c>
      <c r="N102" s="39">
        <v>0</v>
      </c>
      <c r="O102" s="39">
        <v>0</v>
      </c>
      <c r="P102" s="39">
        <v>0</v>
      </c>
      <c r="Q102" s="39">
        <v>0</v>
      </c>
      <c r="R102" s="39">
        <v>0</v>
      </c>
      <c r="S102" s="42">
        <f>SUM(G102:R102)</f>
        <v>0</v>
      </c>
      <c r="T102" s="38"/>
      <c r="U102" s="26"/>
    </row>
    <row r="103" spans="1:21" ht="15" customHeight="1" x14ac:dyDescent="0.25">
      <c r="B103" s="25"/>
      <c r="C103" s="7"/>
      <c r="D103" s="504"/>
      <c r="E103" s="505"/>
      <c r="F103" s="120"/>
      <c r="G103" s="54"/>
      <c r="H103" s="54"/>
      <c r="I103" s="54"/>
      <c r="J103" s="54"/>
      <c r="K103" s="54"/>
      <c r="L103" s="54"/>
      <c r="M103" s="54"/>
      <c r="N103" s="54"/>
      <c r="O103" s="54"/>
      <c r="P103" s="54"/>
      <c r="Q103" s="54"/>
      <c r="R103" s="54"/>
      <c r="S103" s="30"/>
      <c r="T103" s="38"/>
      <c r="U103" s="26"/>
    </row>
    <row r="104" spans="1:21" ht="15" customHeight="1" x14ac:dyDescent="0.25">
      <c r="B104" s="25"/>
      <c r="C104" s="7"/>
      <c r="D104" s="606" t="s">
        <v>55</v>
      </c>
      <c r="E104" s="607"/>
      <c r="F104" s="120"/>
      <c r="G104" s="43">
        <f t="shared" ref="G104:R104" si="16">SUM(G100:G102)</f>
        <v>0</v>
      </c>
      <c r="H104" s="43">
        <f t="shared" si="16"/>
        <v>0</v>
      </c>
      <c r="I104" s="43">
        <f t="shared" si="16"/>
        <v>0</v>
      </c>
      <c r="J104" s="43">
        <f t="shared" si="16"/>
        <v>0</v>
      </c>
      <c r="K104" s="43">
        <f t="shared" si="16"/>
        <v>0</v>
      </c>
      <c r="L104" s="44">
        <f t="shared" si="16"/>
        <v>0</v>
      </c>
      <c r="M104" s="45">
        <f t="shared" si="16"/>
        <v>0</v>
      </c>
      <c r="N104" s="43">
        <f t="shared" si="16"/>
        <v>0</v>
      </c>
      <c r="O104" s="43">
        <f t="shared" si="16"/>
        <v>0</v>
      </c>
      <c r="P104" s="43">
        <f t="shared" si="16"/>
        <v>0</v>
      </c>
      <c r="Q104" s="43">
        <f t="shared" si="16"/>
        <v>0</v>
      </c>
      <c r="R104" s="43">
        <f t="shared" si="16"/>
        <v>0</v>
      </c>
      <c r="S104" s="42">
        <f>SUM(G104:R104)</f>
        <v>0</v>
      </c>
      <c r="T104" s="38"/>
      <c r="U104" s="26"/>
    </row>
    <row r="105" spans="1:21" ht="15" customHeight="1" x14ac:dyDescent="0.25">
      <c r="B105" s="25"/>
      <c r="C105" s="7"/>
      <c r="D105" s="608"/>
      <c r="E105" s="609"/>
      <c r="F105" s="120"/>
      <c r="G105" s="54"/>
      <c r="H105" s="54"/>
      <c r="I105" s="54"/>
      <c r="J105" s="54"/>
      <c r="K105" s="54"/>
      <c r="L105" s="54"/>
      <c r="M105" s="54"/>
      <c r="N105" s="54"/>
      <c r="O105" s="54"/>
      <c r="P105" s="54"/>
      <c r="Q105" s="54"/>
      <c r="R105" s="54"/>
      <c r="S105" s="30"/>
      <c r="T105" s="38"/>
      <c r="U105" s="26"/>
    </row>
    <row r="106" spans="1:21" ht="15" customHeight="1" x14ac:dyDescent="0.25">
      <c r="B106" s="25"/>
      <c r="C106" s="7"/>
      <c r="D106" s="610" t="s">
        <v>56</v>
      </c>
      <c r="E106" s="611"/>
      <c r="F106" s="120"/>
      <c r="G106" s="43">
        <f t="shared" ref="G106:R106" si="17">G35+G47+G53+G59+G77+G97+G104</f>
        <v>0</v>
      </c>
      <c r="H106" s="43">
        <f t="shared" si="17"/>
        <v>0</v>
      </c>
      <c r="I106" s="43">
        <f t="shared" si="17"/>
        <v>0</v>
      </c>
      <c r="J106" s="43">
        <f t="shared" si="17"/>
        <v>0</v>
      </c>
      <c r="K106" s="43">
        <f t="shared" si="17"/>
        <v>0</v>
      </c>
      <c r="L106" s="44">
        <f t="shared" si="17"/>
        <v>0</v>
      </c>
      <c r="M106" s="45">
        <f t="shared" si="17"/>
        <v>0</v>
      </c>
      <c r="N106" s="43">
        <f t="shared" si="17"/>
        <v>0</v>
      </c>
      <c r="O106" s="43">
        <f t="shared" si="17"/>
        <v>0</v>
      </c>
      <c r="P106" s="43">
        <f t="shared" si="17"/>
        <v>0</v>
      </c>
      <c r="Q106" s="43">
        <f t="shared" si="17"/>
        <v>0</v>
      </c>
      <c r="R106" s="43">
        <f t="shared" si="17"/>
        <v>0</v>
      </c>
      <c r="S106" s="42">
        <f>SUM(G106:R106)</f>
        <v>0</v>
      </c>
      <c r="T106" s="38"/>
      <c r="U106" s="26"/>
    </row>
    <row r="107" spans="1:21" ht="15" customHeight="1" x14ac:dyDescent="0.25">
      <c r="B107" s="25"/>
      <c r="C107" s="7"/>
      <c r="D107" s="612"/>
      <c r="E107" s="613"/>
      <c r="F107" s="120"/>
      <c r="G107" s="51"/>
      <c r="H107" s="51"/>
      <c r="I107" s="51"/>
      <c r="J107" s="51"/>
      <c r="K107" s="51"/>
      <c r="L107" s="51"/>
      <c r="M107" s="51"/>
      <c r="N107" s="51"/>
      <c r="O107" s="51"/>
      <c r="P107" s="51"/>
      <c r="Q107" s="51"/>
      <c r="R107" s="51"/>
      <c r="S107" s="51"/>
      <c r="T107" s="38"/>
      <c r="U107" s="26"/>
    </row>
    <row r="108" spans="1:21" ht="15" customHeight="1" thickBot="1" x14ac:dyDescent="0.3">
      <c r="B108" s="25"/>
      <c r="C108" s="7"/>
      <c r="D108" s="596" t="s">
        <v>570</v>
      </c>
      <c r="E108" s="597"/>
      <c r="F108" s="517"/>
      <c r="G108" s="43">
        <f t="shared" ref="G108:R108" si="18">G28-G106</f>
        <v>0</v>
      </c>
      <c r="H108" s="43">
        <f t="shared" si="18"/>
        <v>0</v>
      </c>
      <c r="I108" s="43">
        <f t="shared" si="18"/>
        <v>0</v>
      </c>
      <c r="J108" s="43">
        <f t="shared" si="18"/>
        <v>0</v>
      </c>
      <c r="K108" s="43">
        <f t="shared" si="18"/>
        <v>0</v>
      </c>
      <c r="L108" s="44">
        <f t="shared" si="18"/>
        <v>0</v>
      </c>
      <c r="M108" s="45">
        <f t="shared" si="18"/>
        <v>0</v>
      </c>
      <c r="N108" s="43">
        <f t="shared" si="18"/>
        <v>0</v>
      </c>
      <c r="O108" s="43">
        <f t="shared" si="18"/>
        <v>0</v>
      </c>
      <c r="P108" s="43">
        <f t="shared" si="18"/>
        <v>0</v>
      </c>
      <c r="Q108" s="43">
        <f t="shared" si="18"/>
        <v>0</v>
      </c>
      <c r="R108" s="43">
        <f t="shared" si="18"/>
        <v>0</v>
      </c>
      <c r="S108" s="42">
        <f>SUM(G108:R108)</f>
        <v>0</v>
      </c>
      <c r="T108" s="38"/>
      <c r="U108" s="26"/>
    </row>
    <row r="109" spans="1:21" ht="15" customHeight="1" x14ac:dyDescent="0.25">
      <c r="B109" s="25"/>
      <c r="C109" s="11"/>
      <c r="D109" s="522"/>
      <c r="E109" s="126"/>
      <c r="F109" s="122"/>
      <c r="G109" s="36"/>
      <c r="H109" s="36"/>
      <c r="I109" s="36"/>
      <c r="J109" s="36"/>
      <c r="K109" s="36"/>
      <c r="L109" s="36"/>
      <c r="M109" s="36"/>
      <c r="N109" s="36"/>
      <c r="O109" s="36"/>
      <c r="P109" s="36"/>
      <c r="Q109" s="36"/>
      <c r="R109" s="36"/>
      <c r="S109" s="53"/>
      <c r="T109" s="37"/>
      <c r="U109" s="26"/>
    </row>
    <row r="110" spans="1:21" ht="15" customHeight="1" x14ac:dyDescent="0.25">
      <c r="B110" s="25"/>
      <c r="C110" s="13"/>
      <c r="D110" s="524"/>
      <c r="E110" s="525"/>
      <c r="F110" s="385"/>
      <c r="G110" s="124"/>
      <c r="H110" s="125"/>
      <c r="I110" s="125"/>
      <c r="J110" s="125"/>
      <c r="K110" s="125"/>
      <c r="L110" s="125"/>
      <c r="M110" s="125"/>
      <c r="N110" s="125"/>
      <c r="O110" s="125"/>
      <c r="P110" s="125"/>
      <c r="Q110" s="125"/>
      <c r="R110" s="125"/>
      <c r="S110" s="125"/>
      <c r="T110" s="31"/>
      <c r="U110" s="26"/>
    </row>
    <row r="111" spans="1:21" ht="15" customHeight="1" x14ac:dyDescent="0.25">
      <c r="A111" s="29"/>
      <c r="B111" s="25"/>
      <c r="C111" s="6"/>
      <c r="D111" s="514" t="s">
        <v>57</v>
      </c>
      <c r="E111" s="120"/>
      <c r="F111" s="401"/>
      <c r="G111" s="451"/>
      <c r="H111" s="451"/>
      <c r="I111" s="451"/>
      <c r="J111" s="451"/>
      <c r="K111" s="451"/>
      <c r="L111" s="451"/>
      <c r="M111" s="451"/>
      <c r="N111" s="451"/>
      <c r="O111" s="125"/>
      <c r="P111" s="125"/>
      <c r="Q111" s="125"/>
      <c r="R111" s="125"/>
      <c r="S111" s="125"/>
      <c r="T111" s="86"/>
      <c r="U111" s="26"/>
    </row>
    <row r="112" spans="1:21" ht="15" customHeight="1" x14ac:dyDescent="0.25">
      <c r="A112" s="29"/>
      <c r="B112" s="25"/>
      <c r="C112" s="6"/>
      <c r="D112" s="600" t="s">
        <v>575</v>
      </c>
      <c r="E112" s="600"/>
      <c r="F112" s="600"/>
      <c r="G112" s="600"/>
      <c r="H112" s="600"/>
      <c r="I112" s="600"/>
      <c r="J112" s="600"/>
      <c r="K112" s="600"/>
      <c r="L112" s="600"/>
      <c r="M112" s="600"/>
      <c r="N112" s="600"/>
      <c r="O112" s="601"/>
      <c r="P112" s="55"/>
      <c r="Q112" s="55"/>
      <c r="R112" s="55"/>
      <c r="S112" s="55"/>
      <c r="T112" s="523"/>
      <c r="U112" s="26"/>
    </row>
    <row r="113" spans="1:21" ht="51" customHeight="1" x14ac:dyDescent="0.25">
      <c r="A113" s="29"/>
      <c r="B113" s="25"/>
      <c r="C113" s="6"/>
      <c r="D113" s="602" t="s">
        <v>583</v>
      </c>
      <c r="E113" s="602"/>
      <c r="F113" s="602"/>
      <c r="G113" s="602"/>
      <c r="H113" s="602"/>
      <c r="I113" s="602"/>
      <c r="J113" s="602"/>
      <c r="K113" s="602"/>
      <c r="L113" s="602"/>
      <c r="M113" s="602"/>
      <c r="N113" s="602"/>
      <c r="O113" s="603"/>
      <c r="P113" s="55"/>
      <c r="Q113" s="55"/>
      <c r="R113" s="55"/>
      <c r="S113" s="55"/>
      <c r="T113" s="86"/>
      <c r="U113" s="26"/>
    </row>
    <row r="114" spans="1:21" s="27" customFormat="1" ht="15" customHeight="1" thickBot="1" x14ac:dyDescent="0.3">
      <c r="B114" s="12"/>
      <c r="C114" s="5"/>
      <c r="D114" s="458"/>
      <c r="E114" s="459"/>
      <c r="F114" s="541"/>
      <c r="G114" s="459"/>
      <c r="H114" s="459"/>
      <c r="I114" s="459"/>
      <c r="J114" s="459"/>
      <c r="K114" s="459"/>
      <c r="L114" s="460"/>
      <c r="M114" s="460"/>
      <c r="N114" s="461"/>
      <c r="O114" s="4"/>
      <c r="P114" s="4"/>
      <c r="Q114" s="4"/>
      <c r="R114" s="4"/>
      <c r="S114" s="4"/>
      <c r="T114" s="56"/>
      <c r="U114" s="57"/>
    </row>
    <row r="115" spans="1:21" ht="15" x14ac:dyDescent="0.25">
      <c r="F115" s="401"/>
    </row>
    <row r="116" spans="1:21" ht="15" x14ac:dyDescent="0.25">
      <c r="F116" s="539"/>
    </row>
    <row r="117" spans="1:21" ht="15" x14ac:dyDescent="0.25">
      <c r="F117" s="401"/>
    </row>
    <row r="118" spans="1:21" ht="15" x14ac:dyDescent="0.25">
      <c r="F118" s="401"/>
    </row>
    <row r="119" spans="1:21" ht="15" x14ac:dyDescent="0.25">
      <c r="F119" s="401"/>
    </row>
    <row r="120" spans="1:21" ht="15" x14ac:dyDescent="0.25">
      <c r="F120" s="401"/>
    </row>
    <row r="121" spans="1:21" ht="15.75" thickBot="1" x14ac:dyDescent="0.3">
      <c r="F121" s="401"/>
    </row>
    <row r="122" spans="1:21" ht="15" x14ac:dyDescent="0.25">
      <c r="F122" s="401"/>
    </row>
    <row r="123" spans="1:21" ht="15" x14ac:dyDescent="0.25">
      <c r="F123" s="401"/>
    </row>
    <row r="124" spans="1:21" ht="15" x14ac:dyDescent="0.25">
      <c r="F124" s="401"/>
    </row>
    <row r="125" spans="1:21" ht="15" x14ac:dyDescent="0.25">
      <c r="F125" s="401"/>
    </row>
    <row r="126" spans="1:21" ht="15" x14ac:dyDescent="0.25">
      <c r="F126" s="401"/>
    </row>
    <row r="127" spans="1:21" ht="15" x14ac:dyDescent="0.25">
      <c r="F127" s="401"/>
    </row>
    <row r="128" spans="1:21" ht="15" x14ac:dyDescent="0.25">
      <c r="F128" s="401"/>
    </row>
    <row r="129" spans="6:6" ht="15" x14ac:dyDescent="0.25">
      <c r="F129" s="401"/>
    </row>
    <row r="130" spans="6:6" ht="15" x14ac:dyDescent="0.25">
      <c r="F130" s="401"/>
    </row>
    <row r="131" spans="6:6" ht="15" x14ac:dyDescent="0.25">
      <c r="F131" s="401"/>
    </row>
    <row r="132" spans="6:6" ht="15" x14ac:dyDescent="0.25">
      <c r="F132" s="538"/>
    </row>
    <row r="133" spans="6:6" ht="15" x14ac:dyDescent="0.25">
      <c r="F133" s="401"/>
    </row>
    <row r="134" spans="6:6" ht="15" x14ac:dyDescent="0.25">
      <c r="F134" s="539"/>
    </row>
    <row r="135" spans="6:6" ht="15" x14ac:dyDescent="0.25">
      <c r="F135" s="401"/>
    </row>
    <row r="136" spans="6:6" ht="15" x14ac:dyDescent="0.25">
      <c r="F136" s="401"/>
    </row>
    <row r="137" spans="6:6" ht="15" x14ac:dyDescent="0.25">
      <c r="F137" s="401"/>
    </row>
    <row r="138" spans="6:6" ht="15" x14ac:dyDescent="0.25">
      <c r="F138" s="401"/>
    </row>
    <row r="139" spans="6:6" ht="15" x14ac:dyDescent="0.25">
      <c r="F139" s="401"/>
    </row>
    <row r="140" spans="6:6" ht="15" x14ac:dyDescent="0.25">
      <c r="F140" s="401"/>
    </row>
    <row r="141" spans="6:6" ht="15" x14ac:dyDescent="0.25">
      <c r="F141" s="401"/>
    </row>
    <row r="142" spans="6:6" ht="15" x14ac:dyDescent="0.25">
      <c r="F142" s="401"/>
    </row>
    <row r="143" spans="6:6" ht="15" x14ac:dyDescent="0.25">
      <c r="F143" s="401"/>
    </row>
    <row r="144" spans="6:6" ht="15" x14ac:dyDescent="0.25">
      <c r="F144" s="401"/>
    </row>
    <row r="145" spans="6:6" ht="15" x14ac:dyDescent="0.25">
      <c r="F145" s="401"/>
    </row>
    <row r="146" spans="6:6" ht="15" x14ac:dyDescent="0.25">
      <c r="F146" s="401"/>
    </row>
    <row r="147" spans="6:6" ht="15" x14ac:dyDescent="0.25">
      <c r="F147" s="401"/>
    </row>
    <row r="148" spans="6:6" ht="15" x14ac:dyDescent="0.25">
      <c r="F148" s="401"/>
    </row>
    <row r="149" spans="6:6" ht="15" x14ac:dyDescent="0.25">
      <c r="F149" s="401"/>
    </row>
    <row r="150" spans="6:6" ht="15" x14ac:dyDescent="0.25">
      <c r="F150" s="401"/>
    </row>
    <row r="151" spans="6:6" ht="15" x14ac:dyDescent="0.25">
      <c r="F151" s="401"/>
    </row>
    <row r="152" spans="6:6" ht="15" x14ac:dyDescent="0.25">
      <c r="F152" s="538"/>
    </row>
    <row r="153" spans="6:6" ht="15" x14ac:dyDescent="0.25">
      <c r="F153" s="401"/>
    </row>
    <row r="154" spans="6:6" ht="15" x14ac:dyDescent="0.25">
      <c r="F154" s="539"/>
    </row>
    <row r="155" spans="6:6" ht="15" x14ac:dyDescent="0.25">
      <c r="F155" s="401"/>
    </row>
    <row r="156" spans="6:6" ht="15" x14ac:dyDescent="0.25">
      <c r="F156" s="425"/>
    </row>
    <row r="157" spans="6:6" ht="15" x14ac:dyDescent="0.25">
      <c r="F157" s="401"/>
    </row>
    <row r="158" spans="6:6" ht="15" x14ac:dyDescent="0.25">
      <c r="F158" s="401"/>
    </row>
    <row r="159" spans="6:6" ht="15" x14ac:dyDescent="0.25">
      <c r="F159" s="425"/>
    </row>
    <row r="160" spans="6:6" ht="15" x14ac:dyDescent="0.25">
      <c r="F160" s="401"/>
    </row>
    <row r="161" spans="6:6" ht="15" x14ac:dyDescent="0.25">
      <c r="F161" s="538"/>
    </row>
    <row r="162" spans="6:6" ht="15" x14ac:dyDescent="0.25">
      <c r="F162" s="401"/>
    </row>
    <row r="163" spans="6:6" ht="15" x14ac:dyDescent="0.25">
      <c r="F163" s="540"/>
    </row>
    <row r="164" spans="6:6" ht="15" x14ac:dyDescent="0.25">
      <c r="F164" s="542"/>
    </row>
    <row r="165" spans="6:6" ht="15" x14ac:dyDescent="0.25">
      <c r="F165" s="540"/>
    </row>
  </sheetData>
  <sheetProtection password="BDDB" sheet="1" objects="1" scenarios="1" selectLockedCells="1"/>
  <mergeCells count="93">
    <mergeCell ref="D38:E38"/>
    <mergeCell ref="D51:E51"/>
    <mergeCell ref="D44:E44"/>
    <mergeCell ref="D45:E45"/>
    <mergeCell ref="D47:E47"/>
    <mergeCell ref="D49:E49"/>
    <mergeCell ref="D40:E40"/>
    <mergeCell ref="D41:E41"/>
    <mergeCell ref="D42:E42"/>
    <mergeCell ref="D43:E43"/>
    <mergeCell ref="D50:E50"/>
    <mergeCell ref="D25:E25"/>
    <mergeCell ref="D26:E26"/>
    <mergeCell ref="D37:E37"/>
    <mergeCell ref="D28:E28"/>
    <mergeCell ref="D30:E31"/>
    <mergeCell ref="D33:E33"/>
    <mergeCell ref="D35:E35"/>
    <mergeCell ref="D2:S2"/>
    <mergeCell ref="J13:J14"/>
    <mergeCell ref="L13:L14"/>
    <mergeCell ref="M13:M14"/>
    <mergeCell ref="N13:N14"/>
    <mergeCell ref="O13:O14"/>
    <mergeCell ref="D12:E12"/>
    <mergeCell ref="P13:P14"/>
    <mergeCell ref="D13:E14"/>
    <mergeCell ref="G13:G14"/>
    <mergeCell ref="H13:H14"/>
    <mergeCell ref="I13:I14"/>
    <mergeCell ref="R13:R14"/>
    <mergeCell ref="S13:S14"/>
    <mergeCell ref="K13:K14"/>
    <mergeCell ref="Q13:Q14"/>
    <mergeCell ref="D61:E61"/>
    <mergeCell ref="D8:S8"/>
    <mergeCell ref="D7:S7"/>
    <mergeCell ref="D10:S10"/>
    <mergeCell ref="D18:E18"/>
    <mergeCell ref="D27:E27"/>
    <mergeCell ref="D17:E17"/>
    <mergeCell ref="D15:E15"/>
    <mergeCell ref="D39:E39"/>
    <mergeCell ref="D19:E19"/>
    <mergeCell ref="D20:E20"/>
    <mergeCell ref="D21:E21"/>
    <mergeCell ref="D32:E32"/>
    <mergeCell ref="D22:E22"/>
    <mergeCell ref="D23:E23"/>
    <mergeCell ref="D24:E24"/>
    <mergeCell ref="D53:E53"/>
    <mergeCell ref="D55:E55"/>
    <mergeCell ref="D56:E56"/>
    <mergeCell ref="D57:E57"/>
    <mergeCell ref="D59:E59"/>
    <mergeCell ref="D73:E73"/>
    <mergeCell ref="D62:E62"/>
    <mergeCell ref="D63:E63"/>
    <mergeCell ref="D64:E64"/>
    <mergeCell ref="D65:E65"/>
    <mergeCell ref="D66:E66"/>
    <mergeCell ref="D67:E67"/>
    <mergeCell ref="D68:E68"/>
    <mergeCell ref="D69:E69"/>
    <mergeCell ref="D70:E70"/>
    <mergeCell ref="D71:E71"/>
    <mergeCell ref="D72:E72"/>
    <mergeCell ref="D91:E91"/>
    <mergeCell ref="D92:E92"/>
    <mergeCell ref="D93:E93"/>
    <mergeCell ref="D94:E94"/>
    <mergeCell ref="D74:E74"/>
    <mergeCell ref="D75:E75"/>
    <mergeCell ref="D77:E77"/>
    <mergeCell ref="D79:E79"/>
    <mergeCell ref="D80:E80"/>
    <mergeCell ref="D81:E81"/>
    <mergeCell ref="D108:E108"/>
    <mergeCell ref="D16:E16"/>
    <mergeCell ref="D112:O112"/>
    <mergeCell ref="D113:O113"/>
    <mergeCell ref="D102:E102"/>
    <mergeCell ref="D104:E104"/>
    <mergeCell ref="D105:E105"/>
    <mergeCell ref="D106:E106"/>
    <mergeCell ref="D107:E107"/>
    <mergeCell ref="D95:E95"/>
    <mergeCell ref="D97:E97"/>
    <mergeCell ref="D99:E99"/>
    <mergeCell ref="D100:E100"/>
    <mergeCell ref="D101:E101"/>
    <mergeCell ref="D89:E89"/>
    <mergeCell ref="D90:E90"/>
  </mergeCells>
  <conditionalFormatting sqref="G108:S108">
    <cfRule type="cellIs" dxfId="61" priority="1" stopIfTrue="1" operator="lessThan">
      <formula>0</formula>
    </cfRule>
  </conditionalFormatting>
  <pageMargins left="0.7" right="0.7" top="0.75" bottom="0.75" header="0.3" footer="0.3"/>
  <pageSetup scale="91"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3"/>
  </sheetPr>
  <dimension ref="B1:AJ185"/>
  <sheetViews>
    <sheetView tabSelected="1" zoomScale="80" zoomScaleNormal="80" workbookViewId="0">
      <selection activeCell="L158" sqref="L158"/>
    </sheetView>
  </sheetViews>
  <sheetFormatPr defaultColWidth="9.140625" defaultRowHeight="15" x14ac:dyDescent="0.25"/>
  <cols>
    <col min="1" max="2" width="3" style="372" customWidth="1"/>
    <col min="3" max="3" width="3.7109375" style="373" customWidth="1"/>
    <col min="4" max="4" width="33.140625" style="374" customWidth="1"/>
    <col min="5" max="5" width="32.7109375" style="372" customWidth="1"/>
    <col min="6" max="6" width="2.7109375" style="372" customWidth="1"/>
    <col min="7" max="11" width="17.7109375" style="372" customWidth="1"/>
    <col min="12" max="12" width="17.7109375" style="375" customWidth="1"/>
    <col min="13" max="13" width="2.7109375" style="375" customWidth="1"/>
    <col min="14" max="14" width="48.7109375" style="376" customWidth="1"/>
    <col min="15" max="15" width="3" style="376" customWidth="1"/>
    <col min="16" max="16" width="3" style="372" customWidth="1"/>
    <col min="17" max="17" width="32.85546875" style="377" bestFit="1" customWidth="1"/>
    <col min="18" max="16384" width="9.140625" style="372"/>
  </cols>
  <sheetData>
    <row r="1" spans="2:18" ht="15" customHeight="1" thickBot="1" x14ac:dyDescent="0.3"/>
    <row r="2" spans="2:18" ht="17.25" customHeight="1" x14ac:dyDescent="0.25">
      <c r="B2" s="378"/>
      <c r="C2" s="379"/>
      <c r="D2" s="592" t="s">
        <v>447</v>
      </c>
      <c r="E2" s="660"/>
      <c r="F2" s="660"/>
      <c r="G2" s="660"/>
      <c r="H2" s="660"/>
      <c r="I2" s="660"/>
      <c r="J2" s="660"/>
      <c r="K2" s="660"/>
      <c r="L2" s="660"/>
      <c r="M2" s="660"/>
      <c r="N2" s="660"/>
      <c r="O2" s="380"/>
      <c r="P2" s="381"/>
    </row>
    <row r="3" spans="2:18" ht="15" customHeight="1" x14ac:dyDescent="0.25">
      <c r="B3" s="382"/>
      <c r="C3" s="383"/>
      <c r="D3" s="384"/>
      <c r="E3" s="385"/>
      <c r="F3" s="385"/>
      <c r="G3" s="385"/>
      <c r="H3" s="120"/>
      <c r="I3" s="120"/>
      <c r="J3" s="120"/>
      <c r="K3" s="120"/>
      <c r="L3" s="386"/>
      <c r="M3" s="386"/>
      <c r="N3" s="387"/>
      <c r="O3" s="387"/>
      <c r="P3" s="388"/>
    </row>
    <row r="4" spans="2:18" s="389" customFormat="1" ht="15" customHeight="1" x14ac:dyDescent="0.25">
      <c r="B4" s="382"/>
      <c r="C4" s="383"/>
      <c r="D4" s="218" t="s">
        <v>81</v>
      </c>
      <c r="E4" s="390" t="str">
        <f>IF(ISBLANK('1. Instructions'!E6),"Please enter School Name on Tab 1.",'1. Instructions'!E6)</f>
        <v xml:space="preserve">Genai Excellence Academy, Inc </v>
      </c>
      <c r="F4" s="390"/>
      <c r="G4" s="385"/>
      <c r="H4" s="120"/>
      <c r="I4" s="391"/>
      <c r="J4" s="120"/>
      <c r="K4" s="120"/>
      <c r="L4" s="120"/>
      <c r="M4" s="120"/>
      <c r="N4" s="120"/>
      <c r="O4" s="120"/>
      <c r="P4" s="388"/>
      <c r="R4" s="372"/>
    </row>
    <row r="5" spans="2:18" s="389" customFormat="1" ht="15" customHeight="1" x14ac:dyDescent="0.25">
      <c r="B5" s="382"/>
      <c r="C5" s="383"/>
      <c r="D5" s="218" t="s">
        <v>82</v>
      </c>
      <c r="E5" s="390" t="str">
        <f>IF(ISBLANK('1. Instructions'!E7),"Please enter School's Opening Year on Tab 1.",'1. Instructions'!E7)</f>
        <v>2021-2022</v>
      </c>
      <c r="F5" s="390"/>
      <c r="G5" s="385"/>
      <c r="H5" s="120"/>
      <c r="I5" s="391"/>
      <c r="J5" s="120"/>
      <c r="K5" s="120"/>
      <c r="L5" s="120"/>
      <c r="M5" s="120"/>
      <c r="N5" s="120"/>
      <c r="O5" s="120"/>
      <c r="P5" s="388"/>
      <c r="R5" s="372"/>
    </row>
    <row r="6" spans="2:18" ht="15" customHeight="1" x14ac:dyDescent="0.25">
      <c r="B6" s="382"/>
      <c r="C6" s="383"/>
      <c r="D6" s="392"/>
      <c r="E6" s="120"/>
      <c r="F6" s="120"/>
      <c r="G6" s="120"/>
      <c r="H6" s="120"/>
      <c r="I6" s="120"/>
      <c r="J6" s="120"/>
      <c r="K6" s="120"/>
      <c r="L6" s="232"/>
      <c r="M6" s="232"/>
      <c r="N6" s="232"/>
      <c r="O6" s="232"/>
      <c r="P6" s="388"/>
    </row>
    <row r="7" spans="2:18" ht="15" customHeight="1" x14ac:dyDescent="0.25">
      <c r="B7" s="382"/>
      <c r="C7" s="383"/>
      <c r="D7" s="393" t="s">
        <v>119</v>
      </c>
      <c r="E7" s="118"/>
      <c r="F7" s="118"/>
      <c r="G7" s="118"/>
      <c r="H7" s="118"/>
      <c r="I7" s="118"/>
      <c r="J7" s="118"/>
      <c r="K7" s="118"/>
      <c r="L7" s="394"/>
      <c r="M7" s="394"/>
      <c r="N7" s="395"/>
      <c r="O7" s="232"/>
      <c r="P7" s="388"/>
    </row>
    <row r="8" spans="2:18" ht="46.5" customHeight="1" x14ac:dyDescent="0.25">
      <c r="B8" s="382"/>
      <c r="C8" s="383"/>
      <c r="D8" s="665" t="s">
        <v>123</v>
      </c>
      <c r="E8" s="666"/>
      <c r="F8" s="666"/>
      <c r="G8" s="666"/>
      <c r="H8" s="666"/>
      <c r="I8" s="666"/>
      <c r="J8" s="666"/>
      <c r="K8" s="666"/>
      <c r="L8" s="666"/>
      <c r="M8" s="666"/>
      <c r="N8" s="667"/>
      <c r="O8" s="232"/>
      <c r="P8" s="388"/>
    </row>
    <row r="9" spans="2:18" ht="15" customHeight="1" x14ac:dyDescent="0.25">
      <c r="B9" s="382"/>
      <c r="C9" s="383"/>
      <c r="D9" s="475"/>
      <c r="E9" s="476"/>
      <c r="F9" s="476"/>
      <c r="G9" s="476"/>
      <c r="H9" s="476"/>
      <c r="I9" s="476"/>
      <c r="J9" s="476"/>
      <c r="K9" s="476"/>
      <c r="L9" s="476"/>
      <c r="M9" s="476"/>
      <c r="N9" s="476"/>
      <c r="O9" s="232"/>
      <c r="P9" s="388"/>
    </row>
    <row r="10" spans="2:18" ht="29.25" customHeight="1" x14ac:dyDescent="0.25">
      <c r="B10" s="382"/>
      <c r="C10" s="383"/>
      <c r="D10" s="650" t="s">
        <v>554</v>
      </c>
      <c r="E10" s="651"/>
      <c r="F10" s="651"/>
      <c r="G10" s="651"/>
      <c r="H10" s="651"/>
      <c r="I10" s="651"/>
      <c r="J10" s="651"/>
      <c r="K10" s="651"/>
      <c r="L10" s="651"/>
      <c r="M10" s="651"/>
      <c r="N10" s="651"/>
      <c r="O10" s="232"/>
      <c r="P10" s="388"/>
    </row>
    <row r="11" spans="2:18" ht="15" customHeight="1" x14ac:dyDescent="0.25">
      <c r="B11" s="382"/>
      <c r="C11" s="383"/>
      <c r="D11" s="392"/>
      <c r="E11" s="120"/>
      <c r="F11" s="120"/>
      <c r="G11" s="383"/>
      <c r="H11" s="383"/>
      <c r="I11" s="383"/>
      <c r="J11" s="383"/>
      <c r="K11" s="383"/>
      <c r="L11" s="232"/>
      <c r="M11" s="232"/>
      <c r="N11" s="220"/>
      <c r="O11" s="220"/>
      <c r="P11" s="388"/>
    </row>
    <row r="12" spans="2:18" ht="15" customHeight="1" thickBot="1" x14ac:dyDescent="0.3">
      <c r="B12" s="382"/>
      <c r="C12" s="396"/>
      <c r="D12" s="397"/>
      <c r="E12" s="118"/>
      <c r="F12" s="118"/>
      <c r="G12" s="116"/>
      <c r="H12" s="116"/>
      <c r="I12" s="116"/>
      <c r="J12" s="116"/>
      <c r="K12" s="116"/>
      <c r="L12" s="398"/>
      <c r="M12" s="398"/>
      <c r="N12" s="394"/>
      <c r="O12" s="395"/>
      <c r="P12" s="388"/>
    </row>
    <row r="13" spans="2:18" ht="15" customHeight="1" x14ac:dyDescent="0.25">
      <c r="B13" s="382"/>
      <c r="C13" s="400"/>
      <c r="D13" s="638" t="s">
        <v>20</v>
      </c>
      <c r="E13" s="639"/>
      <c r="F13" s="503"/>
      <c r="G13" s="661" t="s">
        <v>12</v>
      </c>
      <c r="H13" s="661" t="s">
        <v>7</v>
      </c>
      <c r="I13" s="661" t="s">
        <v>8</v>
      </c>
      <c r="J13" s="661" t="s">
        <v>9</v>
      </c>
      <c r="K13" s="661" t="s">
        <v>10</v>
      </c>
      <c r="L13" s="664" t="s">
        <v>11</v>
      </c>
      <c r="M13" s="483"/>
      <c r="N13" s="664" t="s">
        <v>555</v>
      </c>
      <c r="O13" s="399"/>
      <c r="P13" s="388"/>
    </row>
    <row r="14" spans="2:18" ht="15" customHeight="1" x14ac:dyDescent="0.25">
      <c r="B14" s="382"/>
      <c r="C14" s="400"/>
      <c r="D14" s="640"/>
      <c r="E14" s="641"/>
      <c r="F14" s="465"/>
      <c r="G14" s="662"/>
      <c r="H14" s="663"/>
      <c r="I14" s="663"/>
      <c r="J14" s="663"/>
      <c r="K14" s="663"/>
      <c r="L14" s="663"/>
      <c r="M14" s="484"/>
      <c r="N14" s="662"/>
      <c r="O14" s="465"/>
      <c r="P14" s="388"/>
    </row>
    <row r="15" spans="2:18" ht="15.75" customHeight="1" x14ac:dyDescent="0.25">
      <c r="B15" s="382"/>
      <c r="C15" s="400"/>
      <c r="D15" s="512"/>
      <c r="E15" s="513"/>
      <c r="F15" s="432"/>
      <c r="G15" s="433"/>
      <c r="H15" s="118"/>
      <c r="I15" s="118"/>
      <c r="J15" s="118"/>
      <c r="K15" s="118"/>
      <c r="L15" s="118"/>
      <c r="M15" s="120"/>
      <c r="N15" s="433"/>
      <c r="O15" s="465"/>
      <c r="P15" s="388"/>
    </row>
    <row r="16" spans="2:18" s="401" customFormat="1" ht="15.75" customHeight="1" x14ac:dyDescent="0.25">
      <c r="B16" s="382"/>
      <c r="C16" s="400"/>
      <c r="D16" s="673" t="s">
        <v>486</v>
      </c>
      <c r="E16" s="674"/>
      <c r="F16" s="385"/>
      <c r="G16" s="385"/>
      <c r="H16" s="422"/>
      <c r="I16" s="422"/>
      <c r="J16" s="422"/>
      <c r="K16" s="422"/>
      <c r="L16" s="423"/>
      <c r="M16" s="386"/>
      <c r="N16" s="487" t="s">
        <v>556</v>
      </c>
      <c r="O16" s="403"/>
      <c r="P16" s="388"/>
      <c r="Q16" s="404"/>
    </row>
    <row r="17" spans="2:23" ht="15.75" customHeight="1" x14ac:dyDescent="0.25">
      <c r="B17" s="382"/>
      <c r="C17" s="400"/>
      <c r="D17" s="598" t="s">
        <v>586</v>
      </c>
      <c r="E17" s="599"/>
      <c r="F17" s="120"/>
      <c r="G17" s="410"/>
      <c r="H17" s="406">
        <f>IF('2. Enrollment Projections'!E33 &gt; 0, '2. Enrollment Projections'!E43, '2. Enrollment Projections'!E41)</f>
        <v>615759.75</v>
      </c>
      <c r="I17" s="406">
        <f>IF('2. Enrollment Projections'!F33 &gt; 0, '2. Enrollment Projections'!F43, '2. Enrollment Projections'!F41)</f>
        <v>923639.625</v>
      </c>
      <c r="J17" s="406">
        <f>IF('2. Enrollment Projections'!G33 &gt; 0, '2. Enrollment Projections'!G43, '2. Enrollment Projections'!G41)</f>
        <v>1385459.4375</v>
      </c>
      <c r="K17" s="406">
        <f>IF('2. Enrollment Projections'!H33 &gt; 0, '2. Enrollment Projections'!H43, '2. Enrollment Projections'!H41)</f>
        <v>1847279.25</v>
      </c>
      <c r="L17" s="406">
        <f>IF('2. Enrollment Projections'!I33 &gt; 0, '2. Enrollment Projections'!I43, '2. Enrollment Projections'!I41)</f>
        <v>2155159.125</v>
      </c>
      <c r="M17" s="477"/>
      <c r="N17" s="652" t="s">
        <v>458</v>
      </c>
      <c r="O17" s="403"/>
      <c r="P17" s="407"/>
    </row>
    <row r="18" spans="2:23" ht="15.75" customHeight="1" x14ac:dyDescent="0.25">
      <c r="B18" s="382"/>
      <c r="C18" s="400"/>
      <c r="D18" s="598" t="s">
        <v>459</v>
      </c>
      <c r="E18" s="599"/>
      <c r="F18" s="120"/>
      <c r="G18" s="410"/>
      <c r="H18" s="406">
        <f>IF('2. Enrollment Projections'!E33&gt;0,('2. Enrollment Projections'!E33*'2. Enrollment Projections'!E36)*CONTROL!$K$21,('2. Enrollment Projections'!E29*'2. Enrollment Projections'!E36)*CONTROL!$K$21)</f>
        <v>34500</v>
      </c>
      <c r="I18" s="406">
        <f>IF('2. Enrollment Projections'!F33&gt;0,('2. Enrollment Projections'!F33*'2. Enrollment Projections'!F36)*CONTROL!$K$21,('2. Enrollment Projections'!F29*'2. Enrollment Projections'!F36)*CONTROL!$K$21)</f>
        <v>51750</v>
      </c>
      <c r="J18" s="406">
        <f>IF('2. Enrollment Projections'!G33&gt;0,('2. Enrollment Projections'!G33*'2. Enrollment Projections'!G36)*CONTROL!$K$21,('2. Enrollment Projections'!G29*'2. Enrollment Projections'!G36)*CONTROL!$K$21)</f>
        <v>77625</v>
      </c>
      <c r="K18" s="406">
        <f>IF('2. Enrollment Projections'!H33&gt;0,('2. Enrollment Projections'!H33*'2. Enrollment Projections'!H36)*CONTROL!$K$21,('2. Enrollment Projections'!H29*'2. Enrollment Projections'!H36)*CONTROL!$K$21)</f>
        <v>103500</v>
      </c>
      <c r="L18" s="406">
        <f>IF('2. Enrollment Projections'!I33&gt;0,('2. Enrollment Projections'!I33*'2. Enrollment Projections'!I36)*CONTROL!$K$21,('2. Enrollment Projections'!I29*'2. Enrollment Projections'!I36)*CONTROL!$K$21)</f>
        <v>120750</v>
      </c>
      <c r="M18" s="477"/>
      <c r="N18" s="653"/>
      <c r="O18" s="408"/>
      <c r="P18" s="407"/>
      <c r="Q18" s="372"/>
    </row>
    <row r="19" spans="2:23" ht="15.75" customHeight="1" x14ac:dyDescent="0.25">
      <c r="B19" s="382"/>
      <c r="C19" s="400"/>
      <c r="D19" s="677" t="s">
        <v>477</v>
      </c>
      <c r="E19" s="678"/>
      <c r="F19" s="498"/>
      <c r="G19" s="410"/>
      <c r="H19" s="409"/>
      <c r="I19" s="409">
        <v>0</v>
      </c>
      <c r="J19" s="409">
        <v>0</v>
      </c>
      <c r="K19" s="409">
        <v>0</v>
      </c>
      <c r="L19" s="409">
        <v>0</v>
      </c>
      <c r="M19" s="486"/>
      <c r="N19" s="653"/>
      <c r="O19" s="403"/>
      <c r="P19" s="407"/>
    </row>
    <row r="20" spans="2:23" ht="15.75" customHeight="1" x14ac:dyDescent="0.25">
      <c r="B20" s="382"/>
      <c r="C20" s="400"/>
      <c r="D20" s="677" t="s">
        <v>478</v>
      </c>
      <c r="E20" s="678"/>
      <c r="F20" s="498"/>
      <c r="G20" s="410"/>
      <c r="H20" s="409">
        <v>0</v>
      </c>
      <c r="I20" s="409">
        <v>0</v>
      </c>
      <c r="J20" s="409">
        <v>0</v>
      </c>
      <c r="K20" s="409">
        <v>0</v>
      </c>
      <c r="L20" s="409">
        <v>0</v>
      </c>
      <c r="M20" s="486"/>
      <c r="N20" s="653"/>
      <c r="O20" s="403"/>
      <c r="P20" s="407"/>
    </row>
    <row r="21" spans="2:23" ht="15.75" customHeight="1" x14ac:dyDescent="0.25">
      <c r="B21" s="382"/>
      <c r="C21" s="400"/>
      <c r="D21" s="669" t="s">
        <v>479</v>
      </c>
      <c r="E21" s="670"/>
      <c r="F21" s="496"/>
      <c r="G21" s="410"/>
      <c r="H21" s="409">
        <v>0</v>
      </c>
      <c r="I21" s="409">
        <v>0</v>
      </c>
      <c r="J21" s="409">
        <v>0</v>
      </c>
      <c r="K21" s="409">
        <v>0</v>
      </c>
      <c r="L21" s="409">
        <v>0</v>
      </c>
      <c r="M21" s="486"/>
      <c r="N21" s="653"/>
      <c r="O21" s="403"/>
      <c r="P21" s="407"/>
    </row>
    <row r="22" spans="2:23" ht="15.75" customHeight="1" x14ac:dyDescent="0.25">
      <c r="B22" s="382"/>
      <c r="C22" s="400"/>
      <c r="D22" s="669" t="s">
        <v>480</v>
      </c>
      <c r="E22" s="670"/>
      <c r="F22" s="496"/>
      <c r="G22" s="410"/>
      <c r="H22" s="409">
        <f>'2. Enrollment Projections'!E$29*1000</f>
        <v>100000</v>
      </c>
      <c r="I22" s="409">
        <f>'2. Enrollment Projections'!F29*1000</f>
        <v>150000</v>
      </c>
      <c r="J22" s="409">
        <f>'2. Enrollment Projections'!G29*1000</f>
        <v>225000</v>
      </c>
      <c r="K22" s="409">
        <f>'2. Enrollment Projections'!H29*1000</f>
        <v>300000</v>
      </c>
      <c r="L22" s="409">
        <f>'2. Enrollment Projections'!I29*1000</f>
        <v>350000</v>
      </c>
      <c r="M22" s="486"/>
      <c r="N22" s="653"/>
      <c r="O22" s="403"/>
      <c r="P22" s="407"/>
    </row>
    <row r="23" spans="2:23" ht="15.75" customHeight="1" x14ac:dyDescent="0.25">
      <c r="B23" s="382"/>
      <c r="C23" s="400"/>
      <c r="D23" s="669" t="s">
        <v>21</v>
      </c>
      <c r="E23" s="670"/>
      <c r="F23" s="496"/>
      <c r="G23" s="410"/>
      <c r="H23" s="409">
        <v>0</v>
      </c>
      <c r="I23" s="409">
        <v>0</v>
      </c>
      <c r="J23" s="409">
        <v>0</v>
      </c>
      <c r="K23" s="409">
        <v>0</v>
      </c>
      <c r="L23" s="409">
        <v>0</v>
      </c>
      <c r="M23" s="486"/>
      <c r="N23" s="653"/>
      <c r="O23" s="403"/>
      <c r="P23" s="407"/>
    </row>
    <row r="24" spans="2:23" ht="15.75" customHeight="1" x14ac:dyDescent="0.25">
      <c r="B24" s="382"/>
      <c r="C24" s="400"/>
      <c r="D24" s="669" t="s">
        <v>17</v>
      </c>
      <c r="E24" s="670"/>
      <c r="F24" s="496"/>
      <c r="G24" s="410"/>
      <c r="H24" s="409">
        <v>0</v>
      </c>
      <c r="I24" s="409">
        <v>0</v>
      </c>
      <c r="J24" s="409">
        <v>0</v>
      </c>
      <c r="K24" s="409">
        <v>0</v>
      </c>
      <c r="L24" s="409">
        <v>0</v>
      </c>
      <c r="M24" s="486"/>
      <c r="N24" s="653"/>
      <c r="O24" s="411"/>
      <c r="P24" s="407"/>
    </row>
    <row r="25" spans="2:23" ht="15.75" customHeight="1" x14ac:dyDescent="0.25">
      <c r="B25" s="382"/>
      <c r="C25" s="400"/>
      <c r="D25" s="669" t="s">
        <v>481</v>
      </c>
      <c r="E25" s="670"/>
      <c r="F25" s="496"/>
      <c r="G25" s="410"/>
      <c r="H25" s="409">
        <v>0</v>
      </c>
      <c r="I25" s="409">
        <v>0</v>
      </c>
      <c r="J25" s="409">
        <v>0</v>
      </c>
      <c r="K25" s="409">
        <v>0</v>
      </c>
      <c r="L25" s="409">
        <v>0</v>
      </c>
      <c r="M25" s="486"/>
      <c r="N25" s="653"/>
      <c r="O25" s="411"/>
      <c r="P25" s="407"/>
    </row>
    <row r="26" spans="2:23" ht="15.75" customHeight="1" x14ac:dyDescent="0.25">
      <c r="B26" s="382"/>
      <c r="C26" s="400"/>
      <c r="D26" s="669" t="s">
        <v>18</v>
      </c>
      <c r="E26" s="670"/>
      <c r="F26" s="496"/>
      <c r="G26" s="410"/>
      <c r="H26" s="409">
        <f>'2. Enrollment Projections'!E$29*25</f>
        <v>2500</v>
      </c>
      <c r="I26" s="409">
        <f>'2. Enrollment Projections'!F$29*25</f>
        <v>3750</v>
      </c>
      <c r="J26" s="409">
        <f>'2. Enrollment Projections'!G$29*25</f>
        <v>5625</v>
      </c>
      <c r="K26" s="409">
        <f>'2. Enrollment Projections'!H$29*25</f>
        <v>7500</v>
      </c>
      <c r="L26" s="409">
        <f>'2. Enrollment Projections'!I$29*25</f>
        <v>8750</v>
      </c>
      <c r="M26" s="490"/>
      <c r="N26" s="653"/>
      <c r="O26" s="412"/>
      <c r="P26" s="407"/>
    </row>
    <row r="27" spans="2:23" ht="15.75" customHeight="1" x14ac:dyDescent="0.25">
      <c r="B27" s="382"/>
      <c r="C27" s="400"/>
      <c r="D27" s="675" t="s">
        <v>482</v>
      </c>
      <c r="E27" s="676"/>
      <c r="F27" s="496"/>
      <c r="G27" s="410"/>
      <c r="H27" s="409">
        <v>0</v>
      </c>
      <c r="I27" s="409">
        <v>0</v>
      </c>
      <c r="J27" s="409">
        <v>0</v>
      </c>
      <c r="K27" s="409">
        <v>0</v>
      </c>
      <c r="L27" s="409">
        <v>0</v>
      </c>
      <c r="M27" s="490"/>
      <c r="N27" s="653"/>
      <c r="O27" s="403"/>
      <c r="P27" s="407"/>
      <c r="Q27" s="401"/>
      <c r="R27" s="401"/>
      <c r="S27" s="401"/>
      <c r="T27" s="401"/>
      <c r="U27" s="401"/>
      <c r="V27" s="401"/>
      <c r="W27" s="401"/>
    </row>
    <row r="28" spans="2:23" ht="15.75" customHeight="1" x14ac:dyDescent="0.25">
      <c r="B28" s="382"/>
      <c r="C28" s="400"/>
      <c r="D28" s="669" t="s">
        <v>483</v>
      </c>
      <c r="E28" s="670"/>
      <c r="F28" s="496"/>
      <c r="G28" s="410"/>
      <c r="H28" s="409">
        <v>0</v>
      </c>
      <c r="I28" s="409">
        <v>0</v>
      </c>
      <c r="J28" s="409">
        <v>0</v>
      </c>
      <c r="K28" s="409">
        <v>0</v>
      </c>
      <c r="L28" s="409">
        <v>0</v>
      </c>
      <c r="M28" s="486"/>
      <c r="N28" s="653"/>
      <c r="O28" s="403"/>
      <c r="P28" s="407"/>
      <c r="Q28" s="401"/>
      <c r="R28" s="401"/>
      <c r="S28" s="401"/>
      <c r="T28" s="401"/>
      <c r="U28" s="401"/>
      <c r="V28" s="401"/>
      <c r="W28" s="401"/>
    </row>
    <row r="29" spans="2:23" ht="15.75" customHeight="1" x14ac:dyDescent="0.25">
      <c r="B29" s="382"/>
      <c r="C29" s="400"/>
      <c r="D29" s="669" t="s">
        <v>484</v>
      </c>
      <c r="E29" s="670"/>
      <c r="F29" s="496"/>
      <c r="G29" s="410"/>
      <c r="H29" s="409">
        <v>0</v>
      </c>
      <c r="I29" s="409">
        <v>0</v>
      </c>
      <c r="J29" s="409">
        <v>0</v>
      </c>
      <c r="K29" s="409">
        <v>0</v>
      </c>
      <c r="L29" s="409">
        <v>0</v>
      </c>
      <c r="M29" s="486"/>
      <c r="N29" s="654"/>
      <c r="O29" s="403"/>
      <c r="P29" s="407"/>
      <c r="Q29" s="372"/>
    </row>
    <row r="30" spans="2:23" ht="15.75" customHeight="1" x14ac:dyDescent="0.25">
      <c r="B30" s="382"/>
      <c r="C30" s="400"/>
      <c r="D30" s="608"/>
      <c r="E30" s="609"/>
      <c r="F30" s="120"/>
      <c r="G30" s="410"/>
      <c r="H30" s="117"/>
      <c r="I30" s="117"/>
      <c r="J30" s="117"/>
      <c r="K30" s="117"/>
      <c r="L30" s="402"/>
      <c r="M30" s="386"/>
      <c r="N30" s="466" t="s">
        <v>2</v>
      </c>
      <c r="O30" s="403"/>
      <c r="P30" s="413"/>
      <c r="Q30" s="372"/>
    </row>
    <row r="31" spans="2:23" ht="15.75" customHeight="1" x14ac:dyDescent="0.25">
      <c r="B31" s="382"/>
      <c r="C31" s="400"/>
      <c r="D31" s="606" t="s">
        <v>485</v>
      </c>
      <c r="E31" s="607"/>
      <c r="F31" s="121"/>
      <c r="G31" s="414"/>
      <c r="H31" s="415">
        <f>SUM(H17:H29)</f>
        <v>752759.75</v>
      </c>
      <c r="I31" s="415">
        <f>SUM(I17:I29)</f>
        <v>1129139.625</v>
      </c>
      <c r="J31" s="415">
        <f>SUM(J17:J29)</f>
        <v>1693709.4375</v>
      </c>
      <c r="K31" s="415">
        <f>SUM(K17:K29)</f>
        <v>2258279.25</v>
      </c>
      <c r="L31" s="416">
        <f>SUM(L17:L29)</f>
        <v>2634659.125</v>
      </c>
      <c r="M31" s="478"/>
      <c r="N31" s="464"/>
      <c r="O31" s="403"/>
      <c r="P31" s="413"/>
      <c r="Q31" s="372"/>
    </row>
    <row r="32" spans="2:23" ht="15.75" customHeight="1" x14ac:dyDescent="0.25">
      <c r="B32" s="382"/>
      <c r="C32" s="400"/>
      <c r="D32" s="608"/>
      <c r="E32" s="609"/>
      <c r="F32" s="120"/>
      <c r="G32" s="410"/>
      <c r="H32" s="118"/>
      <c r="I32" s="118"/>
      <c r="J32" s="118"/>
      <c r="K32" s="118"/>
      <c r="L32" s="417"/>
      <c r="M32" s="386"/>
      <c r="N32" s="464"/>
      <c r="O32" s="403"/>
      <c r="P32" s="413"/>
      <c r="Q32" s="372"/>
    </row>
    <row r="33" spans="2:17" ht="15.75" customHeight="1" x14ac:dyDescent="0.25">
      <c r="B33" s="382"/>
      <c r="C33" s="400"/>
      <c r="D33" s="614" t="s">
        <v>558</v>
      </c>
      <c r="E33" s="615"/>
      <c r="F33" s="385"/>
      <c r="G33" s="427"/>
      <c r="H33" s="671"/>
      <c r="I33" s="672"/>
      <c r="J33" s="672"/>
      <c r="K33" s="672"/>
      <c r="L33" s="672"/>
      <c r="M33" s="391"/>
      <c r="N33" s="491" t="s">
        <v>557</v>
      </c>
      <c r="O33" s="403"/>
      <c r="P33" s="413"/>
      <c r="Q33" s="372"/>
    </row>
    <row r="34" spans="2:17" ht="15.75" customHeight="1" x14ac:dyDescent="0.25">
      <c r="B34" s="382"/>
      <c r="C34" s="400"/>
      <c r="D34" s="608" t="s">
        <v>443</v>
      </c>
      <c r="E34" s="609"/>
      <c r="F34" s="495"/>
      <c r="G34" s="502">
        <f>'4. Budget &amp; Cash Flow (Year 0)'!S16</f>
        <v>0</v>
      </c>
      <c r="H34" s="409">
        <v>0</v>
      </c>
      <c r="I34" s="409">
        <v>0</v>
      </c>
      <c r="J34" s="409">
        <v>0</v>
      </c>
      <c r="K34" s="409">
        <v>0</v>
      </c>
      <c r="L34" s="409">
        <v>0</v>
      </c>
      <c r="M34" s="482"/>
      <c r="N34" s="658" t="s">
        <v>599</v>
      </c>
      <c r="O34" s="412"/>
      <c r="P34" s="413"/>
      <c r="Q34" s="372"/>
    </row>
    <row r="35" spans="2:17" ht="15.75" customHeight="1" x14ac:dyDescent="0.25">
      <c r="B35" s="382"/>
      <c r="C35" s="400"/>
      <c r="D35" s="608" t="s">
        <v>487</v>
      </c>
      <c r="E35" s="609"/>
      <c r="F35" s="120"/>
      <c r="G35" s="410"/>
      <c r="H35" s="409">
        <v>0</v>
      </c>
      <c r="I35" s="409">
        <v>0</v>
      </c>
      <c r="J35" s="409">
        <v>0</v>
      </c>
      <c r="K35" s="409">
        <v>0</v>
      </c>
      <c r="L35" s="409">
        <v>0</v>
      </c>
      <c r="M35" s="485"/>
      <c r="N35" s="656"/>
      <c r="O35" s="403"/>
      <c r="P35" s="407"/>
      <c r="Q35" s="372"/>
    </row>
    <row r="36" spans="2:17" ht="15.75" customHeight="1" x14ac:dyDescent="0.25">
      <c r="B36" s="382"/>
      <c r="C36" s="400"/>
      <c r="D36" s="608" t="s">
        <v>22</v>
      </c>
      <c r="E36" s="609"/>
      <c r="F36" s="120"/>
      <c r="G36" s="410"/>
      <c r="H36" s="409">
        <f>'2. Enrollment Projections'!E$29*300</f>
        <v>30000</v>
      </c>
      <c r="I36" s="409">
        <f>'2. Enrollment Projections'!F$29*300</f>
        <v>45000</v>
      </c>
      <c r="J36" s="409">
        <f>'2. Enrollment Projections'!G$29*300</f>
        <v>67500</v>
      </c>
      <c r="K36" s="409">
        <f>'2. Enrollment Projections'!H$29*300</f>
        <v>90000</v>
      </c>
      <c r="L36" s="409">
        <f>'2. Enrollment Projections'!I$29*300</f>
        <v>105000</v>
      </c>
      <c r="M36" s="485"/>
      <c r="N36" s="656"/>
      <c r="O36" s="403"/>
      <c r="P36" s="413"/>
      <c r="Q36" s="372"/>
    </row>
    <row r="37" spans="2:17" ht="15.75" customHeight="1" x14ac:dyDescent="0.25">
      <c r="B37" s="382"/>
      <c r="C37" s="400"/>
      <c r="D37" s="608" t="s">
        <v>0</v>
      </c>
      <c r="E37" s="609"/>
      <c r="F37" s="120"/>
      <c r="G37" s="410"/>
      <c r="H37" s="409">
        <f>'2. Enrollment Projections'!E$29*800</f>
        <v>80000</v>
      </c>
      <c r="I37" s="409">
        <f>'2. Enrollment Projections'!F$29*800</f>
        <v>120000</v>
      </c>
      <c r="J37" s="409">
        <f>'2. Enrollment Projections'!G$29*800</f>
        <v>180000</v>
      </c>
      <c r="K37" s="409">
        <f>'2. Enrollment Projections'!H$29*800</f>
        <v>240000</v>
      </c>
      <c r="L37" s="409">
        <f>'2. Enrollment Projections'!I$29*800</f>
        <v>280000</v>
      </c>
      <c r="M37" s="485"/>
      <c r="N37" s="656"/>
      <c r="O37" s="403"/>
      <c r="P37" s="413"/>
      <c r="Q37" s="372"/>
    </row>
    <row r="38" spans="2:17" ht="15.75" customHeight="1" x14ac:dyDescent="0.25">
      <c r="B38" s="382"/>
      <c r="C38" s="400"/>
      <c r="D38" s="608" t="s">
        <v>1</v>
      </c>
      <c r="E38" s="609"/>
      <c r="F38" s="120"/>
      <c r="G38" s="410"/>
      <c r="H38" s="409">
        <f>'2. Enrollment Projections'!E$29*100</f>
        <v>10000</v>
      </c>
      <c r="I38" s="409">
        <f>'2. Enrollment Projections'!F$29*100</f>
        <v>15000</v>
      </c>
      <c r="J38" s="409">
        <f>'2. Enrollment Projections'!G$29*100</f>
        <v>22500</v>
      </c>
      <c r="K38" s="409">
        <f>'2. Enrollment Projections'!H$29*100</f>
        <v>30000</v>
      </c>
      <c r="L38" s="409">
        <f>'2. Enrollment Projections'!I$29*100</f>
        <v>35000</v>
      </c>
      <c r="M38" s="485"/>
      <c r="N38" s="656"/>
      <c r="O38" s="403"/>
      <c r="P38" s="413"/>
      <c r="Q38" s="372"/>
    </row>
    <row r="39" spans="2:17" ht="15.75" customHeight="1" x14ac:dyDescent="0.25">
      <c r="B39" s="382"/>
      <c r="C39" s="400"/>
      <c r="D39" s="608" t="s">
        <v>15</v>
      </c>
      <c r="E39" s="609"/>
      <c r="F39" s="120"/>
      <c r="G39" s="410"/>
      <c r="H39" s="409">
        <f>'2. Enrollment Projections'!E$29*600</f>
        <v>60000</v>
      </c>
      <c r="I39" s="409">
        <f>'2. Enrollment Projections'!F$29*600</f>
        <v>90000</v>
      </c>
      <c r="J39" s="409">
        <f>'2. Enrollment Projections'!G$29*600</f>
        <v>135000</v>
      </c>
      <c r="K39" s="409">
        <f>'2. Enrollment Projections'!H$29*600</f>
        <v>180000</v>
      </c>
      <c r="L39" s="409">
        <f>'2. Enrollment Projections'!I$29*600</f>
        <v>210000</v>
      </c>
      <c r="M39" s="485"/>
      <c r="N39" s="656"/>
      <c r="O39" s="403"/>
      <c r="P39" s="413"/>
      <c r="Q39" s="372"/>
    </row>
    <row r="40" spans="2:17" ht="15.75" customHeight="1" x14ac:dyDescent="0.25">
      <c r="B40" s="382"/>
      <c r="C40" s="400"/>
      <c r="D40" s="608" t="s">
        <v>16</v>
      </c>
      <c r="E40" s="609"/>
      <c r="F40" s="120"/>
      <c r="G40" s="410"/>
      <c r="H40" s="409">
        <f>'2. Enrollment Projections'!E$29*300</f>
        <v>30000</v>
      </c>
      <c r="I40" s="409">
        <f>'2. Enrollment Projections'!F$29*300</f>
        <v>45000</v>
      </c>
      <c r="J40" s="409">
        <f>'2. Enrollment Projections'!G$29*300</f>
        <v>67500</v>
      </c>
      <c r="K40" s="409">
        <f>'2. Enrollment Projections'!H$29*300</f>
        <v>90000</v>
      </c>
      <c r="L40" s="409">
        <f>'2. Enrollment Projections'!I$29*300</f>
        <v>105000</v>
      </c>
      <c r="M40" s="485"/>
      <c r="N40" s="656"/>
      <c r="O40" s="403"/>
      <c r="P40" s="413"/>
      <c r="Q40" s="372"/>
    </row>
    <row r="41" spans="2:17" ht="15.75" customHeight="1" x14ac:dyDescent="0.25">
      <c r="B41" s="382"/>
      <c r="C41" s="400"/>
      <c r="D41" s="608" t="s">
        <v>488</v>
      </c>
      <c r="E41" s="609"/>
      <c r="F41" s="495"/>
      <c r="G41" s="502">
        <f>'4. Budget &amp; Cash Flow (Year 0)'!S17</f>
        <v>0</v>
      </c>
      <c r="H41" s="409">
        <v>0</v>
      </c>
      <c r="I41" s="409">
        <v>300000</v>
      </c>
      <c r="J41" s="409">
        <v>300000</v>
      </c>
      <c r="K41" s="409">
        <v>0</v>
      </c>
      <c r="L41" s="409">
        <v>0</v>
      </c>
      <c r="M41" s="485"/>
      <c r="N41" s="657"/>
      <c r="O41" s="403"/>
      <c r="P41" s="413"/>
    </row>
    <row r="42" spans="2:17" ht="15.75" customHeight="1" x14ac:dyDescent="0.25">
      <c r="B42" s="382"/>
      <c r="C42" s="400"/>
      <c r="D42" s="608"/>
      <c r="E42" s="609"/>
      <c r="F42" s="120"/>
      <c r="G42" s="419"/>
      <c r="H42" s="117"/>
      <c r="I42" s="117"/>
      <c r="J42" s="117"/>
      <c r="K42" s="117"/>
      <c r="L42" s="402"/>
      <c r="M42" s="386"/>
      <c r="N42" s="466"/>
      <c r="O42" s="403"/>
      <c r="P42" s="413"/>
    </row>
    <row r="43" spans="2:17" ht="15.75" customHeight="1" x14ac:dyDescent="0.25">
      <c r="B43" s="382"/>
      <c r="C43" s="400"/>
      <c r="D43" s="606" t="s">
        <v>560</v>
      </c>
      <c r="E43" s="607"/>
      <c r="F43" s="119"/>
      <c r="G43" s="420">
        <f>G34+G41</f>
        <v>0</v>
      </c>
      <c r="H43" s="415">
        <f>SUM(H34:H41)</f>
        <v>210000</v>
      </c>
      <c r="I43" s="415">
        <f>SUM(I34:I41)</f>
        <v>615000</v>
      </c>
      <c r="J43" s="415">
        <f>SUM(J34:J41)</f>
        <v>772500</v>
      </c>
      <c r="K43" s="415">
        <f>SUM(K34:K41)</f>
        <v>630000</v>
      </c>
      <c r="L43" s="415">
        <f>SUM(L34:L41)</f>
        <v>735000</v>
      </c>
      <c r="M43" s="478"/>
      <c r="N43" s="488"/>
      <c r="O43" s="403"/>
      <c r="P43" s="413"/>
    </row>
    <row r="44" spans="2:17" ht="15.75" customHeight="1" x14ac:dyDescent="0.25">
      <c r="B44" s="382"/>
      <c r="C44" s="400"/>
      <c r="D44" s="608"/>
      <c r="E44" s="609"/>
      <c r="F44" s="120"/>
      <c r="G44" s="421"/>
      <c r="H44" s="118"/>
      <c r="I44" s="118"/>
      <c r="J44" s="118"/>
      <c r="K44" s="118"/>
      <c r="L44" s="417"/>
      <c r="M44" s="386"/>
      <c r="N44" s="464"/>
      <c r="O44" s="403"/>
      <c r="P44" s="413"/>
    </row>
    <row r="45" spans="2:17" ht="15.75" customHeight="1" x14ac:dyDescent="0.25">
      <c r="B45" s="382"/>
      <c r="C45" s="400"/>
      <c r="D45" s="614" t="s">
        <v>559</v>
      </c>
      <c r="E45" s="615"/>
      <c r="F45" s="385"/>
      <c r="G45" s="500"/>
      <c r="H45" s="422"/>
      <c r="I45" s="422"/>
      <c r="J45" s="422"/>
      <c r="K45" s="422"/>
      <c r="L45" s="423"/>
      <c r="M45" s="386"/>
      <c r="N45" s="491" t="s">
        <v>589</v>
      </c>
      <c r="O45" s="403"/>
      <c r="P45" s="413"/>
    </row>
    <row r="46" spans="2:17" ht="15.75" customHeight="1" x14ac:dyDescent="0.25">
      <c r="B46" s="382"/>
      <c r="C46" s="400"/>
      <c r="D46" s="608" t="s">
        <v>23</v>
      </c>
      <c r="E46" s="609"/>
      <c r="F46" s="495"/>
      <c r="G46" s="418">
        <f>'4. Budget &amp; Cash Flow (Year 0)'!S22</f>
        <v>0</v>
      </c>
      <c r="H46" s="409">
        <v>0</v>
      </c>
      <c r="I46" s="409">
        <v>0</v>
      </c>
      <c r="J46" s="409">
        <v>0</v>
      </c>
      <c r="K46" s="409">
        <v>0</v>
      </c>
      <c r="L46" s="409">
        <v>0</v>
      </c>
      <c r="M46" s="485"/>
      <c r="N46" s="655"/>
      <c r="O46" s="403"/>
      <c r="P46" s="413"/>
    </row>
    <row r="47" spans="2:17" ht="15.75" customHeight="1" x14ac:dyDescent="0.25">
      <c r="B47" s="382"/>
      <c r="C47" s="400"/>
      <c r="D47" s="608" t="s">
        <v>489</v>
      </c>
      <c r="E47" s="609"/>
      <c r="F47" s="120"/>
      <c r="G47" s="501"/>
      <c r="H47" s="409">
        <v>0</v>
      </c>
      <c r="I47" s="409">
        <v>0</v>
      </c>
      <c r="J47" s="409">
        <v>0</v>
      </c>
      <c r="K47" s="409">
        <v>0</v>
      </c>
      <c r="L47" s="409">
        <v>0</v>
      </c>
      <c r="M47" s="485"/>
      <c r="N47" s="656"/>
      <c r="O47" s="403"/>
      <c r="P47" s="413"/>
    </row>
    <row r="48" spans="2:17" ht="15.75" customHeight="1" x14ac:dyDescent="0.25">
      <c r="B48" s="382"/>
      <c r="C48" s="400"/>
      <c r="D48" s="608" t="s">
        <v>24</v>
      </c>
      <c r="E48" s="609"/>
      <c r="F48" s="120"/>
      <c r="G48" s="499"/>
      <c r="H48" s="409">
        <v>0</v>
      </c>
      <c r="I48" s="409">
        <v>0</v>
      </c>
      <c r="J48" s="409">
        <v>0</v>
      </c>
      <c r="K48" s="409">
        <v>0</v>
      </c>
      <c r="L48" s="409">
        <v>0</v>
      </c>
      <c r="M48" s="485"/>
      <c r="N48" s="656"/>
      <c r="O48" s="403"/>
      <c r="P48" s="413"/>
    </row>
    <row r="49" spans="2:17" ht="15.75" customHeight="1" x14ac:dyDescent="0.25">
      <c r="B49" s="382"/>
      <c r="C49" s="400"/>
      <c r="D49" s="608" t="s">
        <v>19</v>
      </c>
      <c r="E49" s="609"/>
      <c r="F49" s="495"/>
      <c r="G49" s="418">
        <f>'4. Budget &amp; Cash Flow (Year 0)'!S23</f>
        <v>0</v>
      </c>
      <c r="H49" s="409">
        <v>0</v>
      </c>
      <c r="I49" s="409">
        <v>0</v>
      </c>
      <c r="J49" s="409">
        <v>0</v>
      </c>
      <c r="K49" s="409">
        <v>0</v>
      </c>
      <c r="L49" s="409">
        <v>0</v>
      </c>
      <c r="M49" s="485"/>
      <c r="N49" s="656"/>
      <c r="O49" s="403"/>
      <c r="P49" s="424"/>
    </row>
    <row r="50" spans="2:17" ht="15.75" customHeight="1" x14ac:dyDescent="0.25">
      <c r="B50" s="382"/>
      <c r="C50" s="400"/>
      <c r="D50" s="608" t="s">
        <v>25</v>
      </c>
      <c r="E50" s="609"/>
      <c r="F50" s="495"/>
      <c r="G50" s="418">
        <f>'4. Budget &amp; Cash Flow (Year 0)'!S24</f>
        <v>0</v>
      </c>
      <c r="H50" s="409">
        <v>0</v>
      </c>
      <c r="I50" s="409">
        <v>0</v>
      </c>
      <c r="J50" s="409">
        <v>0</v>
      </c>
      <c r="K50" s="409">
        <v>0</v>
      </c>
      <c r="L50" s="409">
        <v>0</v>
      </c>
      <c r="M50" s="485"/>
      <c r="N50" s="657"/>
      <c r="O50" s="403"/>
      <c r="P50" s="424"/>
    </row>
    <row r="51" spans="2:17" ht="15.75" customHeight="1" x14ac:dyDescent="0.25">
      <c r="B51" s="382"/>
      <c r="C51" s="400"/>
      <c r="D51" s="608"/>
      <c r="E51" s="609"/>
      <c r="F51" s="120"/>
      <c r="G51" s="419"/>
      <c r="H51" s="117"/>
      <c r="I51" s="117"/>
      <c r="J51" s="117"/>
      <c r="K51" s="117"/>
      <c r="L51" s="402"/>
      <c r="M51" s="386"/>
      <c r="N51" s="466"/>
      <c r="O51" s="403"/>
      <c r="P51" s="424"/>
    </row>
    <row r="52" spans="2:17" ht="15.75" customHeight="1" x14ac:dyDescent="0.25">
      <c r="B52" s="382"/>
      <c r="C52" s="400"/>
      <c r="D52" s="606" t="s">
        <v>561</v>
      </c>
      <c r="E52" s="607"/>
      <c r="F52" s="119"/>
      <c r="G52" s="420">
        <f>G46+G49+G50</f>
        <v>0</v>
      </c>
      <c r="H52" s="415">
        <f>SUM(H46:H50)</f>
        <v>0</v>
      </c>
      <c r="I52" s="415">
        <f>SUM(I46:I50)</f>
        <v>0</v>
      </c>
      <c r="J52" s="415">
        <f>SUM(J46:J50)</f>
        <v>0</v>
      </c>
      <c r="K52" s="415">
        <f>SUM(K46:K50)</f>
        <v>0</v>
      </c>
      <c r="L52" s="415">
        <f>SUM(L46:L50)</f>
        <v>0</v>
      </c>
      <c r="M52" s="478"/>
      <c r="N52" s="488"/>
      <c r="O52" s="403"/>
      <c r="P52" s="424"/>
    </row>
    <row r="53" spans="2:17" ht="15.75" customHeight="1" x14ac:dyDescent="0.25">
      <c r="B53" s="382"/>
      <c r="C53" s="400"/>
      <c r="D53" s="608"/>
      <c r="E53" s="609"/>
      <c r="F53" s="120"/>
      <c r="G53" s="419"/>
      <c r="H53" s="117"/>
      <c r="I53" s="117"/>
      <c r="J53" s="117"/>
      <c r="K53" s="117"/>
      <c r="L53" s="402"/>
      <c r="M53" s="386"/>
      <c r="N53" s="464"/>
      <c r="O53" s="403"/>
      <c r="P53" s="424"/>
    </row>
    <row r="54" spans="2:17" ht="15.75" customHeight="1" x14ac:dyDescent="0.25">
      <c r="B54" s="382"/>
      <c r="C54" s="400"/>
      <c r="D54" s="610" t="s">
        <v>562</v>
      </c>
      <c r="E54" s="611"/>
      <c r="F54" s="119"/>
      <c r="G54" s="420">
        <f>G43+G52</f>
        <v>0</v>
      </c>
      <c r="H54" s="415">
        <f>H31+H43+H52</f>
        <v>962759.75</v>
      </c>
      <c r="I54" s="415">
        <f>I31+I43+I52</f>
        <v>1744139.625</v>
      </c>
      <c r="J54" s="415">
        <f>J31+J43+J52</f>
        <v>2466209.4375</v>
      </c>
      <c r="K54" s="415">
        <f>K31+K43+K52</f>
        <v>2888279.25</v>
      </c>
      <c r="L54" s="415">
        <f>L31+L43+L52</f>
        <v>3369659.125</v>
      </c>
      <c r="M54" s="478"/>
      <c r="N54" s="488"/>
      <c r="O54" s="403"/>
      <c r="P54" s="424"/>
    </row>
    <row r="55" spans="2:17" ht="15.75" customHeight="1" x14ac:dyDescent="0.25">
      <c r="B55" s="382"/>
      <c r="C55" s="400"/>
      <c r="D55" s="508"/>
      <c r="E55" s="509"/>
      <c r="F55" s="120"/>
      <c r="G55" s="421"/>
      <c r="H55" s="118"/>
      <c r="I55" s="118"/>
      <c r="J55" s="118"/>
      <c r="K55" s="118"/>
      <c r="L55" s="417"/>
      <c r="M55" s="386"/>
      <c r="N55" s="467"/>
      <c r="O55" s="403"/>
      <c r="P55" s="424"/>
    </row>
    <row r="56" spans="2:17" s="401" customFormat="1" ht="15.75" customHeight="1" x14ac:dyDescent="0.25">
      <c r="B56" s="382"/>
      <c r="C56" s="400"/>
      <c r="D56" s="646" t="s">
        <v>26</v>
      </c>
      <c r="E56" s="647"/>
      <c r="F56" s="497"/>
      <c r="G56" s="427"/>
      <c r="H56" s="385"/>
      <c r="I56" s="385"/>
      <c r="J56" s="385"/>
      <c r="K56" s="385"/>
      <c r="L56" s="386"/>
      <c r="M56" s="386"/>
      <c r="N56" s="464"/>
      <c r="O56" s="403"/>
      <c r="P56" s="413"/>
      <c r="Q56" s="425"/>
    </row>
    <row r="57" spans="2:17" s="401" customFormat="1" ht="15.75" customHeight="1" x14ac:dyDescent="0.25">
      <c r="B57" s="382"/>
      <c r="C57" s="400"/>
      <c r="D57" s="648"/>
      <c r="E57" s="649"/>
      <c r="F57" s="120"/>
      <c r="G57" s="410"/>
      <c r="H57" s="120"/>
      <c r="I57" s="120"/>
      <c r="J57" s="120"/>
      <c r="K57" s="120"/>
      <c r="L57" s="386"/>
      <c r="M57" s="386"/>
      <c r="N57" s="464"/>
      <c r="O57" s="403"/>
      <c r="P57" s="413"/>
      <c r="Q57" s="425"/>
    </row>
    <row r="58" spans="2:17" s="401" customFormat="1" ht="15.75" customHeight="1" x14ac:dyDescent="0.25">
      <c r="B58" s="382"/>
      <c r="C58" s="400"/>
      <c r="D58" s="510"/>
      <c r="E58" s="511"/>
      <c r="F58" s="120"/>
      <c r="G58" s="410"/>
      <c r="H58" s="120"/>
      <c r="I58" s="120"/>
      <c r="J58" s="120"/>
      <c r="K58" s="120"/>
      <c r="L58" s="386"/>
      <c r="M58" s="386"/>
      <c r="N58" s="464"/>
      <c r="O58" s="403"/>
      <c r="P58" s="413"/>
      <c r="Q58" s="425"/>
    </row>
    <row r="59" spans="2:17" ht="15.75" customHeight="1" x14ac:dyDescent="0.25">
      <c r="B59" s="382"/>
      <c r="C59" s="400"/>
      <c r="D59" s="614" t="s">
        <v>506</v>
      </c>
      <c r="E59" s="615"/>
      <c r="F59" s="385"/>
      <c r="G59" s="427"/>
      <c r="H59" s="422"/>
      <c r="I59" s="422"/>
      <c r="J59" s="422"/>
      <c r="K59" s="422"/>
      <c r="L59" s="423"/>
      <c r="M59" s="386"/>
      <c r="N59" s="467"/>
      <c r="O59" s="411"/>
      <c r="P59" s="407"/>
    </row>
    <row r="60" spans="2:17" ht="15.75" customHeight="1" x14ac:dyDescent="0.25">
      <c r="B60" s="382"/>
      <c r="C60" s="400"/>
      <c r="D60" s="608" t="s">
        <v>490</v>
      </c>
      <c r="E60" s="609"/>
      <c r="F60" s="120"/>
      <c r="G60" s="405"/>
      <c r="H60" s="409"/>
      <c r="I60" s="409"/>
      <c r="J60" s="409">
        <v>0</v>
      </c>
      <c r="K60" s="409">
        <v>0</v>
      </c>
      <c r="L60" s="409"/>
      <c r="M60" s="486"/>
      <c r="N60" s="488"/>
      <c r="O60" s="403"/>
      <c r="P60" s="424"/>
    </row>
    <row r="61" spans="2:17" ht="15.75" customHeight="1" x14ac:dyDescent="0.25">
      <c r="B61" s="382"/>
      <c r="C61" s="400"/>
      <c r="D61" s="608" t="s">
        <v>491</v>
      </c>
      <c r="E61" s="609"/>
      <c r="F61" s="120"/>
      <c r="G61" s="405"/>
      <c r="H61" s="409">
        <f>'3. Staffing Plan'!L33</f>
        <v>90000</v>
      </c>
      <c r="I61" s="409">
        <f>'3. Staffing Plan'!P33</f>
        <v>92700</v>
      </c>
      <c r="J61" s="409">
        <f>'3. Staffing Plan'!T33</f>
        <v>95481</v>
      </c>
      <c r="K61" s="409">
        <f>'3. Staffing Plan'!X33+'3. Staffing Plan'!X36</f>
        <v>98345</v>
      </c>
      <c r="L61" s="409">
        <f>'3. Staffing Plan'!AB33+'3. Staffing Plan'!AA36</f>
        <v>176295</v>
      </c>
      <c r="M61" s="486"/>
      <c r="N61" s="488"/>
      <c r="O61" s="403"/>
      <c r="P61" s="424"/>
    </row>
    <row r="62" spans="2:17" ht="15.75" customHeight="1" x14ac:dyDescent="0.25">
      <c r="B62" s="382"/>
      <c r="C62" s="400"/>
      <c r="D62" s="608" t="s">
        <v>584</v>
      </c>
      <c r="E62" s="609"/>
      <c r="F62" s="120"/>
      <c r="G62" s="405"/>
      <c r="H62" s="409">
        <f>'3. Staffing Plan'!L34</f>
        <v>15000</v>
      </c>
      <c r="I62" s="409">
        <f>'3. Staffing Plan'!P34</f>
        <v>15450</v>
      </c>
      <c r="J62" s="409">
        <f>'3. Staffing Plan'!T34</f>
        <v>31827</v>
      </c>
      <c r="K62" s="409">
        <f>'3. Staffing Plan'!X34</f>
        <v>32782</v>
      </c>
      <c r="L62" s="409">
        <f>'3. Staffing Plan'!AB34</f>
        <v>33765</v>
      </c>
      <c r="M62" s="486"/>
      <c r="N62" s="488"/>
      <c r="O62" s="403"/>
      <c r="P62" s="424"/>
    </row>
    <row r="63" spans="2:17" ht="15.75" customHeight="1" x14ac:dyDescent="0.25">
      <c r="B63" s="382"/>
      <c r="C63" s="400"/>
      <c r="D63" s="608" t="s">
        <v>27</v>
      </c>
      <c r="E63" s="609"/>
      <c r="F63" s="120"/>
      <c r="G63" s="405"/>
      <c r="H63" s="409">
        <f>'3. Staffing Plan'!L37</f>
        <v>10000</v>
      </c>
      <c r="I63" s="409">
        <f>'3. Staffing Plan'!P37</f>
        <v>15450</v>
      </c>
      <c r="J63" s="409">
        <f>'3. Staffing Plan'!T37</f>
        <v>21218</v>
      </c>
      <c r="K63" s="409">
        <f>'3. Staffing Plan'!X37</f>
        <v>21854.54</v>
      </c>
      <c r="L63" s="409">
        <f>'3. Staffing Plan'!AB37</f>
        <v>28137.720249999998</v>
      </c>
      <c r="M63" s="486"/>
      <c r="N63" s="488"/>
      <c r="O63" s="403"/>
      <c r="P63" s="413"/>
    </row>
    <row r="64" spans="2:17" ht="15.75" customHeight="1" x14ac:dyDescent="0.25">
      <c r="B64" s="382"/>
      <c r="C64" s="400"/>
      <c r="D64" s="504"/>
      <c r="E64" s="505"/>
      <c r="F64" s="120"/>
      <c r="G64" s="410"/>
      <c r="H64" s="117"/>
      <c r="I64" s="117"/>
      <c r="J64" s="117"/>
      <c r="K64" s="117"/>
      <c r="L64" s="402"/>
      <c r="M64" s="386"/>
      <c r="N64" s="467"/>
      <c r="O64" s="403"/>
      <c r="P64" s="413"/>
    </row>
    <row r="65" spans="2:17" ht="15.75" customHeight="1" x14ac:dyDescent="0.25">
      <c r="B65" s="382"/>
      <c r="C65" s="400"/>
      <c r="D65" s="606" t="s">
        <v>28</v>
      </c>
      <c r="E65" s="607"/>
      <c r="F65" s="121"/>
      <c r="G65" s="414"/>
      <c r="H65" s="415">
        <f>SUM(H60:H63)</f>
        <v>115000</v>
      </c>
      <c r="I65" s="415">
        <f>SUM(I60:I63)</f>
        <v>123600</v>
      </c>
      <c r="J65" s="415">
        <f>SUM(J60:J63)</f>
        <v>148526</v>
      </c>
      <c r="K65" s="415">
        <f>SUM(K60:K63)</f>
        <v>152981.54</v>
      </c>
      <c r="L65" s="415">
        <f>SUM(L60:L63)</f>
        <v>238197.72025000001</v>
      </c>
      <c r="M65" s="478"/>
      <c r="N65" s="488"/>
      <c r="O65" s="403"/>
      <c r="P65" s="413"/>
    </row>
    <row r="66" spans="2:17" ht="15.75" customHeight="1" x14ac:dyDescent="0.25">
      <c r="B66" s="382"/>
      <c r="C66" s="400"/>
      <c r="D66" s="506"/>
      <c r="E66" s="507"/>
      <c r="F66" s="385"/>
      <c r="G66" s="427"/>
      <c r="H66" s="118"/>
      <c r="I66" s="118"/>
      <c r="J66" s="118"/>
      <c r="K66" s="118"/>
      <c r="L66" s="417"/>
      <c r="M66" s="386"/>
      <c r="N66" s="467"/>
      <c r="O66" s="403"/>
      <c r="P66" s="413"/>
    </row>
    <row r="67" spans="2:17" ht="15.75" customHeight="1" x14ac:dyDescent="0.25">
      <c r="B67" s="382"/>
      <c r="C67" s="400"/>
      <c r="D67" s="614" t="s">
        <v>492</v>
      </c>
      <c r="E67" s="615"/>
      <c r="F67" s="385"/>
      <c r="G67" s="427"/>
      <c r="H67" s="422"/>
      <c r="I67" s="422"/>
      <c r="J67" s="422"/>
      <c r="K67" s="422"/>
      <c r="L67" s="423"/>
      <c r="M67" s="386"/>
      <c r="N67" s="392"/>
      <c r="O67" s="428"/>
      <c r="P67" s="424"/>
      <c r="Q67" s="429"/>
    </row>
    <row r="68" spans="2:17" ht="15.75" customHeight="1" x14ac:dyDescent="0.25">
      <c r="B68" s="382"/>
      <c r="C68" s="400"/>
      <c r="D68" s="608" t="s">
        <v>493</v>
      </c>
      <c r="E68" s="609"/>
      <c r="F68" s="120"/>
      <c r="G68" s="405"/>
      <c r="H68" s="409">
        <f>'3. Staffing Plan'!L15+'3. Staffing Plan'!L17</f>
        <v>245000</v>
      </c>
      <c r="I68" s="409">
        <f>'3. Staffing Plan'!P15+'3. Staffing Plan'!P17</f>
        <v>355350</v>
      </c>
      <c r="J68" s="409">
        <f>'3. Staffing Plan'!T15+'3. Staffing Plan'!T17</f>
        <v>572886</v>
      </c>
      <c r="K68" s="409">
        <f>'3. Staffing Plan'!X15+'3. Staffing Plan'!X17</f>
        <v>803151</v>
      </c>
      <c r="L68" s="409">
        <f>'3. Staffing Plan'!AB15+'3. Staffing Plan'!AB17</f>
        <v>939794.57000000007</v>
      </c>
      <c r="M68" s="486"/>
      <c r="N68" s="488"/>
      <c r="O68" s="403"/>
      <c r="P68" s="424"/>
    </row>
    <row r="69" spans="2:17" ht="15.75" customHeight="1" x14ac:dyDescent="0.25">
      <c r="B69" s="382"/>
      <c r="C69" s="400"/>
      <c r="D69" s="608" t="s">
        <v>29</v>
      </c>
      <c r="E69" s="609"/>
      <c r="F69" s="120"/>
      <c r="G69" s="405"/>
      <c r="H69" s="409">
        <f>'3. Staffing Plan'!L18</f>
        <v>50000</v>
      </c>
      <c r="I69" s="409">
        <f>'3. Staffing Plan'!P18</f>
        <v>51500</v>
      </c>
      <c r="J69" s="409">
        <f>'3. Staffing Plan'!T18</f>
        <v>106090</v>
      </c>
      <c r="K69" s="409">
        <f>'3. Staffing Plan'!X18</f>
        <v>109272</v>
      </c>
      <c r="L69" s="409">
        <f>'3. Staffing Plan'!AB18</f>
        <v>112550</v>
      </c>
      <c r="M69" s="486"/>
      <c r="N69" s="488"/>
      <c r="O69" s="403"/>
      <c r="P69" s="413"/>
    </row>
    <row r="70" spans="2:17" ht="15.75" customHeight="1" x14ac:dyDescent="0.25">
      <c r="B70" s="382"/>
      <c r="C70" s="400"/>
      <c r="D70" s="608" t="s">
        <v>30</v>
      </c>
      <c r="E70" s="609"/>
      <c r="F70" s="120"/>
      <c r="G70" s="405"/>
      <c r="H70" s="409">
        <f>'3. Staffing Plan'!L16</f>
        <v>0</v>
      </c>
      <c r="I70" s="409">
        <f>'3. Staffing Plan'!P16</f>
        <v>0</v>
      </c>
      <c r="J70" s="409">
        <f>'3. Staffing Plan'!T16</f>
        <v>0</v>
      </c>
      <c r="K70" s="409">
        <f>'3. Staffing Plan'!X16</f>
        <v>0</v>
      </c>
      <c r="L70" s="409">
        <f>'3. Staffing Plan'!AB16</f>
        <v>0</v>
      </c>
      <c r="M70" s="486"/>
      <c r="N70" s="488"/>
      <c r="O70" s="403"/>
      <c r="P70" s="413"/>
    </row>
    <row r="71" spans="2:17" ht="15.75" customHeight="1" x14ac:dyDescent="0.25">
      <c r="B71" s="382"/>
      <c r="C71" s="400"/>
      <c r="D71" s="608" t="s">
        <v>31</v>
      </c>
      <c r="E71" s="609"/>
      <c r="F71" s="120"/>
      <c r="G71" s="405"/>
      <c r="H71" s="409"/>
      <c r="I71" s="409">
        <v>0</v>
      </c>
      <c r="J71" s="409">
        <v>0</v>
      </c>
      <c r="K71" s="409">
        <v>0</v>
      </c>
      <c r="L71" s="409">
        <v>0</v>
      </c>
      <c r="M71" s="486"/>
      <c r="N71" s="488"/>
      <c r="O71" s="403"/>
      <c r="P71" s="413"/>
    </row>
    <row r="72" spans="2:17" ht="15.75" customHeight="1" x14ac:dyDescent="0.25">
      <c r="B72" s="382"/>
      <c r="C72" s="400"/>
      <c r="D72" s="504"/>
      <c r="E72" s="505"/>
      <c r="F72" s="120"/>
      <c r="G72" s="410"/>
      <c r="H72" s="117"/>
      <c r="I72" s="117"/>
      <c r="J72" s="117"/>
      <c r="K72" s="117"/>
      <c r="L72" s="402"/>
      <c r="M72" s="386"/>
      <c r="N72" s="467"/>
      <c r="O72" s="403"/>
      <c r="P72" s="413"/>
    </row>
    <row r="73" spans="2:17" ht="15.75" customHeight="1" x14ac:dyDescent="0.25">
      <c r="B73" s="382"/>
      <c r="C73" s="400"/>
      <c r="D73" s="606" t="s">
        <v>32</v>
      </c>
      <c r="E73" s="607"/>
      <c r="F73" s="121"/>
      <c r="G73" s="414"/>
      <c r="H73" s="430">
        <f>SUM(H68:H71)</f>
        <v>295000</v>
      </c>
      <c r="I73" s="430">
        <f>SUM(I68:I71)</f>
        <v>406850</v>
      </c>
      <c r="J73" s="430">
        <f>SUM(J68:J71)</f>
        <v>678976</v>
      </c>
      <c r="K73" s="430">
        <f>SUM(K68:K71)</f>
        <v>912423</v>
      </c>
      <c r="L73" s="430">
        <f>SUM(L68:L71)</f>
        <v>1052344.57</v>
      </c>
      <c r="M73" s="479"/>
      <c r="N73" s="488"/>
      <c r="O73" s="403"/>
      <c r="P73" s="413"/>
    </row>
    <row r="74" spans="2:17" s="401" customFormat="1" ht="15.75" customHeight="1" x14ac:dyDescent="0.25">
      <c r="B74" s="382"/>
      <c r="C74" s="400"/>
      <c r="D74" s="504"/>
      <c r="E74" s="505"/>
      <c r="F74" s="120"/>
      <c r="G74" s="410"/>
      <c r="H74" s="118"/>
      <c r="I74" s="118"/>
      <c r="J74" s="118"/>
      <c r="K74" s="118"/>
      <c r="L74" s="417"/>
      <c r="M74" s="386"/>
      <c r="N74" s="467"/>
      <c r="O74" s="403"/>
      <c r="P74" s="413"/>
      <c r="Q74" s="425"/>
    </row>
    <row r="75" spans="2:17" s="401" customFormat="1" ht="15.75" customHeight="1" x14ac:dyDescent="0.25">
      <c r="B75" s="382"/>
      <c r="C75" s="400"/>
      <c r="D75" s="614" t="s">
        <v>33</v>
      </c>
      <c r="E75" s="615"/>
      <c r="F75" s="385"/>
      <c r="G75" s="427"/>
      <c r="H75" s="422"/>
      <c r="I75" s="422"/>
      <c r="J75" s="422"/>
      <c r="K75" s="422"/>
      <c r="L75" s="423"/>
      <c r="M75" s="386"/>
      <c r="N75" s="491" t="s">
        <v>563</v>
      </c>
      <c r="O75" s="403"/>
      <c r="P75" s="413"/>
      <c r="Q75" s="425"/>
    </row>
    <row r="76" spans="2:17" ht="15.75" customHeight="1" x14ac:dyDescent="0.25">
      <c r="B76" s="382"/>
      <c r="C76" s="400"/>
      <c r="D76" s="608" t="s">
        <v>494</v>
      </c>
      <c r="E76" s="609"/>
      <c r="F76" s="120"/>
      <c r="G76" s="405"/>
      <c r="H76" s="409">
        <v>0</v>
      </c>
      <c r="I76" s="409">
        <v>0</v>
      </c>
      <c r="J76" s="409">
        <v>0</v>
      </c>
      <c r="K76" s="409">
        <v>0</v>
      </c>
      <c r="L76" s="409">
        <v>0</v>
      </c>
      <c r="M76" s="485"/>
      <c r="N76" s="655"/>
      <c r="O76" s="403"/>
      <c r="P76" s="407"/>
    </row>
    <row r="77" spans="2:17" ht="15.75" customHeight="1" x14ac:dyDescent="0.25">
      <c r="B77" s="382"/>
      <c r="C77" s="400"/>
      <c r="D77" s="608" t="s">
        <v>495</v>
      </c>
      <c r="E77" s="609"/>
      <c r="F77" s="120"/>
      <c r="G77" s="405"/>
      <c r="H77" s="409">
        <f>'3. Staffing Plan'!L38</f>
        <v>21000</v>
      </c>
      <c r="I77" s="409">
        <f>'3. Staffing Plan'!P38</f>
        <v>43260</v>
      </c>
      <c r="J77" s="409">
        <f>'3. Staffing Plan'!T38</f>
        <v>59410.400000000001</v>
      </c>
      <c r="K77" s="409">
        <f>'3. Staffing Plan'!X38</f>
        <v>76490.89</v>
      </c>
      <c r="L77" s="409">
        <f>'3. Staffing Plan'!AB38</f>
        <v>78785.616699999999</v>
      </c>
      <c r="M77" s="485"/>
      <c r="N77" s="656"/>
      <c r="O77" s="403"/>
      <c r="P77" s="413"/>
    </row>
    <row r="78" spans="2:17" ht="15.75" customHeight="1" x14ac:dyDescent="0.25">
      <c r="B78" s="382"/>
      <c r="C78" s="400"/>
      <c r="D78" s="608" t="s">
        <v>496</v>
      </c>
      <c r="E78" s="609"/>
      <c r="F78" s="120"/>
      <c r="G78" s="405"/>
      <c r="H78" s="409">
        <v>0</v>
      </c>
      <c r="I78" s="409">
        <v>0</v>
      </c>
      <c r="J78" s="409">
        <v>0</v>
      </c>
      <c r="K78" s="409">
        <v>0</v>
      </c>
      <c r="L78" s="409">
        <v>0</v>
      </c>
      <c r="M78" s="485"/>
      <c r="N78" s="656"/>
      <c r="O78" s="431"/>
      <c r="P78" s="413"/>
    </row>
    <row r="79" spans="2:17" ht="15.75" customHeight="1" x14ac:dyDescent="0.25">
      <c r="B79" s="382"/>
      <c r="C79" s="400"/>
      <c r="D79" s="608" t="s">
        <v>497</v>
      </c>
      <c r="E79" s="609"/>
      <c r="F79" s="120"/>
      <c r="G79" s="405"/>
      <c r="H79" s="409">
        <v>0</v>
      </c>
      <c r="I79" s="409">
        <v>0</v>
      </c>
      <c r="J79" s="409">
        <v>0</v>
      </c>
      <c r="K79" s="409">
        <v>0</v>
      </c>
      <c r="L79" s="409">
        <v>0</v>
      </c>
      <c r="M79" s="485"/>
      <c r="N79" s="656"/>
      <c r="O79" s="431"/>
      <c r="P79" s="424"/>
    </row>
    <row r="80" spans="2:17" ht="15.75" customHeight="1" x14ac:dyDescent="0.25">
      <c r="B80" s="382"/>
      <c r="C80" s="400"/>
      <c r="D80" s="608" t="s">
        <v>34</v>
      </c>
      <c r="E80" s="609"/>
      <c r="F80" s="120"/>
      <c r="G80" s="405"/>
      <c r="H80" s="409">
        <v>0</v>
      </c>
      <c r="I80" s="409">
        <v>0</v>
      </c>
      <c r="J80" s="409">
        <v>0</v>
      </c>
      <c r="K80" s="409">
        <v>0</v>
      </c>
      <c r="L80" s="409">
        <v>0</v>
      </c>
      <c r="M80" s="485"/>
      <c r="N80" s="656"/>
      <c r="O80" s="403"/>
      <c r="P80" s="424"/>
    </row>
    <row r="81" spans="2:17" ht="15.75" customHeight="1" x14ac:dyDescent="0.25">
      <c r="B81" s="382"/>
      <c r="C81" s="400"/>
      <c r="D81" s="608" t="s">
        <v>498</v>
      </c>
      <c r="E81" s="609"/>
      <c r="F81" s="120"/>
      <c r="G81" s="405"/>
      <c r="H81" s="409">
        <f>'3. Staffing Plan'!L39</f>
        <v>6000</v>
      </c>
      <c r="I81" s="409">
        <f>'3. Staffing Plan'!P39</f>
        <v>12360</v>
      </c>
      <c r="J81" s="409">
        <f>'3. Staffing Plan'!T39</f>
        <v>19096.2</v>
      </c>
      <c r="K81" s="409">
        <f>'3. Staffing Plan'!X39</f>
        <v>19669.085999999999</v>
      </c>
      <c r="L81" s="409">
        <f>'3. Staffing Plan'!AB39</f>
        <v>27012.211439999999</v>
      </c>
      <c r="M81" s="485"/>
      <c r="N81" s="656"/>
      <c r="O81" s="403"/>
      <c r="P81" s="413"/>
    </row>
    <row r="82" spans="2:17" ht="15.75" customHeight="1" x14ac:dyDescent="0.25">
      <c r="B82" s="382"/>
      <c r="C82" s="400"/>
      <c r="D82" s="608" t="s">
        <v>499</v>
      </c>
      <c r="E82" s="609"/>
      <c r="F82" s="120"/>
      <c r="G82" s="405"/>
      <c r="H82" s="409">
        <v>0</v>
      </c>
      <c r="I82" s="409">
        <v>0</v>
      </c>
      <c r="J82" s="409">
        <v>0</v>
      </c>
      <c r="K82" s="409">
        <v>0</v>
      </c>
      <c r="L82" s="409">
        <v>0</v>
      </c>
      <c r="M82" s="485"/>
      <c r="N82" s="656"/>
      <c r="O82" s="403"/>
      <c r="P82" s="413"/>
    </row>
    <row r="83" spans="2:17" ht="15.75" customHeight="1" x14ac:dyDescent="0.25">
      <c r="B83" s="382"/>
      <c r="C83" s="400"/>
      <c r="D83" s="608" t="s">
        <v>500</v>
      </c>
      <c r="E83" s="609"/>
      <c r="F83" s="120"/>
      <c r="G83" s="405"/>
      <c r="H83" s="409">
        <v>0</v>
      </c>
      <c r="I83" s="409">
        <v>0</v>
      </c>
      <c r="J83" s="409">
        <v>0</v>
      </c>
      <c r="K83" s="409">
        <v>0</v>
      </c>
      <c r="L83" s="409">
        <v>0</v>
      </c>
      <c r="M83" s="485"/>
      <c r="N83" s="656"/>
      <c r="O83" s="403"/>
      <c r="P83" s="413"/>
    </row>
    <row r="84" spans="2:17" ht="15.75" customHeight="1" x14ac:dyDescent="0.25">
      <c r="B84" s="382"/>
      <c r="C84" s="400"/>
      <c r="D84" s="608" t="s">
        <v>35</v>
      </c>
      <c r="E84" s="609"/>
      <c r="F84" s="120"/>
      <c r="G84" s="405"/>
      <c r="H84" s="409">
        <v>0</v>
      </c>
      <c r="I84" s="409">
        <v>0</v>
      </c>
      <c r="J84" s="409">
        <v>0</v>
      </c>
      <c r="K84" s="409">
        <v>0</v>
      </c>
      <c r="L84" s="409">
        <v>0</v>
      </c>
      <c r="M84" s="485"/>
      <c r="N84" s="657"/>
      <c r="O84" s="403"/>
      <c r="P84" s="413"/>
    </row>
    <row r="85" spans="2:17" ht="15.75" customHeight="1" x14ac:dyDescent="0.25">
      <c r="B85" s="382"/>
      <c r="C85" s="400"/>
      <c r="D85" s="504"/>
      <c r="E85" s="505"/>
      <c r="F85" s="120"/>
      <c r="G85" s="410"/>
      <c r="H85" s="117"/>
      <c r="I85" s="117"/>
      <c r="J85" s="117"/>
      <c r="K85" s="117"/>
      <c r="L85" s="402"/>
      <c r="M85" s="386"/>
      <c r="N85" s="468"/>
      <c r="O85" s="403"/>
      <c r="P85" s="413"/>
    </row>
    <row r="86" spans="2:17" s="401" customFormat="1" ht="15.75" customHeight="1" x14ac:dyDescent="0.25">
      <c r="B86" s="382"/>
      <c r="C86" s="400"/>
      <c r="D86" s="606" t="s">
        <v>36</v>
      </c>
      <c r="E86" s="607"/>
      <c r="F86" s="121"/>
      <c r="G86" s="414"/>
      <c r="H86" s="430">
        <f>SUM(H76:H84)</f>
        <v>27000</v>
      </c>
      <c r="I86" s="430">
        <f>SUM(I76:I84)</f>
        <v>55620</v>
      </c>
      <c r="J86" s="430">
        <f>SUM(J76:J84)</f>
        <v>78506.600000000006</v>
      </c>
      <c r="K86" s="430">
        <f>SUM(K76:K84)</f>
        <v>96159.975999999995</v>
      </c>
      <c r="L86" s="430">
        <f>SUM(L76:L84)</f>
        <v>105797.82814</v>
      </c>
      <c r="M86" s="479"/>
      <c r="N86" s="488"/>
      <c r="O86" s="403"/>
      <c r="P86" s="413"/>
      <c r="Q86" s="425"/>
    </row>
    <row r="87" spans="2:17" s="401" customFormat="1" ht="15.75" customHeight="1" x14ac:dyDescent="0.25">
      <c r="B87" s="382"/>
      <c r="C87" s="400"/>
      <c r="D87" s="504"/>
      <c r="E87" s="505"/>
      <c r="F87" s="120"/>
      <c r="G87" s="410"/>
      <c r="H87" s="117"/>
      <c r="I87" s="117"/>
      <c r="J87" s="117"/>
      <c r="K87" s="117"/>
      <c r="L87" s="117"/>
      <c r="M87" s="120"/>
      <c r="N87" s="467"/>
      <c r="O87" s="403"/>
      <c r="P87" s="413"/>
      <c r="Q87" s="425"/>
    </row>
    <row r="88" spans="2:17" ht="15.75" customHeight="1" x14ac:dyDescent="0.25">
      <c r="B88" s="382"/>
      <c r="C88" s="400"/>
      <c r="D88" s="606" t="s">
        <v>37</v>
      </c>
      <c r="E88" s="607"/>
      <c r="F88" s="121"/>
      <c r="G88" s="414"/>
      <c r="H88" s="415">
        <f>H65+H73+H86</f>
        <v>437000</v>
      </c>
      <c r="I88" s="415">
        <f>I65+I73+I86</f>
        <v>586070</v>
      </c>
      <c r="J88" s="415">
        <f>J65+J73+J86</f>
        <v>906008.6</v>
      </c>
      <c r="K88" s="415">
        <f>K65+K73+K86</f>
        <v>1161564.5160000001</v>
      </c>
      <c r="L88" s="415">
        <f>L65+L73+L86</f>
        <v>1396340.11839</v>
      </c>
      <c r="M88" s="478"/>
      <c r="N88" s="488" t="s">
        <v>2</v>
      </c>
      <c r="O88" s="403"/>
      <c r="P88" s="407"/>
    </row>
    <row r="89" spans="2:17" ht="15.75" customHeight="1" x14ac:dyDescent="0.25">
      <c r="B89" s="382"/>
      <c r="C89" s="400"/>
      <c r="D89" s="504"/>
      <c r="E89" s="505"/>
      <c r="F89" s="120"/>
      <c r="G89" s="432"/>
      <c r="H89" s="433" t="str">
        <f>IF((ROUND(H88,2)=ROUND('3. Staffing Plan'!L64,2)), "","ERROR")</f>
        <v/>
      </c>
      <c r="I89" s="433" t="str">
        <f>IF((ROUND(I88,2)=ROUND('3. Staffing Plan'!P64,2)), "","ERROR")</f>
        <v/>
      </c>
      <c r="J89" s="433" t="str">
        <f>IF((ROUND(J88,2)=ROUND('3. Staffing Plan'!T64,2)), "","ERROR")</f>
        <v/>
      </c>
      <c r="K89" s="433" t="str">
        <f>IF((ROUND(K88,2)=ROUND('3. Staffing Plan'!X64,2)), "","ERROR")</f>
        <v/>
      </c>
      <c r="L89" s="433" t="str">
        <f>IF((ROUND(L88,2)=ROUND('3. Staffing Plan'!AB64,2)), "","ERROR")</f>
        <v/>
      </c>
      <c r="M89" s="432"/>
      <c r="N89" s="467" t="str">
        <f>IF(COUNTIF(G89:L89,"ERROR"),"Tab 3 and Tab 5 Values do not match.","")</f>
        <v/>
      </c>
      <c r="O89" s="403"/>
      <c r="P89" s="434"/>
    </row>
    <row r="90" spans="2:17" ht="15.75" customHeight="1" x14ac:dyDescent="0.25">
      <c r="B90" s="382"/>
      <c r="C90" s="400"/>
      <c r="D90" s="614" t="s">
        <v>444</v>
      </c>
      <c r="E90" s="615"/>
      <c r="F90" s="385"/>
      <c r="G90" s="427"/>
      <c r="H90" s="422"/>
      <c r="I90" s="422"/>
      <c r="J90" s="422"/>
      <c r="K90" s="422"/>
      <c r="L90" s="423"/>
      <c r="M90" s="386"/>
      <c r="N90" s="487" t="s">
        <v>565</v>
      </c>
      <c r="O90" s="403"/>
      <c r="P90" s="424"/>
    </row>
    <row r="91" spans="2:17" ht="15.75" customHeight="1" x14ac:dyDescent="0.25">
      <c r="B91" s="382"/>
      <c r="C91" s="400"/>
      <c r="D91" s="608" t="s">
        <v>442</v>
      </c>
      <c r="E91" s="609"/>
      <c r="F91" s="120"/>
      <c r="G91" s="405"/>
      <c r="H91" s="406">
        <f>H88*('3. Staffing Plan'!G54+'3. Staffing Plan'!G55+'3. Staffing Plan'!G56)</f>
        <v>44355.5</v>
      </c>
      <c r="I91" s="406">
        <f>I88*('3. Staffing Plan'!K54+'3. Staffing Plan'!K55+'3. Staffing Plan'!K56)</f>
        <v>59486.105000000003</v>
      </c>
      <c r="J91" s="406">
        <f>J88*('3. Staffing Plan'!O54+'3. Staffing Plan'!O55+'3. Staffing Plan'!O56)</f>
        <v>91959.872900000002</v>
      </c>
      <c r="K91" s="406">
        <f>K88*('3. Staffing Plan'!S54+'3. Staffing Plan'!S55+'3. Staffing Plan'!S56)</f>
        <v>117898.79837400002</v>
      </c>
      <c r="L91" s="406">
        <f>L88*('3. Staffing Plan'!W54+'3. Staffing Plan'!W55+'3. Staffing Plan'!W56)</f>
        <v>141728.52201658502</v>
      </c>
      <c r="M91" s="477"/>
      <c r="N91" s="655"/>
      <c r="O91" s="403"/>
      <c r="P91" s="424"/>
    </row>
    <row r="92" spans="2:17" ht="15.75" customHeight="1" x14ac:dyDescent="0.25">
      <c r="B92" s="382"/>
      <c r="C92" s="400"/>
      <c r="D92" s="608" t="s">
        <v>441</v>
      </c>
      <c r="E92" s="609"/>
      <c r="F92" s="120"/>
      <c r="G92" s="405"/>
      <c r="H92" s="406">
        <f>'3. Staffing Plan'!L52</f>
        <v>20250</v>
      </c>
      <c r="I92" s="406">
        <f>'3. Staffing Plan'!P52</f>
        <v>26500</v>
      </c>
      <c r="J92" s="406">
        <f>'3. Staffing Plan'!T52</f>
        <v>41250</v>
      </c>
      <c r="K92" s="406">
        <f>'3. Staffing Plan'!X52</f>
        <v>41400</v>
      </c>
      <c r="L92" s="406">
        <f>'3. Staffing Plan'!AB52</f>
        <v>47800</v>
      </c>
      <c r="M92" s="477"/>
      <c r="N92" s="653"/>
      <c r="O92" s="403"/>
      <c r="P92" s="413"/>
    </row>
    <row r="93" spans="2:17" ht="15.75" customHeight="1" x14ac:dyDescent="0.25">
      <c r="B93" s="382"/>
      <c r="C93" s="400"/>
      <c r="D93" s="608" t="s">
        <v>439</v>
      </c>
      <c r="E93" s="609"/>
      <c r="F93" s="120"/>
      <c r="G93" s="405"/>
      <c r="H93" s="406">
        <f>'3. Staffing Plan'!L53</f>
        <v>20250</v>
      </c>
      <c r="I93" s="406">
        <f>'3. Staffing Plan'!P53</f>
        <v>26500</v>
      </c>
      <c r="J93" s="406">
        <f>'3. Staffing Plan'!T53</f>
        <v>41250</v>
      </c>
      <c r="K93" s="406">
        <f>'3. Staffing Plan'!X53</f>
        <v>51750</v>
      </c>
      <c r="L93" s="406">
        <f>'3. Staffing Plan'!AB53</f>
        <v>59750</v>
      </c>
      <c r="M93" s="477"/>
      <c r="N93" s="653"/>
      <c r="O93" s="403"/>
      <c r="P93" s="413"/>
    </row>
    <row r="94" spans="2:17" ht="15.75" customHeight="1" x14ac:dyDescent="0.25">
      <c r="B94" s="382"/>
      <c r="C94" s="400"/>
      <c r="D94" s="608" t="s">
        <v>564</v>
      </c>
      <c r="E94" s="609"/>
      <c r="F94" s="120"/>
      <c r="G94" s="405"/>
      <c r="H94" s="406">
        <f>'3. Staffing Plan'!L58</f>
        <v>0</v>
      </c>
      <c r="I94" s="406">
        <f>'3. Staffing Plan'!P58</f>
        <v>0</v>
      </c>
      <c r="J94" s="406">
        <f>'3. Staffing Plan'!T58</f>
        <v>0</v>
      </c>
      <c r="K94" s="406">
        <f>'3. Staffing Plan'!X58</f>
        <v>0</v>
      </c>
      <c r="L94" s="406">
        <f>'3. Staffing Plan'!AB58</f>
        <v>0</v>
      </c>
      <c r="M94" s="477"/>
      <c r="N94" s="653"/>
      <c r="O94" s="403"/>
      <c r="P94" s="413"/>
    </row>
    <row r="95" spans="2:17" ht="15.75" customHeight="1" x14ac:dyDescent="0.25">
      <c r="B95" s="382"/>
      <c r="C95" s="400"/>
      <c r="D95" s="504"/>
      <c r="E95" s="505"/>
      <c r="F95" s="120"/>
      <c r="G95" s="435"/>
      <c r="H95" s="117"/>
      <c r="I95" s="117"/>
      <c r="J95" s="117"/>
      <c r="K95" s="117"/>
      <c r="L95" s="402"/>
      <c r="M95" s="386"/>
      <c r="N95" s="653"/>
      <c r="O95" s="403"/>
      <c r="P95" s="413"/>
    </row>
    <row r="96" spans="2:17" ht="15.75" customHeight="1" x14ac:dyDescent="0.25">
      <c r="B96" s="382"/>
      <c r="C96" s="400"/>
      <c r="D96" s="606" t="s">
        <v>38</v>
      </c>
      <c r="E96" s="607"/>
      <c r="F96" s="119"/>
      <c r="G96" s="420">
        <f>'4. Budget &amp; Cash Flow (Year 0)'!S33</f>
        <v>0</v>
      </c>
      <c r="H96" s="430">
        <f>SUM(H91:H94)</f>
        <v>84855.5</v>
      </c>
      <c r="I96" s="430">
        <f>SUM(I91:I94)</f>
        <v>112486.10500000001</v>
      </c>
      <c r="J96" s="430">
        <f>SUM(J91:J94)</f>
        <v>174459.87290000002</v>
      </c>
      <c r="K96" s="430">
        <f>SUM(K91:K94)</f>
        <v>211048.79837400001</v>
      </c>
      <c r="L96" s="430">
        <f>SUM(L91:L94)</f>
        <v>249278.52201658502</v>
      </c>
      <c r="M96" s="479"/>
      <c r="N96" s="653"/>
      <c r="O96" s="403"/>
      <c r="P96" s="413"/>
    </row>
    <row r="97" spans="2:17" s="401" customFormat="1" ht="15.75" customHeight="1" x14ac:dyDescent="0.25">
      <c r="B97" s="382"/>
      <c r="C97" s="400"/>
      <c r="D97" s="504"/>
      <c r="E97" s="505"/>
      <c r="F97" s="120"/>
      <c r="G97" s="419"/>
      <c r="H97" s="117"/>
      <c r="I97" s="117"/>
      <c r="J97" s="117"/>
      <c r="K97" s="117"/>
      <c r="L97" s="402"/>
      <c r="M97" s="386"/>
      <c r="N97" s="653"/>
      <c r="O97" s="403"/>
      <c r="P97" s="413"/>
      <c r="Q97" s="425"/>
    </row>
    <row r="98" spans="2:17" s="401" customFormat="1" ht="15.75" customHeight="1" x14ac:dyDescent="0.25">
      <c r="B98" s="382"/>
      <c r="C98" s="400"/>
      <c r="D98" s="606" t="s">
        <v>39</v>
      </c>
      <c r="E98" s="607"/>
      <c r="F98" s="119"/>
      <c r="G98" s="420">
        <f>'4. Budget &amp; Cash Flow (Year 0)'!S35</f>
        <v>0</v>
      </c>
      <c r="H98" s="430">
        <f>H88+H96</f>
        <v>521855.5</v>
      </c>
      <c r="I98" s="430">
        <f>I88+I96</f>
        <v>698556.10499999998</v>
      </c>
      <c r="J98" s="430">
        <f>J88+J96</f>
        <v>1080468.4728999999</v>
      </c>
      <c r="K98" s="430">
        <f>K88+K96</f>
        <v>1372613.3143740001</v>
      </c>
      <c r="L98" s="430">
        <f>L88+L96</f>
        <v>1645618.6404065851</v>
      </c>
      <c r="M98" s="479"/>
      <c r="N98" s="654"/>
      <c r="O98" s="403"/>
      <c r="P98" s="413"/>
      <c r="Q98" s="425"/>
    </row>
    <row r="99" spans="2:17" ht="15.75" customHeight="1" x14ac:dyDescent="0.25">
      <c r="B99" s="382"/>
      <c r="C99" s="400"/>
      <c r="D99" s="504"/>
      <c r="E99" s="505"/>
      <c r="F99" s="120"/>
      <c r="G99" s="433" t="str">
        <f>IF((ROUND(G98,2)=ROUND('3. Staffing Plan'!H66,2)), "","ERROR")</f>
        <v/>
      </c>
      <c r="H99" s="433" t="str">
        <f>IF((ROUND(H98,2)=ROUND('3. Staffing Plan'!L66,2)), "","ERROR")</f>
        <v/>
      </c>
      <c r="I99" s="433" t="str">
        <f>IF((ROUND(I98,2)=ROUND('3. Staffing Plan'!P66,2)), "","ERROR")</f>
        <v/>
      </c>
      <c r="J99" s="433" t="str">
        <f>IF((ROUND(J98,2)=ROUND('3. Staffing Plan'!T66,2)), "","ERROR")</f>
        <v/>
      </c>
      <c r="K99" s="433" t="str">
        <f>IF((ROUND(K98,2)=ROUND('3. Staffing Plan'!X66,2)), "","ERROR")</f>
        <v/>
      </c>
      <c r="L99" s="433" t="str">
        <f>IF((ROUND(L98,2)=ROUND('3. Staffing Plan'!AB66,2)), "","ERROR")</f>
        <v/>
      </c>
      <c r="M99" s="432"/>
      <c r="N99" s="469" t="str">
        <f>IF(COUNTIF(G99:L99,"ERROR"),"Tab 3 and Tab 5 Values do not match.","")</f>
        <v/>
      </c>
      <c r="O99" s="403"/>
      <c r="P99" s="407"/>
    </row>
    <row r="100" spans="2:17" ht="15.75" customHeight="1" x14ac:dyDescent="0.25">
      <c r="B100" s="382"/>
      <c r="C100" s="400"/>
      <c r="D100" s="614" t="s">
        <v>117</v>
      </c>
      <c r="E100" s="615"/>
      <c r="F100" s="385"/>
      <c r="G100" s="500"/>
      <c r="H100" s="671"/>
      <c r="I100" s="672"/>
      <c r="J100" s="672"/>
      <c r="K100" s="672"/>
      <c r="L100" s="672"/>
      <c r="M100" s="391"/>
      <c r="N100" s="387"/>
      <c r="O100" s="412"/>
      <c r="P100" s="424"/>
    </row>
    <row r="101" spans="2:17" ht="15.75" customHeight="1" x14ac:dyDescent="0.25">
      <c r="B101" s="382"/>
      <c r="C101" s="400"/>
      <c r="D101" s="608" t="s">
        <v>3</v>
      </c>
      <c r="E101" s="609"/>
      <c r="F101" s="495"/>
      <c r="G101" s="418">
        <f>'4. Budget &amp; Cash Flow (Year 0)'!S38</f>
        <v>0</v>
      </c>
      <c r="H101" s="409">
        <f>'2. Enrollment Projections'!E$29*300</f>
        <v>30000</v>
      </c>
      <c r="I101" s="409">
        <v>85000</v>
      </c>
      <c r="J101" s="409">
        <v>85000</v>
      </c>
      <c r="K101" s="409">
        <f>'2. Enrollment Projections'!H$29*300</f>
        <v>90000</v>
      </c>
      <c r="L101" s="409">
        <f>'2. Enrollment Projections'!I$29*300</f>
        <v>105000</v>
      </c>
      <c r="M101" s="486"/>
      <c r="N101" s="488"/>
      <c r="O101" s="403"/>
      <c r="P101" s="424"/>
    </row>
    <row r="102" spans="2:17" ht="15.75" customHeight="1" x14ac:dyDescent="0.25">
      <c r="B102" s="382"/>
      <c r="C102" s="400"/>
      <c r="D102" s="608" t="s">
        <v>40</v>
      </c>
      <c r="E102" s="609"/>
      <c r="F102" s="495"/>
      <c r="G102" s="418">
        <f>'4. Budget &amp; Cash Flow (Year 0)'!S39</f>
        <v>0</v>
      </c>
      <c r="H102" s="409">
        <v>0</v>
      </c>
      <c r="I102" s="409">
        <v>0</v>
      </c>
      <c r="J102" s="409">
        <v>0</v>
      </c>
      <c r="K102" s="409">
        <v>0</v>
      </c>
      <c r="L102" s="409">
        <v>0</v>
      </c>
      <c r="M102" s="486"/>
      <c r="N102" s="488"/>
      <c r="O102" s="403"/>
      <c r="P102" s="424"/>
    </row>
    <row r="103" spans="2:17" ht="15.75" customHeight="1" x14ac:dyDescent="0.25">
      <c r="B103" s="382"/>
      <c r="C103" s="400"/>
      <c r="D103" s="608" t="s">
        <v>507</v>
      </c>
      <c r="E103" s="609"/>
      <c r="F103" s="495"/>
      <c r="G103" s="418">
        <f>'4. Budget &amp; Cash Flow (Year 0)'!S40</f>
        <v>0</v>
      </c>
      <c r="H103" s="409">
        <f>'2. Enrollment Projections'!E$29*300</f>
        <v>30000</v>
      </c>
      <c r="I103" s="409">
        <v>85000</v>
      </c>
      <c r="J103" s="409">
        <v>90000</v>
      </c>
      <c r="K103" s="409">
        <f>'2. Enrollment Projections'!H$29*300</f>
        <v>90000</v>
      </c>
      <c r="L103" s="409">
        <f>'2. Enrollment Projections'!I$29*300</f>
        <v>105000</v>
      </c>
      <c r="M103" s="486"/>
      <c r="N103" s="488"/>
      <c r="O103" s="403"/>
      <c r="P103" s="424"/>
    </row>
    <row r="104" spans="2:17" ht="15.75" customHeight="1" x14ac:dyDescent="0.25">
      <c r="B104" s="382"/>
      <c r="C104" s="400"/>
      <c r="D104" s="608" t="s">
        <v>41</v>
      </c>
      <c r="E104" s="609"/>
      <c r="F104" s="495"/>
      <c r="G104" s="418">
        <f>'4. Budget &amp; Cash Flow (Year 0)'!S41</f>
        <v>0</v>
      </c>
      <c r="H104" s="409">
        <f>75*100</f>
        <v>7500</v>
      </c>
      <c r="I104" s="409">
        <f>100*150</f>
        <v>15000</v>
      </c>
      <c r="J104" s="409">
        <f>100*225</f>
        <v>22500</v>
      </c>
      <c r="K104" s="409">
        <f>100*300</f>
        <v>30000</v>
      </c>
      <c r="L104" s="409">
        <f>100*350</f>
        <v>35000</v>
      </c>
      <c r="M104" s="486"/>
      <c r="N104" s="488" t="s">
        <v>2</v>
      </c>
      <c r="O104" s="403"/>
      <c r="P104" s="424"/>
    </row>
    <row r="105" spans="2:17" ht="15.75" customHeight="1" x14ac:dyDescent="0.25">
      <c r="B105" s="382"/>
      <c r="C105" s="400"/>
      <c r="D105" s="608" t="s">
        <v>42</v>
      </c>
      <c r="E105" s="609"/>
      <c r="F105" s="495"/>
      <c r="G105" s="418">
        <f>'4. Budget &amp; Cash Flow (Year 0)'!S42</f>
        <v>0</v>
      </c>
      <c r="H105" s="409">
        <f>'2. Enrollment Projections'!E$29*75</f>
        <v>7500</v>
      </c>
      <c r="I105" s="409">
        <f>'2. Enrollment Projections'!F$29*75</f>
        <v>11250</v>
      </c>
      <c r="J105" s="409">
        <f>'2. Enrollment Projections'!G$29*75</f>
        <v>16875</v>
      </c>
      <c r="K105" s="409">
        <f>'2. Enrollment Projections'!H$29*75</f>
        <v>22500</v>
      </c>
      <c r="L105" s="409">
        <f>'2. Enrollment Projections'!I$29*75</f>
        <v>26250</v>
      </c>
      <c r="M105" s="486"/>
      <c r="N105" s="488"/>
      <c r="O105" s="403"/>
      <c r="P105" s="413"/>
    </row>
    <row r="106" spans="2:17" ht="15.75" customHeight="1" x14ac:dyDescent="0.25">
      <c r="B106" s="382"/>
      <c r="C106" s="400"/>
      <c r="D106" s="608" t="s">
        <v>13</v>
      </c>
      <c r="E106" s="609"/>
      <c r="F106" s="495"/>
      <c r="G106" s="418">
        <f>'4. Budget &amp; Cash Flow (Year 0)'!S43</f>
        <v>0</v>
      </c>
      <c r="H106" s="409">
        <v>9627.5974999999999</v>
      </c>
      <c r="I106" s="409">
        <v>17441.3963</v>
      </c>
      <c r="J106" s="409">
        <v>24662.094400000002</v>
      </c>
      <c r="K106" s="409">
        <v>28882.7925</v>
      </c>
      <c r="L106" s="409">
        <v>33696.5913</v>
      </c>
      <c r="M106" s="486"/>
      <c r="N106" s="488"/>
      <c r="O106" s="403"/>
      <c r="P106" s="424"/>
    </row>
    <row r="107" spans="2:17" ht="15.75" customHeight="1" x14ac:dyDescent="0.25">
      <c r="B107" s="382"/>
      <c r="C107" s="400"/>
      <c r="D107" s="608" t="s">
        <v>508</v>
      </c>
      <c r="E107" s="609"/>
      <c r="F107" s="495"/>
      <c r="G107" s="418">
        <f>'4. Budget &amp; Cash Flow (Year 0)'!S44</f>
        <v>0</v>
      </c>
      <c r="H107" s="409">
        <v>5000</v>
      </c>
      <c r="I107" s="409">
        <f>'2. Enrollment Projections'!F$29*75</f>
        <v>11250</v>
      </c>
      <c r="J107" s="409">
        <f>'2. Enrollment Projections'!G$29*60</f>
        <v>13500</v>
      </c>
      <c r="K107" s="409">
        <f>'2. Enrollment Projections'!H$29*55</f>
        <v>16500</v>
      </c>
      <c r="L107" s="409">
        <f>'2. Enrollment Projections'!I$29*75</f>
        <v>26250</v>
      </c>
      <c r="M107" s="486"/>
      <c r="N107" s="488"/>
      <c r="O107" s="403"/>
      <c r="P107" s="424"/>
    </row>
    <row r="108" spans="2:17" ht="15.75" customHeight="1" x14ac:dyDescent="0.25">
      <c r="B108" s="382"/>
      <c r="C108" s="400"/>
      <c r="D108" s="608" t="s">
        <v>509</v>
      </c>
      <c r="E108" s="609"/>
      <c r="F108" s="495"/>
      <c r="G108" s="418">
        <f>'4. Budget &amp; Cash Flow (Year 0)'!S45</f>
        <v>0</v>
      </c>
      <c r="H108" s="409">
        <v>2500</v>
      </c>
      <c r="I108" s="409">
        <f>'2. Enrollment Projections'!F$29*50</f>
        <v>7500</v>
      </c>
      <c r="J108" s="409">
        <f>I108*1.05</f>
        <v>7875</v>
      </c>
      <c r="K108" s="409">
        <f>J108*1.05</f>
        <v>8268.75</v>
      </c>
      <c r="L108" s="409">
        <f>K108*1.05</f>
        <v>8682.1875</v>
      </c>
      <c r="M108" s="486"/>
      <c r="N108" s="488"/>
      <c r="O108" s="403"/>
      <c r="P108" s="424"/>
    </row>
    <row r="109" spans="2:17" ht="15.75" customHeight="1" x14ac:dyDescent="0.25">
      <c r="B109" s="382"/>
      <c r="C109" s="400"/>
      <c r="D109" s="504"/>
      <c r="E109" s="505"/>
      <c r="F109" s="120"/>
      <c r="G109" s="419"/>
      <c r="H109" s="117"/>
      <c r="I109" s="117"/>
      <c r="J109" s="117"/>
      <c r="K109" s="117"/>
      <c r="L109" s="402"/>
      <c r="M109" s="386"/>
      <c r="N109" s="464"/>
      <c r="O109" s="403"/>
      <c r="P109" s="413"/>
    </row>
    <row r="110" spans="2:17" ht="15.75" customHeight="1" x14ac:dyDescent="0.25">
      <c r="B110" s="382"/>
      <c r="C110" s="400"/>
      <c r="D110" s="606" t="s">
        <v>43</v>
      </c>
      <c r="E110" s="607"/>
      <c r="F110" s="119"/>
      <c r="G110" s="420">
        <f t="shared" ref="G110:L110" si="0">SUM(G101:G108)</f>
        <v>0</v>
      </c>
      <c r="H110" s="430">
        <f t="shared" si="0"/>
        <v>92127.597500000003</v>
      </c>
      <c r="I110" s="430">
        <f t="shared" si="0"/>
        <v>232441.39629999999</v>
      </c>
      <c r="J110" s="430">
        <f t="shared" si="0"/>
        <v>260412.0944</v>
      </c>
      <c r="K110" s="430">
        <f t="shared" si="0"/>
        <v>286151.54249999998</v>
      </c>
      <c r="L110" s="430">
        <f t="shared" si="0"/>
        <v>339878.77879999997</v>
      </c>
      <c r="M110" s="479"/>
      <c r="N110" s="488"/>
      <c r="O110" s="403"/>
      <c r="P110" s="413"/>
    </row>
    <row r="111" spans="2:17" ht="15.75" customHeight="1" x14ac:dyDescent="0.25">
      <c r="B111" s="382"/>
      <c r="C111" s="400"/>
      <c r="D111" s="504"/>
      <c r="E111" s="505"/>
      <c r="F111" s="120"/>
      <c r="G111" s="421"/>
      <c r="H111" s="118"/>
      <c r="I111" s="118"/>
      <c r="J111" s="118"/>
      <c r="K111" s="118"/>
      <c r="L111" s="417"/>
      <c r="M111" s="386"/>
      <c r="N111" s="464"/>
      <c r="O111" s="403"/>
      <c r="P111" s="413"/>
      <c r="Q111" s="436"/>
    </row>
    <row r="112" spans="2:17" ht="15.75" customHeight="1" x14ac:dyDescent="0.25">
      <c r="B112" s="382"/>
      <c r="C112" s="400"/>
      <c r="D112" s="614" t="s">
        <v>510</v>
      </c>
      <c r="E112" s="615"/>
      <c r="F112" s="385"/>
      <c r="G112" s="500"/>
      <c r="H112" s="448"/>
      <c r="I112" s="122"/>
      <c r="J112" s="122"/>
      <c r="K112" s="122"/>
      <c r="L112" s="122"/>
      <c r="M112" s="120"/>
      <c r="N112" s="492" t="s">
        <v>566</v>
      </c>
      <c r="O112" s="412"/>
      <c r="P112" s="413"/>
      <c r="Q112" s="436"/>
    </row>
    <row r="113" spans="2:17" ht="15.75" customHeight="1" x14ac:dyDescent="0.25">
      <c r="B113" s="382"/>
      <c r="C113" s="400"/>
      <c r="D113" s="608" t="s">
        <v>511</v>
      </c>
      <c r="E113" s="609"/>
      <c r="F113" s="495"/>
      <c r="G113" s="418">
        <f>'4. Budget &amp; Cash Flow (Year 0)'!S50</f>
        <v>0</v>
      </c>
      <c r="H113" s="409">
        <f>'2. Enrollment Projections'!E$29*25</f>
        <v>2500</v>
      </c>
      <c r="I113" s="409">
        <f>'2. Enrollment Projections'!F$29*25</f>
        <v>3750</v>
      </c>
      <c r="J113" s="409">
        <f>'2. Enrollment Projections'!G$29*25</f>
        <v>5625</v>
      </c>
      <c r="K113" s="409">
        <f>'2. Enrollment Projections'!H$29*25</f>
        <v>7500</v>
      </c>
      <c r="L113" s="409">
        <f>'2. Enrollment Projections'!I$29*25</f>
        <v>8750</v>
      </c>
      <c r="M113" s="486"/>
      <c r="N113" s="655"/>
      <c r="O113" s="403"/>
      <c r="P113" s="413"/>
    </row>
    <row r="114" spans="2:17" ht="15.75" customHeight="1" x14ac:dyDescent="0.25">
      <c r="B114" s="382"/>
      <c r="C114" s="400"/>
      <c r="D114" s="608" t="s">
        <v>512</v>
      </c>
      <c r="E114" s="609"/>
      <c r="F114" s="495"/>
      <c r="G114" s="418">
        <f>'4. Budget &amp; Cash Flow (Year 0)'!S51</f>
        <v>0</v>
      </c>
      <c r="H114" s="409">
        <v>0</v>
      </c>
      <c r="I114" s="409">
        <v>0</v>
      </c>
      <c r="J114" s="409">
        <v>0</v>
      </c>
      <c r="K114" s="409">
        <v>0</v>
      </c>
      <c r="L114" s="409">
        <v>0</v>
      </c>
      <c r="M114" s="486"/>
      <c r="N114" s="656"/>
      <c r="O114" s="437"/>
      <c r="P114" s="413"/>
    </row>
    <row r="115" spans="2:17" ht="15.75" customHeight="1" x14ac:dyDescent="0.25">
      <c r="B115" s="382"/>
      <c r="C115" s="400"/>
      <c r="D115" s="504"/>
      <c r="E115" s="505"/>
      <c r="F115" s="120"/>
      <c r="G115" s="419"/>
      <c r="H115" s="117"/>
      <c r="I115" s="117"/>
      <c r="J115" s="117"/>
      <c r="K115" s="117"/>
      <c r="L115" s="402"/>
      <c r="M115" s="386"/>
      <c r="N115" s="656"/>
      <c r="O115" s="403"/>
      <c r="P115" s="413"/>
    </row>
    <row r="116" spans="2:17" s="401" customFormat="1" ht="15.75" customHeight="1" x14ac:dyDescent="0.25">
      <c r="B116" s="382"/>
      <c r="C116" s="400"/>
      <c r="D116" s="606" t="s">
        <v>513</v>
      </c>
      <c r="E116" s="607"/>
      <c r="F116" s="119"/>
      <c r="G116" s="420">
        <f t="shared" ref="G116:L116" si="1">SUM(G113:G114)</f>
        <v>0</v>
      </c>
      <c r="H116" s="430">
        <f t="shared" si="1"/>
        <v>2500</v>
      </c>
      <c r="I116" s="430">
        <f t="shared" si="1"/>
        <v>3750</v>
      </c>
      <c r="J116" s="430">
        <f t="shared" si="1"/>
        <v>5625</v>
      </c>
      <c r="K116" s="430">
        <f t="shared" si="1"/>
        <v>7500</v>
      </c>
      <c r="L116" s="430">
        <f t="shared" si="1"/>
        <v>8750</v>
      </c>
      <c r="M116" s="479"/>
      <c r="N116" s="657"/>
      <c r="O116" s="403"/>
      <c r="P116" s="413"/>
      <c r="Q116" s="425"/>
    </row>
    <row r="117" spans="2:17" ht="15.75" customHeight="1" x14ac:dyDescent="0.25">
      <c r="B117" s="382"/>
      <c r="C117" s="400"/>
      <c r="D117" s="504"/>
      <c r="E117" s="505"/>
      <c r="F117" s="120"/>
      <c r="G117" s="421"/>
      <c r="H117" s="118"/>
      <c r="I117" s="118"/>
      <c r="J117" s="118"/>
      <c r="K117" s="118"/>
      <c r="L117" s="417"/>
      <c r="M117" s="386"/>
      <c r="N117" s="464"/>
      <c r="O117" s="403"/>
      <c r="P117" s="413"/>
    </row>
    <row r="118" spans="2:17" ht="15.75" customHeight="1" x14ac:dyDescent="0.25">
      <c r="B118" s="382"/>
      <c r="C118" s="400"/>
      <c r="D118" s="614" t="s">
        <v>44</v>
      </c>
      <c r="E118" s="615"/>
      <c r="F118" s="385"/>
      <c r="G118" s="500"/>
      <c r="H118" s="422"/>
      <c r="I118" s="422"/>
      <c r="J118" s="422"/>
      <c r="K118" s="422"/>
      <c r="L118" s="423"/>
      <c r="M118" s="386"/>
      <c r="N118" s="491" t="s">
        <v>567</v>
      </c>
      <c r="O118" s="403"/>
      <c r="P118" s="413"/>
    </row>
    <row r="119" spans="2:17" ht="15.75" customHeight="1" x14ac:dyDescent="0.25">
      <c r="B119" s="382"/>
      <c r="C119" s="400"/>
      <c r="D119" s="608" t="s">
        <v>4</v>
      </c>
      <c r="E119" s="609"/>
      <c r="F119" s="495"/>
      <c r="G119" s="418">
        <f>'4. Budget &amp; Cash Flow (Year 0)'!S56</f>
        <v>0</v>
      </c>
      <c r="H119" s="409">
        <v>0</v>
      </c>
      <c r="I119" s="409">
        <v>0</v>
      </c>
      <c r="J119" s="409">
        <v>0</v>
      </c>
      <c r="K119" s="409">
        <v>0</v>
      </c>
      <c r="L119" s="409">
        <v>0</v>
      </c>
      <c r="M119" s="486"/>
      <c r="N119" s="655" t="s">
        <v>2</v>
      </c>
      <c r="O119" s="403"/>
      <c r="P119" s="413"/>
    </row>
    <row r="120" spans="2:17" ht="15.75" customHeight="1" x14ac:dyDescent="0.25">
      <c r="B120" s="382"/>
      <c r="C120" s="400"/>
      <c r="D120" s="608" t="s">
        <v>514</v>
      </c>
      <c r="E120" s="609"/>
      <c r="F120" s="495"/>
      <c r="G120" s="418">
        <f>'4. Budget &amp; Cash Flow (Year 0)'!S57</f>
        <v>0</v>
      </c>
      <c r="H120" s="409">
        <v>0</v>
      </c>
      <c r="I120" s="409">
        <v>0</v>
      </c>
      <c r="J120" s="409">
        <v>0</v>
      </c>
      <c r="K120" s="409">
        <v>0</v>
      </c>
      <c r="L120" s="409">
        <v>0</v>
      </c>
      <c r="M120" s="486"/>
      <c r="N120" s="656"/>
      <c r="O120" s="403"/>
      <c r="P120" s="424"/>
    </row>
    <row r="121" spans="2:17" ht="15.75" customHeight="1" x14ac:dyDescent="0.25">
      <c r="B121" s="382"/>
      <c r="C121" s="400"/>
      <c r="D121" s="504"/>
      <c r="E121" s="505"/>
      <c r="F121" s="120"/>
      <c r="G121" s="419"/>
      <c r="H121" s="117"/>
      <c r="I121" s="117"/>
      <c r="J121" s="117"/>
      <c r="K121" s="117"/>
      <c r="L121" s="402"/>
      <c r="M121" s="386"/>
      <c r="N121" s="656"/>
      <c r="O121" s="403"/>
      <c r="P121" s="424"/>
    </row>
    <row r="122" spans="2:17" ht="15.75" customHeight="1" x14ac:dyDescent="0.25">
      <c r="B122" s="382"/>
      <c r="C122" s="400"/>
      <c r="D122" s="606" t="s">
        <v>573</v>
      </c>
      <c r="E122" s="607"/>
      <c r="F122" s="119"/>
      <c r="G122" s="420">
        <f t="shared" ref="G122:L122" si="2">SUM(G119:G120)</f>
        <v>0</v>
      </c>
      <c r="H122" s="430">
        <f t="shared" si="2"/>
        <v>0</v>
      </c>
      <c r="I122" s="430">
        <f t="shared" si="2"/>
        <v>0</v>
      </c>
      <c r="J122" s="430">
        <f t="shared" si="2"/>
        <v>0</v>
      </c>
      <c r="K122" s="430">
        <f t="shared" si="2"/>
        <v>0</v>
      </c>
      <c r="L122" s="430">
        <f t="shared" si="2"/>
        <v>0</v>
      </c>
      <c r="M122" s="479"/>
      <c r="N122" s="657"/>
      <c r="O122" s="403"/>
      <c r="P122" s="413"/>
    </row>
    <row r="123" spans="2:17" ht="15.75" customHeight="1" x14ac:dyDescent="0.25">
      <c r="B123" s="382"/>
      <c r="C123" s="400"/>
      <c r="D123" s="504"/>
      <c r="E123" s="505"/>
      <c r="F123" s="120"/>
      <c r="G123" s="421"/>
      <c r="H123" s="118"/>
      <c r="I123" s="118"/>
      <c r="J123" s="118"/>
      <c r="K123" s="118"/>
      <c r="L123" s="417"/>
      <c r="M123" s="386"/>
      <c r="N123" s="464"/>
      <c r="O123" s="403"/>
      <c r="P123" s="413"/>
    </row>
    <row r="124" spans="2:17" ht="15.75" customHeight="1" x14ac:dyDescent="0.25">
      <c r="B124" s="382"/>
      <c r="C124" s="400"/>
      <c r="D124" s="614" t="s">
        <v>534</v>
      </c>
      <c r="E124" s="615"/>
      <c r="F124" s="385"/>
      <c r="G124" s="500"/>
      <c r="H124" s="422"/>
      <c r="I124" s="122"/>
      <c r="J124" s="122"/>
      <c r="K124" s="122"/>
      <c r="L124" s="122"/>
      <c r="M124" s="120"/>
      <c r="N124" s="493" t="s">
        <v>568</v>
      </c>
      <c r="O124" s="438"/>
      <c r="P124" s="413"/>
    </row>
    <row r="125" spans="2:17" ht="15.75" customHeight="1" x14ac:dyDescent="0.25">
      <c r="B125" s="382"/>
      <c r="C125" s="400"/>
      <c r="D125" s="608" t="s">
        <v>45</v>
      </c>
      <c r="E125" s="609"/>
      <c r="F125" s="495"/>
      <c r="G125" s="418">
        <f>'4. Budget &amp; Cash Flow (Year 0)'!S62</f>
        <v>0</v>
      </c>
      <c r="H125" s="409">
        <v>18000</v>
      </c>
      <c r="I125" s="409">
        <f>H125</f>
        <v>18000</v>
      </c>
      <c r="J125" s="409">
        <v>20000</v>
      </c>
      <c r="K125" s="409">
        <f>J125</f>
        <v>20000</v>
      </c>
      <c r="L125" s="409">
        <f>K125</f>
        <v>20000</v>
      </c>
      <c r="M125" s="485"/>
      <c r="N125" s="655"/>
      <c r="O125" s="403"/>
      <c r="P125" s="413"/>
    </row>
    <row r="126" spans="2:17" ht="15.75" customHeight="1" x14ac:dyDescent="0.25">
      <c r="B126" s="382"/>
      <c r="C126" s="400"/>
      <c r="D126" s="608" t="s">
        <v>5</v>
      </c>
      <c r="E126" s="609"/>
      <c r="F126" s="495"/>
      <c r="G126" s="418">
        <f>'4. Budget &amp; Cash Flow (Year 0)'!S63</f>
        <v>0</v>
      </c>
      <c r="H126" s="409">
        <v>15940</v>
      </c>
      <c r="I126" s="409">
        <v>27760</v>
      </c>
      <c r="J126" s="409">
        <v>38475</v>
      </c>
      <c r="K126" s="409">
        <v>44800</v>
      </c>
      <c r="L126" s="409">
        <v>52100</v>
      </c>
      <c r="M126" s="485"/>
      <c r="N126" s="656"/>
      <c r="O126" s="403"/>
      <c r="P126" s="413"/>
    </row>
    <row r="127" spans="2:17" ht="15.75" customHeight="1" x14ac:dyDescent="0.25">
      <c r="B127" s="382"/>
      <c r="C127" s="400"/>
      <c r="D127" s="608" t="s">
        <v>46</v>
      </c>
      <c r="E127" s="609"/>
      <c r="F127" s="495"/>
      <c r="G127" s="418">
        <f>'4. Budget &amp; Cash Flow (Year 0)'!S64</f>
        <v>0</v>
      </c>
      <c r="H127" s="409">
        <v>0</v>
      </c>
      <c r="I127" s="409">
        <v>0</v>
      </c>
      <c r="J127" s="409">
        <v>0</v>
      </c>
      <c r="K127" s="409">
        <v>0</v>
      </c>
      <c r="L127" s="409">
        <v>0</v>
      </c>
      <c r="M127" s="485"/>
      <c r="N127" s="656"/>
      <c r="O127" s="403"/>
      <c r="P127" s="413"/>
    </row>
    <row r="128" spans="2:17" ht="15.75" customHeight="1" x14ac:dyDescent="0.25">
      <c r="B128" s="382"/>
      <c r="C128" s="400"/>
      <c r="D128" s="608" t="s">
        <v>47</v>
      </c>
      <c r="E128" s="609"/>
      <c r="F128" s="495"/>
      <c r="G128" s="418">
        <f>'4. Budget &amp; Cash Flow (Year 0)'!S65</f>
        <v>0</v>
      </c>
      <c r="H128" s="409">
        <v>0</v>
      </c>
      <c r="I128" s="409">
        <v>0</v>
      </c>
      <c r="J128" s="409">
        <v>0</v>
      </c>
      <c r="K128" s="409">
        <v>0</v>
      </c>
      <c r="L128" s="409">
        <v>0</v>
      </c>
      <c r="M128" s="485"/>
      <c r="N128" s="656"/>
      <c r="O128" s="403"/>
      <c r="P128" s="413"/>
    </row>
    <row r="129" spans="2:16" ht="15.75" customHeight="1" x14ac:dyDescent="0.25">
      <c r="B129" s="382"/>
      <c r="C129" s="400"/>
      <c r="D129" s="608" t="s">
        <v>515</v>
      </c>
      <c r="E129" s="609"/>
      <c r="F129" s="495"/>
      <c r="G129" s="418">
        <f>'4. Budget &amp; Cash Flow (Year 0)'!S66</f>
        <v>0</v>
      </c>
      <c r="H129" s="409">
        <v>12000</v>
      </c>
      <c r="I129" s="409">
        <f>H129*1.5</f>
        <v>18000</v>
      </c>
      <c r="J129" s="409">
        <f>I129*1.5</f>
        <v>27000</v>
      </c>
      <c r="K129" s="409">
        <f>J129*1.33</f>
        <v>35910</v>
      </c>
      <c r="L129" s="409">
        <f>K129*1.16</f>
        <v>41655.599999999999</v>
      </c>
      <c r="M129" s="485"/>
      <c r="N129" s="656"/>
      <c r="O129" s="403"/>
      <c r="P129" s="413"/>
    </row>
    <row r="130" spans="2:16" ht="15.75" customHeight="1" x14ac:dyDescent="0.25">
      <c r="B130" s="382"/>
      <c r="C130" s="400"/>
      <c r="D130" s="608" t="s">
        <v>516</v>
      </c>
      <c r="E130" s="609"/>
      <c r="F130" s="495"/>
      <c r="G130" s="418">
        <f>'4. Budget &amp; Cash Flow (Year 0)'!S67</f>
        <v>0</v>
      </c>
      <c r="H130" s="409">
        <v>34500</v>
      </c>
      <c r="I130" s="409">
        <f>H130*1.15</f>
        <v>39675</v>
      </c>
      <c r="J130" s="409">
        <f t="shared" ref="J130:L130" si="3">I130*1.15</f>
        <v>45626.25</v>
      </c>
      <c r="K130" s="409">
        <f t="shared" si="3"/>
        <v>52470.187499999993</v>
      </c>
      <c r="L130" s="409">
        <f t="shared" si="3"/>
        <v>60340.71562499999</v>
      </c>
      <c r="M130" s="485"/>
      <c r="N130" s="656"/>
      <c r="O130" s="403"/>
      <c r="P130" s="413"/>
    </row>
    <row r="131" spans="2:16" ht="15.75" customHeight="1" x14ac:dyDescent="0.25">
      <c r="B131" s="382"/>
      <c r="C131" s="400"/>
      <c r="D131" s="608" t="s">
        <v>6</v>
      </c>
      <c r="E131" s="609"/>
      <c r="F131" s="495"/>
      <c r="G131" s="418">
        <f>'4. Budget &amp; Cash Flow (Year 0)'!S68</f>
        <v>0</v>
      </c>
      <c r="H131" s="409">
        <v>0</v>
      </c>
      <c r="I131" s="409">
        <v>0</v>
      </c>
      <c r="J131" s="409">
        <v>0</v>
      </c>
      <c r="K131" s="409">
        <v>0</v>
      </c>
      <c r="L131" s="409">
        <v>0</v>
      </c>
      <c r="M131" s="485"/>
      <c r="N131" s="656"/>
      <c r="O131" s="403"/>
      <c r="P131" s="413"/>
    </row>
    <row r="132" spans="2:16" ht="15.75" customHeight="1" x14ac:dyDescent="0.25">
      <c r="B132" s="382"/>
      <c r="C132" s="400"/>
      <c r="D132" s="608" t="s">
        <v>517</v>
      </c>
      <c r="E132" s="609"/>
      <c r="F132" s="495"/>
      <c r="G132" s="418">
        <f>'4. Budget &amp; Cash Flow (Year 0)'!S69</f>
        <v>0</v>
      </c>
      <c r="H132" s="409">
        <v>0</v>
      </c>
      <c r="I132" s="409">
        <v>0</v>
      </c>
      <c r="J132" s="409">
        <v>0</v>
      </c>
      <c r="K132" s="409">
        <v>0</v>
      </c>
      <c r="L132" s="409">
        <v>0</v>
      </c>
      <c r="M132" s="485"/>
      <c r="N132" s="656"/>
      <c r="O132" s="403"/>
      <c r="P132" s="413"/>
    </row>
    <row r="133" spans="2:16" ht="15.75" customHeight="1" x14ac:dyDescent="0.25">
      <c r="B133" s="382"/>
      <c r="C133" s="400"/>
      <c r="D133" s="608" t="s">
        <v>48</v>
      </c>
      <c r="E133" s="609"/>
      <c r="F133" s="495"/>
      <c r="G133" s="418">
        <f>'4. Budget &amp; Cash Flow (Year 0)'!S70</f>
        <v>0</v>
      </c>
      <c r="H133" s="409">
        <v>51500</v>
      </c>
      <c r="I133" s="409">
        <v>64400</v>
      </c>
      <c r="J133" s="409">
        <v>76650</v>
      </c>
      <c r="K133" s="409">
        <v>85875</v>
      </c>
      <c r="L133" s="409">
        <v>95700</v>
      </c>
      <c r="M133" s="485"/>
      <c r="N133" s="656"/>
      <c r="O133" s="403"/>
      <c r="P133" s="413"/>
    </row>
    <row r="134" spans="2:16" ht="15.75" customHeight="1" x14ac:dyDescent="0.25">
      <c r="B134" s="382"/>
      <c r="C134" s="400"/>
      <c r="D134" s="608" t="s">
        <v>518</v>
      </c>
      <c r="E134" s="609"/>
      <c r="F134" s="495"/>
      <c r="G134" s="418">
        <f>'4. Budget &amp; Cash Flow (Year 0)'!S71</f>
        <v>0</v>
      </c>
      <c r="H134" s="409">
        <v>27100</v>
      </c>
      <c r="I134" s="409">
        <v>43650</v>
      </c>
      <c r="J134" s="409">
        <v>63970</v>
      </c>
      <c r="K134" s="409">
        <v>81150</v>
      </c>
      <c r="L134" s="409">
        <v>94385</v>
      </c>
      <c r="M134" s="485"/>
      <c r="N134" s="656"/>
      <c r="O134" s="403"/>
      <c r="P134" s="413"/>
    </row>
    <row r="135" spans="2:16" ht="15.75" customHeight="1" x14ac:dyDescent="0.25">
      <c r="B135" s="382"/>
      <c r="C135" s="400"/>
      <c r="D135" s="608" t="s">
        <v>49</v>
      </c>
      <c r="E135" s="609"/>
      <c r="F135" s="495"/>
      <c r="G135" s="418">
        <f>'4. Budget &amp; Cash Flow (Year 0)'!S72</f>
        <v>0</v>
      </c>
      <c r="H135" s="409">
        <f>'2. Enrollment Projections'!E$29*900+4814</f>
        <v>94814</v>
      </c>
      <c r="I135" s="409">
        <f>'2. Enrollment Projections'!F$29*900+8721</f>
        <v>143721</v>
      </c>
      <c r="J135" s="409">
        <f>'2. Enrollment Projections'!G$29*900+12331</f>
        <v>214831</v>
      </c>
      <c r="K135" s="409">
        <f>'2. Enrollment Projections'!H$29*900+1441</f>
        <v>271441</v>
      </c>
      <c r="L135" s="409">
        <f>'2. Enrollment Projections'!I$29*900+16848</f>
        <v>331848</v>
      </c>
      <c r="M135" s="485"/>
      <c r="N135" s="656"/>
      <c r="O135" s="403"/>
      <c r="P135" s="413"/>
    </row>
    <row r="136" spans="2:16" ht="15.75" customHeight="1" x14ac:dyDescent="0.25">
      <c r="B136" s="382"/>
      <c r="C136" s="400"/>
      <c r="D136" s="608" t="s">
        <v>519</v>
      </c>
      <c r="E136" s="609"/>
      <c r="F136" s="495"/>
      <c r="G136" s="418">
        <f>'4. Budget &amp; Cash Flow (Year 0)'!S73</f>
        <v>0</v>
      </c>
      <c r="H136" s="409">
        <v>0</v>
      </c>
      <c r="I136" s="409">
        <v>0</v>
      </c>
      <c r="J136" s="409">
        <v>0</v>
      </c>
      <c r="K136" s="409">
        <v>0</v>
      </c>
      <c r="L136" s="409">
        <v>0</v>
      </c>
      <c r="M136" s="485"/>
      <c r="N136" s="656"/>
      <c r="O136" s="403"/>
      <c r="P136" s="413"/>
    </row>
    <row r="137" spans="2:16" ht="15.75" customHeight="1" x14ac:dyDescent="0.25">
      <c r="B137" s="382"/>
      <c r="C137" s="400"/>
      <c r="D137" s="608" t="s">
        <v>520</v>
      </c>
      <c r="E137" s="609"/>
      <c r="F137" s="495"/>
      <c r="G137" s="418">
        <f>'4. Budget &amp; Cash Flow (Year 0)'!S74</f>
        <v>0</v>
      </c>
      <c r="H137" s="409">
        <v>12127.5975</v>
      </c>
      <c r="I137" s="409">
        <v>19941.3963</v>
      </c>
      <c r="J137" s="409">
        <v>27162.094400000002</v>
      </c>
      <c r="K137" s="409">
        <v>31382.7925</v>
      </c>
      <c r="L137" s="409">
        <v>36196.5913</v>
      </c>
      <c r="M137" s="485"/>
      <c r="N137" s="656"/>
      <c r="O137" s="403"/>
      <c r="P137" s="413"/>
    </row>
    <row r="138" spans="2:16" ht="15.75" customHeight="1" x14ac:dyDescent="0.25">
      <c r="B138" s="382"/>
      <c r="C138" s="400"/>
      <c r="D138" s="608" t="s">
        <v>521</v>
      </c>
      <c r="E138" s="609"/>
      <c r="F138" s="495"/>
      <c r="G138" s="418">
        <f>'4. Budget &amp; Cash Flow (Year 0)'!S75</f>
        <v>0</v>
      </c>
      <c r="H138" s="409">
        <v>14030</v>
      </c>
      <c r="I138" s="409">
        <v>20800</v>
      </c>
      <c r="J138" s="409">
        <v>30800</v>
      </c>
      <c r="K138" s="409">
        <v>48875</v>
      </c>
      <c r="L138" s="409">
        <v>46300</v>
      </c>
      <c r="M138" s="485"/>
      <c r="N138" s="657"/>
      <c r="O138" s="403"/>
      <c r="P138" s="413"/>
    </row>
    <row r="139" spans="2:16" ht="15.75" customHeight="1" x14ac:dyDescent="0.25">
      <c r="B139" s="382"/>
      <c r="C139" s="400"/>
      <c r="D139" s="504"/>
      <c r="E139" s="505"/>
      <c r="F139" s="120"/>
      <c r="G139" s="419"/>
      <c r="H139" s="117"/>
      <c r="I139" s="117"/>
      <c r="J139" s="117"/>
      <c r="K139" s="117"/>
      <c r="L139" s="402"/>
      <c r="M139" s="386"/>
      <c r="N139" s="466"/>
      <c r="O139" s="403"/>
      <c r="P139" s="413"/>
    </row>
    <row r="140" spans="2:16" ht="15.75" customHeight="1" x14ac:dyDescent="0.25">
      <c r="B140" s="382"/>
      <c r="C140" s="400"/>
      <c r="D140" s="606" t="s">
        <v>522</v>
      </c>
      <c r="E140" s="607"/>
      <c r="F140" s="119"/>
      <c r="G140" s="420">
        <f t="shared" ref="G140:L140" si="4">SUM(G125:G138)</f>
        <v>0</v>
      </c>
      <c r="H140" s="430">
        <f t="shared" si="4"/>
        <v>280011.59749999997</v>
      </c>
      <c r="I140" s="430">
        <f t="shared" si="4"/>
        <v>395947.39630000002</v>
      </c>
      <c r="J140" s="430">
        <f t="shared" si="4"/>
        <v>544514.34440000006</v>
      </c>
      <c r="K140" s="430">
        <f t="shared" si="4"/>
        <v>671903.98</v>
      </c>
      <c r="L140" s="430">
        <f t="shared" si="4"/>
        <v>778525.90692500002</v>
      </c>
      <c r="M140" s="479"/>
      <c r="N140" s="489"/>
      <c r="O140" s="411"/>
      <c r="P140" s="413"/>
    </row>
    <row r="141" spans="2:16" ht="15.75" customHeight="1" x14ac:dyDescent="0.25">
      <c r="B141" s="382"/>
      <c r="C141" s="400"/>
      <c r="D141" s="504"/>
      <c r="E141" s="505"/>
      <c r="F141" s="120"/>
      <c r="G141" s="439"/>
      <c r="H141" s="440"/>
      <c r="I141" s="440"/>
      <c r="J141" s="440"/>
      <c r="K141" s="440"/>
      <c r="L141" s="441"/>
      <c r="M141" s="470"/>
      <c r="N141" s="467"/>
      <c r="O141" s="411"/>
      <c r="P141" s="388"/>
    </row>
    <row r="142" spans="2:16" ht="15.75" customHeight="1" x14ac:dyDescent="0.25">
      <c r="B142" s="382"/>
      <c r="C142" s="400"/>
      <c r="D142" s="614" t="s">
        <v>535</v>
      </c>
      <c r="E142" s="615"/>
      <c r="F142" s="385"/>
      <c r="G142" s="500"/>
      <c r="H142" s="442"/>
      <c r="I142" s="443"/>
      <c r="J142" s="443"/>
      <c r="K142" s="443"/>
      <c r="L142" s="443"/>
      <c r="M142" s="391"/>
      <c r="N142" s="494" t="s">
        <v>585</v>
      </c>
      <c r="O142" s="438"/>
      <c r="P142" s="388"/>
    </row>
    <row r="143" spans="2:16" ht="15.75" customHeight="1" x14ac:dyDescent="0.25">
      <c r="B143" s="382"/>
      <c r="C143" s="400"/>
      <c r="D143" s="608" t="s">
        <v>524</v>
      </c>
      <c r="E143" s="609"/>
      <c r="F143" s="495"/>
      <c r="G143" s="418">
        <f>'4. Budget &amp; Cash Flow (Year 0)'!S80</f>
        <v>0</v>
      </c>
      <c r="H143" s="409">
        <v>18000</v>
      </c>
      <c r="I143" s="409">
        <v>150000</v>
      </c>
      <c r="J143" s="409">
        <v>250000</v>
      </c>
      <c r="K143" s="409">
        <v>250000</v>
      </c>
      <c r="L143" s="409">
        <v>290000</v>
      </c>
      <c r="M143" s="485"/>
      <c r="N143" s="655"/>
      <c r="O143" s="403"/>
      <c r="P143" s="388"/>
    </row>
    <row r="144" spans="2:16" ht="15.75" customHeight="1" x14ac:dyDescent="0.25">
      <c r="B144" s="382"/>
      <c r="C144" s="400"/>
      <c r="D144" s="608" t="s">
        <v>523</v>
      </c>
      <c r="E144" s="609"/>
      <c r="F144" s="495"/>
      <c r="G144" s="418">
        <f>'4. Budget &amp; Cash Flow (Year 0)'!S81</f>
        <v>0</v>
      </c>
      <c r="H144" s="409">
        <v>0</v>
      </c>
      <c r="I144" s="409">
        <v>0</v>
      </c>
      <c r="J144" s="409">
        <v>0</v>
      </c>
      <c r="K144" s="409">
        <v>0</v>
      </c>
      <c r="L144" s="409">
        <v>0</v>
      </c>
      <c r="M144" s="485"/>
      <c r="N144" s="656"/>
      <c r="O144" s="411"/>
      <c r="P144" s="388"/>
    </row>
    <row r="145" spans="2:16" ht="15.75" customHeight="1" x14ac:dyDescent="0.25">
      <c r="B145" s="382"/>
      <c r="C145" s="400"/>
      <c r="D145" s="504" t="s">
        <v>526</v>
      </c>
      <c r="E145" s="505"/>
      <c r="F145" s="495"/>
      <c r="G145" s="418">
        <f>'4. Budget &amp; Cash Flow (Year 0)'!S82</f>
        <v>0</v>
      </c>
      <c r="H145" s="409">
        <v>0</v>
      </c>
      <c r="I145" s="409">
        <v>0</v>
      </c>
      <c r="J145" s="409">
        <v>0</v>
      </c>
      <c r="K145" s="409">
        <v>0</v>
      </c>
      <c r="L145" s="409">
        <v>0</v>
      </c>
      <c r="M145" s="485"/>
      <c r="N145" s="656"/>
      <c r="O145" s="411"/>
      <c r="P145" s="388"/>
    </row>
    <row r="146" spans="2:16" ht="15.75" customHeight="1" x14ac:dyDescent="0.25">
      <c r="B146" s="382"/>
      <c r="C146" s="400"/>
      <c r="D146" s="504" t="s">
        <v>525</v>
      </c>
      <c r="E146" s="505"/>
      <c r="F146" s="495"/>
      <c r="G146" s="418">
        <f>'4. Budget &amp; Cash Flow (Year 0)'!S83</f>
        <v>0</v>
      </c>
      <c r="H146" s="409">
        <v>0</v>
      </c>
      <c r="I146" s="409">
        <v>0</v>
      </c>
      <c r="J146" s="409">
        <v>0</v>
      </c>
      <c r="K146" s="409">
        <v>0</v>
      </c>
      <c r="L146" s="409">
        <v>0</v>
      </c>
      <c r="M146" s="485"/>
      <c r="N146" s="656"/>
      <c r="O146" s="411"/>
      <c r="P146" s="388"/>
    </row>
    <row r="147" spans="2:16" ht="15.75" customHeight="1" x14ac:dyDescent="0.25">
      <c r="B147" s="382"/>
      <c r="C147" s="400"/>
      <c r="D147" s="504" t="s">
        <v>527</v>
      </c>
      <c r="E147" s="505"/>
      <c r="F147" s="495"/>
      <c r="G147" s="418">
        <f>'4. Budget &amp; Cash Flow (Year 0)'!S84</f>
        <v>0</v>
      </c>
      <c r="H147" s="409">
        <v>0</v>
      </c>
      <c r="I147" s="409">
        <v>0</v>
      </c>
      <c r="J147" s="409">
        <v>0</v>
      </c>
      <c r="K147" s="409">
        <v>0</v>
      </c>
      <c r="L147" s="409">
        <v>0</v>
      </c>
      <c r="M147" s="485"/>
      <c r="N147" s="656"/>
      <c r="O147" s="411"/>
      <c r="P147" s="388"/>
    </row>
    <row r="148" spans="2:16" ht="15.75" customHeight="1" x14ac:dyDescent="0.25">
      <c r="B148" s="382"/>
      <c r="C148" s="400"/>
      <c r="D148" s="504" t="s">
        <v>528</v>
      </c>
      <c r="E148" s="505"/>
      <c r="F148" s="495"/>
      <c r="G148" s="418">
        <f>'4. Budget &amp; Cash Flow (Year 0)'!S85</f>
        <v>0</v>
      </c>
      <c r="H148" s="409">
        <v>0</v>
      </c>
      <c r="I148" s="409">
        <v>0</v>
      </c>
      <c r="J148" s="409">
        <v>0</v>
      </c>
      <c r="K148" s="409">
        <v>0</v>
      </c>
      <c r="L148" s="409">
        <v>0</v>
      </c>
      <c r="M148" s="485"/>
      <c r="N148" s="656"/>
      <c r="O148" s="411"/>
      <c r="P148" s="388"/>
    </row>
    <row r="149" spans="2:16" ht="15.75" customHeight="1" x14ac:dyDescent="0.25">
      <c r="B149" s="382"/>
      <c r="C149" s="400"/>
      <c r="D149" s="504" t="s">
        <v>54</v>
      </c>
      <c r="E149" s="505"/>
      <c r="F149" s="495"/>
      <c r="G149" s="418">
        <f>'4. Budget &amp; Cash Flow (Year 0)'!S86</f>
        <v>0</v>
      </c>
      <c r="H149" s="409">
        <v>0</v>
      </c>
      <c r="I149" s="409">
        <v>0</v>
      </c>
      <c r="J149" s="409">
        <v>0</v>
      </c>
      <c r="K149" s="409">
        <v>0</v>
      </c>
      <c r="L149" s="409">
        <v>0</v>
      </c>
      <c r="M149" s="485"/>
      <c r="N149" s="656"/>
      <c r="O149" s="411"/>
      <c r="P149" s="388"/>
    </row>
    <row r="150" spans="2:16" ht="15.75" customHeight="1" x14ac:dyDescent="0.25">
      <c r="B150" s="382"/>
      <c r="C150" s="400"/>
      <c r="D150" s="504" t="s">
        <v>529</v>
      </c>
      <c r="E150" s="505"/>
      <c r="F150" s="495"/>
      <c r="G150" s="418">
        <f>'4. Budget &amp; Cash Flow (Year 0)'!S87</f>
        <v>0</v>
      </c>
      <c r="H150" s="409">
        <v>0</v>
      </c>
      <c r="I150" s="409">
        <v>25000</v>
      </c>
      <c r="J150" s="409">
        <f>I150*1.03</f>
        <v>25750</v>
      </c>
      <c r="K150" s="409">
        <f t="shared" ref="K150:L150" si="5">J150*1.03</f>
        <v>26522.5</v>
      </c>
      <c r="L150" s="409">
        <f t="shared" si="5"/>
        <v>27318.174999999999</v>
      </c>
      <c r="M150" s="485"/>
      <c r="N150" s="656"/>
      <c r="O150" s="411"/>
      <c r="P150" s="388"/>
    </row>
    <row r="151" spans="2:16" ht="15.75" customHeight="1" x14ac:dyDescent="0.25">
      <c r="B151" s="382"/>
      <c r="C151" s="400"/>
      <c r="D151" s="504" t="s">
        <v>530</v>
      </c>
      <c r="E151" s="505"/>
      <c r="F151" s="495"/>
      <c r="G151" s="418">
        <f>'4. Budget &amp; Cash Flow (Year 0)'!S88</f>
        <v>0</v>
      </c>
      <c r="H151" s="409">
        <v>7500</v>
      </c>
      <c r="I151" s="409">
        <f>600*50</f>
        <v>30000</v>
      </c>
      <c r="J151" s="409">
        <v>78000</v>
      </c>
      <c r="K151" s="409">
        <f>525*75</f>
        <v>39375</v>
      </c>
      <c r="L151" s="409">
        <f>50*600</f>
        <v>30000</v>
      </c>
      <c r="M151" s="485"/>
      <c r="N151" s="656"/>
      <c r="O151" s="411"/>
      <c r="P151" s="388"/>
    </row>
    <row r="152" spans="2:16" ht="15.75" customHeight="1" x14ac:dyDescent="0.25">
      <c r="B152" s="382"/>
      <c r="C152" s="400"/>
      <c r="D152" s="608" t="s">
        <v>531</v>
      </c>
      <c r="E152" s="609"/>
      <c r="F152" s="495"/>
      <c r="G152" s="418">
        <f>'4. Budget &amp; Cash Flow (Year 0)'!S89</f>
        <v>0</v>
      </c>
      <c r="H152" s="544">
        <v>6500</v>
      </c>
      <c r="I152" s="409">
        <v>60000</v>
      </c>
      <c r="J152" s="409">
        <f>I152*1.05</f>
        <v>63000</v>
      </c>
      <c r="K152" s="409">
        <f t="shared" ref="K152:L152" si="6">J152*1.05</f>
        <v>66150</v>
      </c>
      <c r="L152" s="409">
        <f t="shared" si="6"/>
        <v>69457.5</v>
      </c>
      <c r="M152" s="485"/>
      <c r="N152" s="656"/>
      <c r="O152" s="411"/>
      <c r="P152" s="388"/>
    </row>
    <row r="153" spans="2:16" ht="15.75" customHeight="1" x14ac:dyDescent="0.25">
      <c r="B153" s="382"/>
      <c r="C153" s="400"/>
      <c r="D153" s="608" t="s">
        <v>50</v>
      </c>
      <c r="E153" s="609"/>
      <c r="F153" s="495"/>
      <c r="G153" s="418">
        <f>'4. Budget &amp; Cash Flow (Year 0)'!S90</f>
        <v>0</v>
      </c>
      <c r="H153" s="544">
        <v>4000</v>
      </c>
      <c r="I153" s="409">
        <v>6000</v>
      </c>
      <c r="J153" s="409">
        <f t="shared" ref="J153:L153" si="7">I153*1.05</f>
        <v>6300</v>
      </c>
      <c r="K153" s="409">
        <f t="shared" si="7"/>
        <v>6615</v>
      </c>
      <c r="L153" s="409">
        <f t="shared" si="7"/>
        <v>6945.75</v>
      </c>
      <c r="M153" s="485"/>
      <c r="N153" s="656"/>
      <c r="O153" s="411"/>
      <c r="P153" s="388"/>
    </row>
    <row r="154" spans="2:16" ht="15.75" customHeight="1" x14ac:dyDescent="0.25">
      <c r="B154" s="382"/>
      <c r="C154" s="400"/>
      <c r="D154" s="608" t="s">
        <v>532</v>
      </c>
      <c r="E154" s="609"/>
      <c r="F154" s="495"/>
      <c r="G154" s="418">
        <f>'4. Budget &amp; Cash Flow (Year 0)'!S91</f>
        <v>0</v>
      </c>
      <c r="H154" s="544">
        <v>7500</v>
      </c>
      <c r="I154" s="409">
        <v>50000</v>
      </c>
      <c r="J154" s="409">
        <f t="shared" ref="J154:L154" si="8">I154*1.05</f>
        <v>52500</v>
      </c>
      <c r="K154" s="409">
        <f t="shared" si="8"/>
        <v>55125</v>
      </c>
      <c r="L154" s="409">
        <f t="shared" si="8"/>
        <v>57881.25</v>
      </c>
      <c r="M154" s="485"/>
      <c r="N154" s="656"/>
      <c r="O154" s="411"/>
      <c r="P154" s="388"/>
    </row>
    <row r="155" spans="2:16" ht="15.75" customHeight="1" x14ac:dyDescent="0.25">
      <c r="B155" s="382"/>
      <c r="C155" s="400"/>
      <c r="D155" s="608" t="s">
        <v>533</v>
      </c>
      <c r="E155" s="609"/>
      <c r="F155" s="495"/>
      <c r="G155" s="418">
        <f>'4. Budget &amp; Cash Flow (Year 0)'!S92</f>
        <v>0</v>
      </c>
      <c r="H155" s="544">
        <v>15000</v>
      </c>
      <c r="I155" s="409">
        <v>75000</v>
      </c>
      <c r="J155" s="409">
        <f t="shared" ref="J155:L155" si="9">I155*1.05</f>
        <v>78750</v>
      </c>
      <c r="K155" s="409">
        <f t="shared" si="9"/>
        <v>82687.5</v>
      </c>
      <c r="L155" s="409">
        <f t="shared" si="9"/>
        <v>86821.875</v>
      </c>
      <c r="M155" s="485"/>
      <c r="N155" s="656"/>
      <c r="O155" s="411"/>
      <c r="P155" s="388"/>
    </row>
    <row r="156" spans="2:16" ht="15.75" customHeight="1" x14ac:dyDescent="0.25">
      <c r="B156" s="382"/>
      <c r="C156" s="400"/>
      <c r="D156" s="608" t="s">
        <v>51</v>
      </c>
      <c r="E156" s="609"/>
      <c r="F156" s="495"/>
      <c r="G156" s="418">
        <f>'4. Budget &amp; Cash Flow (Year 0)'!S93</f>
        <v>0</v>
      </c>
      <c r="H156" s="544">
        <f>2000-13.34</f>
        <v>1986.66</v>
      </c>
      <c r="I156" s="409">
        <f>3000+14.53</f>
        <v>3014.53</v>
      </c>
      <c r="J156" s="409">
        <f>I156*1.05-7.03</f>
        <v>3158.2265000000002</v>
      </c>
      <c r="K156" s="409">
        <f>J156*1.05+110.88</f>
        <v>3427.0178250000004</v>
      </c>
      <c r="L156" s="409">
        <f>K156*1.05+8.08</f>
        <v>3606.4487162500004</v>
      </c>
      <c r="M156" s="485"/>
      <c r="N156" s="656"/>
      <c r="O156" s="411"/>
      <c r="P156" s="388"/>
    </row>
    <row r="157" spans="2:16" ht="15.75" customHeight="1" x14ac:dyDescent="0.25">
      <c r="B157" s="382"/>
      <c r="C157" s="400"/>
      <c r="D157" s="608" t="s">
        <v>536</v>
      </c>
      <c r="E157" s="609"/>
      <c r="F157" s="495"/>
      <c r="G157" s="418">
        <f>'4. Budget &amp; Cash Flow (Year 0)'!S94</f>
        <v>0</v>
      </c>
      <c r="H157" s="409">
        <v>0</v>
      </c>
      <c r="I157" s="409">
        <v>0</v>
      </c>
      <c r="J157" s="409">
        <v>0</v>
      </c>
      <c r="K157" s="409">
        <v>0</v>
      </c>
      <c r="L157" s="409">
        <v>0</v>
      </c>
      <c r="M157" s="485"/>
      <c r="N157" s="656"/>
      <c r="O157" s="411"/>
      <c r="P157" s="388"/>
    </row>
    <row r="158" spans="2:16" ht="15.75" customHeight="1" x14ac:dyDescent="0.25">
      <c r="B158" s="382"/>
      <c r="C158" s="400"/>
      <c r="D158" s="608" t="s">
        <v>537</v>
      </c>
      <c r="E158" s="609"/>
      <c r="F158" s="495"/>
      <c r="G158" s="418">
        <f>'4. Budget &amp; Cash Flow (Year 0)'!S95</f>
        <v>0</v>
      </c>
      <c r="H158" s="409">
        <v>0</v>
      </c>
      <c r="I158" s="409">
        <v>0</v>
      </c>
      <c r="J158" s="409">
        <v>0</v>
      </c>
      <c r="K158" s="409">
        <v>0</v>
      </c>
      <c r="L158" s="409">
        <v>0</v>
      </c>
      <c r="M158" s="485"/>
      <c r="N158" s="657"/>
      <c r="O158" s="403"/>
      <c r="P158" s="388"/>
    </row>
    <row r="159" spans="2:16" ht="15.75" customHeight="1" x14ac:dyDescent="0.25">
      <c r="B159" s="382"/>
      <c r="C159" s="400"/>
      <c r="D159" s="504"/>
      <c r="E159" s="505"/>
      <c r="F159" s="120"/>
      <c r="G159" s="419"/>
      <c r="H159" s="117"/>
      <c r="I159" s="117"/>
      <c r="J159" s="117"/>
      <c r="K159" s="117"/>
      <c r="L159" s="402"/>
      <c r="M159" s="386"/>
      <c r="N159" s="468"/>
      <c r="O159" s="411"/>
      <c r="P159" s="388"/>
    </row>
    <row r="160" spans="2:16" ht="15.75" customHeight="1" x14ac:dyDescent="0.25">
      <c r="B160" s="382"/>
      <c r="C160" s="400"/>
      <c r="D160" s="606" t="s">
        <v>52</v>
      </c>
      <c r="E160" s="607"/>
      <c r="F160" s="119"/>
      <c r="G160" s="420">
        <f t="shared" ref="G160:L160" si="10">SUM(G143:G158)</f>
        <v>0</v>
      </c>
      <c r="H160" s="430">
        <f t="shared" si="10"/>
        <v>60486.66</v>
      </c>
      <c r="I160" s="430">
        <f t="shared" si="10"/>
        <v>399014.53</v>
      </c>
      <c r="J160" s="430">
        <f t="shared" si="10"/>
        <v>557458.22649999999</v>
      </c>
      <c r="K160" s="430">
        <f t="shared" si="10"/>
        <v>529902.01782499999</v>
      </c>
      <c r="L160" s="430">
        <f t="shared" si="10"/>
        <v>572030.99871625006</v>
      </c>
      <c r="M160" s="479"/>
      <c r="N160" s="489"/>
      <c r="O160" s="411"/>
      <c r="P160" s="388"/>
    </row>
    <row r="161" spans="2:36" ht="15.75" customHeight="1" x14ac:dyDescent="0.25">
      <c r="B161" s="382"/>
      <c r="C161" s="400"/>
      <c r="D161" s="504"/>
      <c r="E161" s="505"/>
      <c r="F161" s="120"/>
      <c r="G161" s="421"/>
      <c r="H161" s="118"/>
      <c r="I161" s="118"/>
      <c r="J161" s="118"/>
      <c r="K161" s="118"/>
      <c r="L161" s="417"/>
      <c r="M161" s="386"/>
      <c r="N161" s="467"/>
      <c r="O161" s="411"/>
      <c r="P161" s="388"/>
    </row>
    <row r="162" spans="2:36" ht="15.75" customHeight="1" x14ac:dyDescent="0.25">
      <c r="B162" s="382"/>
      <c r="C162" s="400"/>
      <c r="D162" s="614" t="s">
        <v>116</v>
      </c>
      <c r="E162" s="615"/>
      <c r="F162" s="385"/>
      <c r="G162" s="427"/>
      <c r="H162" s="422"/>
      <c r="I162" s="422"/>
      <c r="J162" s="422"/>
      <c r="K162" s="422"/>
      <c r="L162" s="423"/>
      <c r="M162" s="386"/>
      <c r="N162" s="17" t="s">
        <v>569</v>
      </c>
      <c r="O162" s="411"/>
      <c r="P162" s="388"/>
    </row>
    <row r="163" spans="2:36" ht="15.75" customHeight="1" x14ac:dyDescent="0.25">
      <c r="B163" s="382"/>
      <c r="C163" s="400"/>
      <c r="D163" s="604" t="s">
        <v>539</v>
      </c>
      <c r="E163" s="609"/>
      <c r="F163" s="120"/>
      <c r="G163" s="499"/>
      <c r="H163" s="406">
        <f>IF('2. Enrollment Projections'!E33 &gt; 0, '2. Enrollment Projections'!E43*0.0025, ('2. Enrollment Projections'!E41*0.0025) - (('2. Enrollment Projections'!E33*((VLOOKUP('1. Instructions'!$E$8,CONTROL!$C$17:$G$306,2,FALSE))*CONTROL!J19)*0.0025)))</f>
        <v>1539.399375</v>
      </c>
      <c r="I163" s="406">
        <f>IF('2. Enrollment Projections'!F33 &gt; 0, '2. Enrollment Projections'!F43*0.005, ('2. Enrollment Projections'!F41*0.005) - (('2. Enrollment Projections'!F33*((VLOOKUP('1. Instructions'!$E$8,CONTROL!$C$17:$G$306,2,FALSE))*CONTROL!K19)*0.005)))</f>
        <v>4618.1981249999999</v>
      </c>
      <c r="J163" s="406">
        <f>IF('2. Enrollment Projections'!G33 &gt; 0, '2. Enrollment Projections'!G43*0.005, ('2. Enrollment Projections'!G41*0.005) - (('2. Enrollment Projections'!G33*((VLOOKUP('1. Instructions'!$E$8,CONTROL!$C$17:$G$306,2,FALSE))*CONTROL!K19)*0.005)))</f>
        <v>6927.2971875000003</v>
      </c>
      <c r="K163" s="406">
        <f>IF('2. Enrollment Projections'!H33 &gt; 0, '2. Enrollment Projections'!H43*0.005, ('2. Enrollment Projections'!H41*0.005) - (('2. Enrollment Projections'!H33*((VLOOKUP('1. Instructions'!$E$8,CONTROL!$C$17:$G$306,2,FALSE))*CONTROL!K19)*0.005)))</f>
        <v>9236.3962499999998</v>
      </c>
      <c r="L163" s="406">
        <f>IF('2. Enrollment Projections'!I33 &gt; 0, '2. Enrollment Projections'!I43*0.005, ('2. Enrollment Projections'!I41*0.005) - (('2. Enrollment Projections'!I33*((VLOOKUP('1. Instructions'!$E$8,CONTROL!$C$17:$G$306,2,FALSE))*CONTROL!K19)*0.005)))</f>
        <v>10775.795625000001</v>
      </c>
      <c r="M163" s="477"/>
      <c r="N163" s="652"/>
      <c r="O163" s="403"/>
      <c r="P163" s="388"/>
    </row>
    <row r="164" spans="2:36" ht="15.75" customHeight="1" x14ac:dyDescent="0.25">
      <c r="B164" s="382"/>
      <c r="C164" s="400"/>
      <c r="D164" s="604" t="s">
        <v>540</v>
      </c>
      <c r="E164" s="605"/>
      <c r="F164" s="438"/>
      <c r="G164" s="418">
        <f>'4. Budget &amp; Cash Flow (Year 0)'!S100</f>
        <v>0</v>
      </c>
      <c r="H164" s="409"/>
      <c r="I164" s="409"/>
      <c r="J164" s="409"/>
      <c r="K164" s="409"/>
      <c r="L164" s="409"/>
      <c r="M164" s="486"/>
      <c r="N164" s="653"/>
      <c r="O164" s="403"/>
      <c r="P164" s="388"/>
    </row>
    <row r="165" spans="2:36" ht="15.75" customHeight="1" x14ac:dyDescent="0.25">
      <c r="B165" s="382"/>
      <c r="C165" s="400"/>
      <c r="D165" s="608" t="s">
        <v>53</v>
      </c>
      <c r="E165" s="609"/>
      <c r="F165" s="495"/>
      <c r="G165" s="418">
        <f>'4. Budget &amp; Cash Flow (Year 0)'!S101</f>
        <v>0</v>
      </c>
      <c r="H165" s="409"/>
      <c r="I165" s="409"/>
      <c r="J165" s="409"/>
      <c r="K165" s="409"/>
      <c r="L165" s="409"/>
      <c r="M165" s="486"/>
      <c r="N165" s="653"/>
      <c r="O165" s="403"/>
      <c r="P165" s="388"/>
    </row>
    <row r="166" spans="2:36" ht="15.75" customHeight="1" x14ac:dyDescent="0.25">
      <c r="B166" s="382"/>
      <c r="C166" s="400"/>
      <c r="D166" s="608" t="s">
        <v>541</v>
      </c>
      <c r="E166" s="609"/>
      <c r="F166" s="120"/>
      <c r="G166" s="418"/>
      <c r="H166" s="409">
        <v>0</v>
      </c>
      <c r="I166" s="409">
        <v>0</v>
      </c>
      <c r="J166" s="409">
        <v>0</v>
      </c>
      <c r="K166" s="409">
        <v>0</v>
      </c>
      <c r="L166" s="409">
        <v>0</v>
      </c>
      <c r="M166" s="486"/>
      <c r="N166" s="653"/>
      <c r="O166" s="411"/>
      <c r="P166" s="388"/>
    </row>
    <row r="167" spans="2:36" ht="15.75" customHeight="1" x14ac:dyDescent="0.25">
      <c r="B167" s="382"/>
      <c r="C167" s="400"/>
      <c r="D167" s="604" t="s">
        <v>538</v>
      </c>
      <c r="E167" s="605"/>
      <c r="F167" s="438"/>
      <c r="G167" s="418">
        <f>'4. Budget &amp; Cash Flow (Year 0)'!S102</f>
        <v>0</v>
      </c>
      <c r="H167" s="409">
        <v>0</v>
      </c>
      <c r="I167" s="409">
        <v>0</v>
      </c>
      <c r="J167" s="409">
        <v>0</v>
      </c>
      <c r="K167" s="409">
        <v>0</v>
      </c>
      <c r="L167" s="409">
        <v>0</v>
      </c>
      <c r="M167" s="486"/>
      <c r="N167" s="654"/>
      <c r="O167" s="403"/>
      <c r="P167" s="388"/>
    </row>
    <row r="168" spans="2:36" ht="15.75" customHeight="1" x14ac:dyDescent="0.25">
      <c r="B168" s="382"/>
      <c r="C168" s="400"/>
      <c r="D168" s="504"/>
      <c r="E168" s="505"/>
      <c r="F168" s="120"/>
      <c r="G168" s="419"/>
      <c r="H168" s="117"/>
      <c r="I168" s="117"/>
      <c r="J168" s="117"/>
      <c r="K168" s="117"/>
      <c r="L168" s="402"/>
      <c r="M168" s="386"/>
      <c r="N168" s="467"/>
      <c r="O168" s="411"/>
      <c r="P168" s="388"/>
    </row>
    <row r="169" spans="2:36" ht="15.75" customHeight="1" x14ac:dyDescent="0.25">
      <c r="B169" s="382"/>
      <c r="C169" s="400"/>
      <c r="D169" s="606" t="s">
        <v>55</v>
      </c>
      <c r="E169" s="607"/>
      <c r="F169" s="119"/>
      <c r="G169" s="430">
        <f t="shared" ref="G169:L169" si="11">SUM(G163:G167)</f>
        <v>0</v>
      </c>
      <c r="H169" s="430">
        <f t="shared" si="11"/>
        <v>1539.399375</v>
      </c>
      <c r="I169" s="430">
        <f t="shared" si="11"/>
        <v>4618.1981249999999</v>
      </c>
      <c r="J169" s="430">
        <f t="shared" si="11"/>
        <v>6927.2971875000003</v>
      </c>
      <c r="K169" s="430">
        <f t="shared" si="11"/>
        <v>9236.3962499999998</v>
      </c>
      <c r="L169" s="430">
        <f t="shared" si="11"/>
        <v>10775.795625000001</v>
      </c>
      <c r="M169" s="480"/>
      <c r="N169" s="467"/>
      <c r="O169" s="411"/>
      <c r="P169" s="388"/>
      <c r="Q169" s="444"/>
    </row>
    <row r="170" spans="2:36" ht="15.75" customHeight="1" x14ac:dyDescent="0.25">
      <c r="B170" s="382"/>
      <c r="C170" s="400"/>
      <c r="D170" s="608"/>
      <c r="E170" s="609"/>
      <c r="F170" s="120"/>
      <c r="G170" s="419"/>
      <c r="H170" s="117"/>
      <c r="I170" s="117"/>
      <c r="J170" s="117"/>
      <c r="K170" s="117"/>
      <c r="L170" s="402"/>
      <c r="M170" s="386"/>
      <c r="N170" s="467"/>
      <c r="O170" s="411"/>
      <c r="P170" s="388"/>
    </row>
    <row r="171" spans="2:36" ht="15.75" customHeight="1" x14ac:dyDescent="0.25">
      <c r="B171" s="382"/>
      <c r="C171" s="400"/>
      <c r="D171" s="610" t="s">
        <v>56</v>
      </c>
      <c r="E171" s="611"/>
      <c r="F171" s="119"/>
      <c r="G171" s="415">
        <f t="shared" ref="G171:L171" si="12">G98+G110+G116+G122+G140+G160+G169</f>
        <v>0</v>
      </c>
      <c r="H171" s="415">
        <f t="shared" si="12"/>
        <v>958520.75437500014</v>
      </c>
      <c r="I171" s="415">
        <f t="shared" si="12"/>
        <v>1734327.6257250002</v>
      </c>
      <c r="J171" s="415">
        <f t="shared" si="12"/>
        <v>2455405.4353875001</v>
      </c>
      <c r="K171" s="415">
        <f t="shared" si="12"/>
        <v>2877307.250949</v>
      </c>
      <c r="L171" s="415">
        <f t="shared" si="12"/>
        <v>3355580.1204728349</v>
      </c>
      <c r="M171" s="481"/>
      <c r="N171" s="467"/>
      <c r="O171" s="411"/>
      <c r="P171" s="388"/>
    </row>
    <row r="172" spans="2:36" ht="15.75" customHeight="1" x14ac:dyDescent="0.25">
      <c r="B172" s="382"/>
      <c r="C172" s="400"/>
      <c r="D172" s="612"/>
      <c r="E172" s="613"/>
      <c r="F172" s="120"/>
      <c r="G172" s="419"/>
      <c r="H172" s="117"/>
      <c r="I172" s="117"/>
      <c r="J172" s="117"/>
      <c r="K172" s="117"/>
      <c r="L172" s="402"/>
      <c r="M172" s="386"/>
      <c r="N172" s="467"/>
      <c r="O172" s="411"/>
      <c r="P172" s="388"/>
    </row>
    <row r="173" spans="2:36" ht="15.75" customHeight="1" thickBot="1" x14ac:dyDescent="0.3">
      <c r="B173" s="382"/>
      <c r="C173" s="400"/>
      <c r="D173" s="596" t="s">
        <v>570</v>
      </c>
      <c r="E173" s="597"/>
      <c r="F173" s="119"/>
      <c r="G173" s="430">
        <f t="shared" ref="G173:L173" si="13">G54-G171</f>
        <v>0</v>
      </c>
      <c r="H173" s="430">
        <f t="shared" si="13"/>
        <v>4238.995624999865</v>
      </c>
      <c r="I173" s="430">
        <f t="shared" si="13"/>
        <v>9811.9992749998346</v>
      </c>
      <c r="J173" s="430">
        <f t="shared" si="13"/>
        <v>10804.002112499904</v>
      </c>
      <c r="K173" s="430">
        <f t="shared" si="13"/>
        <v>10971.999050999992</v>
      </c>
      <c r="L173" s="430">
        <f t="shared" si="13"/>
        <v>14079.004527165089</v>
      </c>
      <c r="M173" s="480"/>
      <c r="N173" s="467"/>
      <c r="O173" s="411"/>
      <c r="P173" s="388"/>
    </row>
    <row r="174" spans="2:36" ht="15" customHeight="1" x14ac:dyDescent="0.25">
      <c r="B174" s="382"/>
      <c r="C174" s="446"/>
      <c r="D174" s="447"/>
      <c r="E174" s="21"/>
      <c r="F174" s="21"/>
      <c r="G174" s="445"/>
      <c r="H174" s="445"/>
      <c r="I174" s="445"/>
      <c r="J174" s="445"/>
      <c r="K174" s="445"/>
      <c r="L174" s="445"/>
      <c r="M174" s="445"/>
      <c r="N174" s="448"/>
      <c r="O174" s="426"/>
      <c r="P174" s="388"/>
    </row>
    <row r="175" spans="2:36" s="449" customFormat="1" ht="15" customHeight="1" x14ac:dyDescent="0.25">
      <c r="B175" s="450"/>
      <c r="C175" s="383"/>
      <c r="D175" s="384"/>
      <c r="E175" s="120"/>
      <c r="F175" s="120"/>
      <c r="G175" s="451"/>
      <c r="H175" s="451"/>
      <c r="I175" s="451"/>
      <c r="J175" s="451"/>
      <c r="K175" s="451"/>
      <c r="L175" s="451"/>
      <c r="M175" s="451"/>
      <c r="N175" s="451"/>
      <c r="O175" s="451"/>
      <c r="P175" s="452"/>
      <c r="Q175" s="453"/>
      <c r="R175" s="454"/>
      <c r="S175" s="454"/>
      <c r="T175" s="454"/>
      <c r="U175" s="454"/>
      <c r="V175" s="454"/>
      <c r="W175" s="454"/>
      <c r="X175" s="454"/>
      <c r="Y175" s="454"/>
      <c r="Z175" s="454"/>
      <c r="AA175" s="454"/>
      <c r="AB175" s="454"/>
      <c r="AC175" s="454"/>
      <c r="AD175" s="454"/>
      <c r="AE175" s="454"/>
      <c r="AF175" s="454"/>
      <c r="AG175" s="454"/>
      <c r="AH175" s="454"/>
      <c r="AI175" s="454"/>
      <c r="AJ175" s="454"/>
    </row>
    <row r="176" spans="2:36" s="449" customFormat="1" ht="18" customHeight="1" x14ac:dyDescent="0.25">
      <c r="B176" s="450"/>
      <c r="C176" s="383"/>
      <c r="D176" s="514" t="s">
        <v>57</v>
      </c>
      <c r="E176" s="120"/>
      <c r="F176" s="120"/>
      <c r="G176" s="451"/>
      <c r="H176" s="451"/>
      <c r="I176" s="451"/>
      <c r="J176" s="451"/>
      <c r="K176" s="451"/>
      <c r="L176" s="451"/>
      <c r="M176" s="451"/>
      <c r="N176" s="451"/>
      <c r="O176" s="451"/>
      <c r="P176" s="452"/>
      <c r="Q176" s="401"/>
      <c r="T176" s="668"/>
      <c r="U176" s="668"/>
      <c r="V176" s="454"/>
      <c r="W176" s="454"/>
      <c r="X176" s="454"/>
      <c r="Y176" s="454"/>
      <c r="Z176" s="454"/>
      <c r="AA176" s="454"/>
      <c r="AB176" s="454"/>
      <c r="AC176" s="454"/>
      <c r="AD176" s="454"/>
      <c r="AE176" s="454"/>
      <c r="AF176" s="454"/>
      <c r="AG176" s="454"/>
      <c r="AH176" s="454"/>
      <c r="AI176" s="454"/>
      <c r="AJ176" s="454"/>
    </row>
    <row r="177" spans="2:21" ht="24.95" customHeight="1" x14ac:dyDescent="0.25">
      <c r="B177" s="382"/>
      <c r="C177" s="383"/>
      <c r="D177" s="602" t="s">
        <v>542</v>
      </c>
      <c r="E177" s="659"/>
      <c r="F177" s="659"/>
      <c r="G177" s="659"/>
      <c r="H177" s="659"/>
      <c r="I177" s="659"/>
      <c r="J177" s="659"/>
      <c r="K177" s="659"/>
      <c r="L177" s="659"/>
      <c r="M177" s="659"/>
      <c r="N177" s="659"/>
      <c r="O177" s="471"/>
      <c r="P177" s="472"/>
      <c r="Q177" s="526"/>
      <c r="T177" s="455"/>
      <c r="U177" s="401"/>
    </row>
    <row r="178" spans="2:21" ht="24.95" customHeight="1" x14ac:dyDescent="0.25">
      <c r="B178" s="382"/>
      <c r="C178" s="383"/>
      <c r="D178" s="602" t="s">
        <v>440</v>
      </c>
      <c r="E178" s="659"/>
      <c r="F178" s="659"/>
      <c r="G178" s="659"/>
      <c r="H178" s="659"/>
      <c r="I178" s="659"/>
      <c r="J178" s="659"/>
      <c r="K178" s="659"/>
      <c r="L178" s="659"/>
      <c r="M178" s="659"/>
      <c r="N178" s="659"/>
      <c r="O178" s="471"/>
      <c r="P178" s="472"/>
      <c r="Q178" s="526"/>
      <c r="T178" s="455"/>
      <c r="U178" s="401"/>
    </row>
    <row r="179" spans="2:21" ht="24.95" customHeight="1" x14ac:dyDescent="0.25">
      <c r="B179" s="382"/>
      <c r="C179" s="383"/>
      <c r="D179" s="602" t="s">
        <v>543</v>
      </c>
      <c r="E179" s="659"/>
      <c r="F179" s="659"/>
      <c r="G179" s="659"/>
      <c r="H179" s="659"/>
      <c r="I179" s="659"/>
      <c r="J179" s="659"/>
      <c r="K179" s="659"/>
      <c r="L179" s="659"/>
      <c r="M179" s="659"/>
      <c r="N179" s="659"/>
      <c r="O179" s="471"/>
      <c r="P179" s="472"/>
      <c r="Q179" s="526"/>
      <c r="T179" s="455"/>
      <c r="U179" s="401"/>
    </row>
    <row r="180" spans="2:21" ht="18" customHeight="1" x14ac:dyDescent="0.25">
      <c r="B180" s="382"/>
      <c r="C180" s="383"/>
      <c r="D180" s="602" t="s">
        <v>544</v>
      </c>
      <c r="E180" s="659"/>
      <c r="F180" s="659"/>
      <c r="G180" s="659"/>
      <c r="H180" s="659"/>
      <c r="I180" s="659"/>
      <c r="J180" s="659"/>
      <c r="K180" s="659"/>
      <c r="L180" s="659"/>
      <c r="M180" s="659"/>
      <c r="N180" s="659"/>
      <c r="O180" s="471"/>
      <c r="P180" s="472"/>
      <c r="Q180" s="526"/>
    </row>
    <row r="181" spans="2:21" ht="15" customHeight="1" x14ac:dyDescent="0.25">
      <c r="B181" s="382"/>
      <c r="C181" s="383"/>
      <c r="D181" s="602" t="s">
        <v>545</v>
      </c>
      <c r="E181" s="659"/>
      <c r="F181" s="659"/>
      <c r="G181" s="659"/>
      <c r="H181" s="659"/>
      <c r="I181" s="659"/>
      <c r="J181" s="659"/>
      <c r="K181" s="659"/>
      <c r="L181" s="659"/>
      <c r="M181" s="659"/>
      <c r="N181" s="659"/>
      <c r="O181" s="471"/>
      <c r="P181" s="472"/>
      <c r="Q181" s="526"/>
    </row>
    <row r="182" spans="2:21" ht="17.25" customHeight="1" x14ac:dyDescent="0.25">
      <c r="B182" s="382"/>
      <c r="C182" s="432"/>
      <c r="D182" s="602" t="s">
        <v>551</v>
      </c>
      <c r="E182" s="603"/>
      <c r="F182" s="603"/>
      <c r="G182" s="603"/>
      <c r="H182" s="603"/>
      <c r="I182" s="603"/>
      <c r="J182" s="603"/>
      <c r="K182" s="603"/>
      <c r="L182" s="603"/>
      <c r="M182" s="603"/>
      <c r="N182" s="603"/>
      <c r="O182" s="471"/>
      <c r="P182" s="472"/>
      <c r="Q182" s="526"/>
    </row>
    <row r="183" spans="2:21" ht="43.5" customHeight="1" x14ac:dyDescent="0.25">
      <c r="B183" s="382"/>
      <c r="C183" s="383"/>
      <c r="D183" s="602" t="s">
        <v>552</v>
      </c>
      <c r="E183" s="603"/>
      <c r="F183" s="603"/>
      <c r="G183" s="603"/>
      <c r="H183" s="603"/>
      <c r="I183" s="603"/>
      <c r="J183" s="603"/>
      <c r="K183" s="603"/>
      <c r="L183" s="603"/>
      <c r="M183" s="603"/>
      <c r="N183" s="603"/>
      <c r="O183" s="471"/>
      <c r="P183" s="472"/>
      <c r="Q183" s="526"/>
    </row>
    <row r="184" spans="2:21" ht="17.25" customHeight="1" x14ac:dyDescent="0.25">
      <c r="B184" s="382"/>
      <c r="C184" s="383"/>
      <c r="D184" s="602" t="s">
        <v>553</v>
      </c>
      <c r="E184" s="603"/>
      <c r="F184" s="603"/>
      <c r="G184" s="603"/>
      <c r="H184" s="603"/>
      <c r="I184" s="603"/>
      <c r="J184" s="603"/>
      <c r="K184" s="603"/>
      <c r="L184" s="603"/>
      <c r="M184" s="603"/>
      <c r="N184" s="603"/>
      <c r="O184" s="473"/>
      <c r="P184" s="474"/>
      <c r="Q184" s="527"/>
    </row>
    <row r="185" spans="2:21" ht="15" customHeight="1" thickBot="1" x14ac:dyDescent="0.3">
      <c r="B185" s="456"/>
      <c r="C185" s="457"/>
      <c r="D185" s="458"/>
      <c r="E185" s="459"/>
      <c r="F185" s="459"/>
      <c r="G185" s="459"/>
      <c r="H185" s="459"/>
      <c r="I185" s="459"/>
      <c r="J185" s="459"/>
      <c r="K185" s="459"/>
      <c r="L185" s="460"/>
      <c r="M185" s="460"/>
      <c r="N185" s="461"/>
      <c r="O185" s="461"/>
      <c r="P185" s="462"/>
    </row>
  </sheetData>
  <sheetProtection password="BDDB" sheet="1" objects="1" scenarios="1" selectLockedCells="1"/>
  <mergeCells count="159">
    <mergeCell ref="D18:E18"/>
    <mergeCell ref="D30:E30"/>
    <mergeCell ref="D31:E31"/>
    <mergeCell ref="D32:E32"/>
    <mergeCell ref="H100:L100"/>
    <mergeCell ref="D16:E16"/>
    <mergeCell ref="D17:E17"/>
    <mergeCell ref="D27:E27"/>
    <mergeCell ref="D28:E28"/>
    <mergeCell ref="H33:L33"/>
    <mergeCell ref="D24:E24"/>
    <mergeCell ref="D36:E36"/>
    <mergeCell ref="D37:E37"/>
    <mergeCell ref="D38:E38"/>
    <mergeCell ref="D39:E39"/>
    <mergeCell ref="D33:E33"/>
    <mergeCell ref="D19:E19"/>
    <mergeCell ref="D20:E20"/>
    <mergeCell ref="D29:E29"/>
    <mergeCell ref="D34:E34"/>
    <mergeCell ref="D35:E35"/>
    <mergeCell ref="D25:E25"/>
    <mergeCell ref="D26:E26"/>
    <mergeCell ref="D21:E21"/>
    <mergeCell ref="D22:E22"/>
    <mergeCell ref="D23:E23"/>
    <mergeCell ref="D46:E46"/>
    <mergeCell ref="D47:E47"/>
    <mergeCell ref="D48:E48"/>
    <mergeCell ref="D49:E49"/>
    <mergeCell ref="D50:E50"/>
    <mergeCell ref="D59:E59"/>
    <mergeCell ref="D40:E40"/>
    <mergeCell ref="D41:E41"/>
    <mergeCell ref="D42:E42"/>
    <mergeCell ref="D43:E43"/>
    <mergeCell ref="D44:E44"/>
    <mergeCell ref="D45:E45"/>
    <mergeCell ref="D65:E65"/>
    <mergeCell ref="D67:E67"/>
    <mergeCell ref="D68:E68"/>
    <mergeCell ref="D69:E69"/>
    <mergeCell ref="D60:E60"/>
    <mergeCell ref="D61:E61"/>
    <mergeCell ref="D62:E62"/>
    <mergeCell ref="D63:E63"/>
    <mergeCell ref="D51:E51"/>
    <mergeCell ref="D52:E52"/>
    <mergeCell ref="D53:E53"/>
    <mergeCell ref="D54:E54"/>
    <mergeCell ref="D56:E57"/>
    <mergeCell ref="D76:E76"/>
    <mergeCell ref="D77:E77"/>
    <mergeCell ref="D78:E78"/>
    <mergeCell ref="D79:E79"/>
    <mergeCell ref="D80:E80"/>
    <mergeCell ref="D81:E81"/>
    <mergeCell ref="D70:E70"/>
    <mergeCell ref="D71:E71"/>
    <mergeCell ref="D73:E73"/>
    <mergeCell ref="D75:E75"/>
    <mergeCell ref="D88:E88"/>
    <mergeCell ref="D90:E90"/>
    <mergeCell ref="D91:E91"/>
    <mergeCell ref="D92:E92"/>
    <mergeCell ref="D93:E93"/>
    <mergeCell ref="D82:E82"/>
    <mergeCell ref="D83:E83"/>
    <mergeCell ref="D84:E84"/>
    <mergeCell ref="D86:E86"/>
    <mergeCell ref="D100:E100"/>
    <mergeCell ref="D101:E101"/>
    <mergeCell ref="D102:E102"/>
    <mergeCell ref="D103:E103"/>
    <mergeCell ref="D104:E104"/>
    <mergeCell ref="D105:E105"/>
    <mergeCell ref="D94:E94"/>
    <mergeCell ref="D96:E96"/>
    <mergeCell ref="D98:E98"/>
    <mergeCell ref="D119:E119"/>
    <mergeCell ref="D120:E120"/>
    <mergeCell ref="D122:E122"/>
    <mergeCell ref="D114:E114"/>
    <mergeCell ref="D116:E116"/>
    <mergeCell ref="D118:E118"/>
    <mergeCell ref="D112:E112"/>
    <mergeCell ref="D113:E113"/>
    <mergeCell ref="D106:E106"/>
    <mergeCell ref="D107:E107"/>
    <mergeCell ref="D108:E108"/>
    <mergeCell ref="D110:E110"/>
    <mergeCell ref="D128:E128"/>
    <mergeCell ref="D129:E129"/>
    <mergeCell ref="D130:E130"/>
    <mergeCell ref="D131:E131"/>
    <mergeCell ref="D132:E132"/>
    <mergeCell ref="D138:E138"/>
    <mergeCell ref="D140:E140"/>
    <mergeCell ref="D124:E124"/>
    <mergeCell ref="D125:E125"/>
    <mergeCell ref="D126:E126"/>
    <mergeCell ref="D127:E127"/>
    <mergeCell ref="D143:E143"/>
    <mergeCell ref="D144:E144"/>
    <mergeCell ref="D133:E133"/>
    <mergeCell ref="D134:E134"/>
    <mergeCell ref="D135:E135"/>
    <mergeCell ref="D136:E136"/>
    <mergeCell ref="D137:E137"/>
    <mergeCell ref="D183:N183"/>
    <mergeCell ref="D152:E152"/>
    <mergeCell ref="D153:E153"/>
    <mergeCell ref="T176:U176"/>
    <mergeCell ref="D162:E162"/>
    <mergeCell ref="D163:E163"/>
    <mergeCell ref="D157:E157"/>
    <mergeCell ref="D158:E158"/>
    <mergeCell ref="D160:E160"/>
    <mergeCell ref="D170:E170"/>
    <mergeCell ref="D171:E171"/>
    <mergeCell ref="D172:E172"/>
    <mergeCell ref="D173:E173"/>
    <mergeCell ref="D166:E166"/>
    <mergeCell ref="D167:E167"/>
    <mergeCell ref="D169:E169"/>
    <mergeCell ref="D2:N2"/>
    <mergeCell ref="D13:E14"/>
    <mergeCell ref="G13:G14"/>
    <mergeCell ref="H13:H14"/>
    <mergeCell ref="I13:I14"/>
    <mergeCell ref="J13:J14"/>
    <mergeCell ref="K13:K14"/>
    <mergeCell ref="L13:L14"/>
    <mergeCell ref="N13:N14"/>
    <mergeCell ref="D8:N8"/>
    <mergeCell ref="D184:N184"/>
    <mergeCell ref="D10:N10"/>
    <mergeCell ref="N17:N29"/>
    <mergeCell ref="N91:N98"/>
    <mergeCell ref="N76:N84"/>
    <mergeCell ref="N46:N50"/>
    <mergeCell ref="N34:N41"/>
    <mergeCell ref="N113:N116"/>
    <mergeCell ref="N119:N122"/>
    <mergeCell ref="N125:N138"/>
    <mergeCell ref="D178:N178"/>
    <mergeCell ref="D179:N179"/>
    <mergeCell ref="D180:N180"/>
    <mergeCell ref="D181:N181"/>
    <mergeCell ref="D182:N182"/>
    <mergeCell ref="N143:N158"/>
    <mergeCell ref="N163:N167"/>
    <mergeCell ref="D177:N177"/>
    <mergeCell ref="D164:E164"/>
    <mergeCell ref="D165:E165"/>
    <mergeCell ref="D154:E154"/>
    <mergeCell ref="D155:E155"/>
    <mergeCell ref="D156:E156"/>
    <mergeCell ref="D142:E142"/>
  </mergeCells>
  <conditionalFormatting sqref="G89:M89">
    <cfRule type="cellIs" dxfId="60" priority="2" stopIfTrue="1" operator="equal">
      <formula>"ERROR"</formula>
    </cfRule>
    <cfRule type="cellIs" dxfId="59" priority="4" stopIfTrue="1" operator="equal">
      <formula>"ERROR"</formula>
    </cfRule>
  </conditionalFormatting>
  <conditionalFormatting sqref="G99:M99">
    <cfRule type="cellIs" dxfId="58" priority="3" stopIfTrue="1" operator="equal">
      <formula>"ERROR"</formula>
    </cfRule>
  </conditionalFormatting>
  <conditionalFormatting sqref="G173:M173">
    <cfRule type="cellIs" dxfId="57" priority="1" stopIfTrue="1" operator="lessThan">
      <formula>0</formula>
    </cfRule>
  </conditionalFormatting>
  <pageMargins left="0.7" right="0.7" top="0.75" bottom="0.75" header="0.3" footer="0.3"/>
  <pageSetup scale="91"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0000"/>
  </sheetPr>
  <dimension ref="B2:N306"/>
  <sheetViews>
    <sheetView workbookViewId="0">
      <selection activeCell="I22" sqref="I22"/>
    </sheetView>
  </sheetViews>
  <sheetFormatPr defaultColWidth="9.140625" defaultRowHeight="12.75" x14ac:dyDescent="0.25"/>
  <cols>
    <col min="1" max="2" width="9.140625" style="60"/>
    <col min="3" max="3" width="33" style="60" customWidth="1"/>
    <col min="4" max="4" width="15.85546875" style="60" customWidth="1"/>
    <col min="5" max="5" width="16.28515625" style="60" customWidth="1"/>
    <col min="6" max="6" width="16" style="60" customWidth="1"/>
    <col min="7" max="7" width="17.140625" style="60" customWidth="1"/>
    <col min="8" max="8" width="4.5703125" style="60" customWidth="1"/>
    <col min="9" max="9" width="20" style="60" customWidth="1"/>
    <col min="10" max="10" width="24.42578125" style="60" customWidth="1"/>
    <col min="11" max="11" width="10.140625" style="60" customWidth="1"/>
    <col min="12" max="13" width="9.140625" style="60"/>
    <col min="14" max="14" width="12" style="60" bestFit="1" customWidth="1"/>
    <col min="15" max="16384" width="9.140625" style="60"/>
  </cols>
  <sheetData>
    <row r="2" spans="2:10" x14ac:dyDescent="0.2">
      <c r="B2" s="63" t="s">
        <v>126</v>
      </c>
      <c r="C2" s="64" t="s">
        <v>127</v>
      </c>
      <c r="D2" s="65"/>
      <c r="E2" s="65"/>
      <c r="F2" s="65"/>
      <c r="G2" s="66"/>
      <c r="H2" s="66"/>
      <c r="I2" s="66"/>
      <c r="J2" s="67"/>
    </row>
    <row r="3" spans="2:10" x14ac:dyDescent="0.2">
      <c r="B3" s="68"/>
      <c r="C3" s="69" t="s">
        <v>128</v>
      </c>
      <c r="D3" s="70"/>
      <c r="E3" s="70"/>
      <c r="F3" s="70"/>
      <c r="G3" s="71"/>
      <c r="H3" s="71"/>
      <c r="I3" s="71"/>
      <c r="J3" s="72"/>
    </row>
    <row r="4" spans="2:10" x14ac:dyDescent="0.2">
      <c r="B4" s="68"/>
      <c r="C4" s="69" t="s">
        <v>129</v>
      </c>
      <c r="D4" s="70"/>
      <c r="E4" s="70"/>
      <c r="F4" s="70"/>
      <c r="G4" s="71"/>
      <c r="H4" s="71"/>
      <c r="I4" s="71"/>
      <c r="J4" s="72"/>
    </row>
    <row r="5" spans="2:10" x14ac:dyDescent="0.2">
      <c r="B5" s="68"/>
      <c r="C5" s="69" t="s">
        <v>130</v>
      </c>
      <c r="D5" s="70"/>
      <c r="E5" s="70"/>
      <c r="F5" s="70"/>
      <c r="G5" s="71"/>
      <c r="H5" s="71"/>
      <c r="I5" s="71"/>
      <c r="J5" s="72"/>
    </row>
    <row r="6" spans="2:10" x14ac:dyDescent="0.2">
      <c r="B6" s="68"/>
      <c r="C6" s="69" t="s">
        <v>131</v>
      </c>
      <c r="D6" s="70"/>
      <c r="E6" s="70"/>
      <c r="F6" s="70"/>
      <c r="G6" s="71"/>
      <c r="H6" s="71"/>
      <c r="I6" s="71"/>
      <c r="J6" s="72"/>
    </row>
    <row r="7" spans="2:10" x14ac:dyDescent="0.2">
      <c r="B7" s="68"/>
      <c r="C7" s="69" t="s">
        <v>132</v>
      </c>
      <c r="D7" s="70"/>
      <c r="E7" s="70"/>
      <c r="F7" s="70"/>
      <c r="G7" s="71"/>
      <c r="H7" s="71"/>
      <c r="I7" s="71"/>
      <c r="J7" s="72"/>
    </row>
    <row r="8" spans="2:10" x14ac:dyDescent="0.2">
      <c r="B8" s="68"/>
      <c r="C8" s="69" t="s">
        <v>133</v>
      </c>
      <c r="D8" s="70"/>
      <c r="E8" s="70"/>
      <c r="F8" s="70"/>
      <c r="G8" s="71"/>
      <c r="H8" s="71"/>
      <c r="I8" s="71"/>
      <c r="J8" s="72"/>
    </row>
    <row r="9" spans="2:10" x14ac:dyDescent="0.2">
      <c r="B9" s="73"/>
      <c r="C9" s="74" t="s">
        <v>134</v>
      </c>
      <c r="D9" s="75"/>
      <c r="E9" s="75"/>
      <c r="F9" s="75"/>
      <c r="G9" s="76"/>
      <c r="H9" s="76"/>
      <c r="I9" s="76"/>
      <c r="J9" s="77"/>
    </row>
    <row r="10" spans="2:10" ht="13.5" thickBot="1" x14ac:dyDescent="0.3"/>
    <row r="11" spans="2:10" ht="53.25" customHeight="1" x14ac:dyDescent="0.25">
      <c r="B11" s="681" t="s">
        <v>454</v>
      </c>
      <c r="C11" s="682"/>
      <c r="D11" s="682"/>
      <c r="E11" s="682"/>
      <c r="F11" s="682"/>
      <c r="G11" s="682"/>
      <c r="H11" s="682"/>
      <c r="I11" s="682"/>
      <c r="J11" s="683"/>
    </row>
    <row r="12" spans="2:10" ht="16.5" customHeight="1" thickBot="1" x14ac:dyDescent="0.3">
      <c r="B12" s="684" t="s">
        <v>453</v>
      </c>
      <c r="C12" s="685"/>
      <c r="D12" s="685"/>
      <c r="E12" s="685"/>
      <c r="F12" s="685"/>
      <c r="G12" s="685"/>
      <c r="H12" s="685"/>
      <c r="I12" s="685"/>
      <c r="J12" s="686"/>
    </row>
    <row r="13" spans="2:10" ht="14.25" customHeight="1" x14ac:dyDescent="0.25">
      <c r="B13" s="84"/>
      <c r="C13" s="85"/>
      <c r="D13" s="85"/>
      <c r="E13" s="85"/>
      <c r="F13" s="85"/>
      <c r="G13" s="85"/>
      <c r="H13" s="85"/>
      <c r="I13" s="85"/>
      <c r="J13" s="85"/>
    </row>
    <row r="14" spans="2:10" x14ac:dyDescent="0.25">
      <c r="C14" s="679" t="s">
        <v>125</v>
      </c>
      <c r="D14" s="680"/>
      <c r="E14" s="87"/>
      <c r="F14" s="87"/>
      <c r="H14" s="679"/>
      <c r="I14" s="679"/>
      <c r="J14" s="679"/>
    </row>
    <row r="15" spans="2:10" x14ac:dyDescent="0.25">
      <c r="D15" s="58"/>
      <c r="E15" s="87"/>
      <c r="F15" s="87"/>
      <c r="H15" s="99"/>
      <c r="I15" s="99"/>
      <c r="J15" s="99"/>
    </row>
    <row r="16" spans="2:10" s="94" customFormat="1" x14ac:dyDescent="0.25">
      <c r="B16" s="103"/>
      <c r="C16" s="104" t="s">
        <v>124</v>
      </c>
      <c r="D16" s="78" t="s">
        <v>430</v>
      </c>
      <c r="E16" s="89" t="s">
        <v>434</v>
      </c>
      <c r="F16" s="89" t="s">
        <v>431</v>
      </c>
      <c r="G16" s="94" t="s">
        <v>435</v>
      </c>
      <c r="H16" s="105"/>
      <c r="I16" s="106"/>
      <c r="J16" s="100"/>
    </row>
    <row r="17" spans="2:14" x14ac:dyDescent="0.25">
      <c r="B17" s="61"/>
      <c r="C17" s="62" t="s">
        <v>135</v>
      </c>
      <c r="D17" s="59"/>
      <c r="E17" s="91"/>
      <c r="F17" s="93"/>
      <c r="G17" s="92"/>
      <c r="H17" s="99"/>
      <c r="I17" s="111" t="s">
        <v>452</v>
      </c>
      <c r="J17" s="79" t="s">
        <v>428</v>
      </c>
      <c r="K17" s="80" t="s">
        <v>429</v>
      </c>
    </row>
    <row r="18" spans="2:14" x14ac:dyDescent="0.25">
      <c r="C18" s="95" t="s">
        <v>136</v>
      </c>
      <c r="D18" s="98">
        <v>6.6100000000000006E-2</v>
      </c>
      <c r="E18" s="90">
        <f t="shared" ref="E18:E49" si="0">(D18*$J$19)+$J$18</f>
        <v>5789.2650000000003</v>
      </c>
      <c r="F18" s="98">
        <v>6.6100000000000006E-2</v>
      </c>
      <c r="G18" s="90">
        <f>(F18*$K$19)+$K$18</f>
        <v>5945.9174999999996</v>
      </c>
      <c r="I18" s="112" t="s">
        <v>449</v>
      </c>
      <c r="J18" s="107">
        <v>5548</v>
      </c>
      <c r="K18" s="109">
        <v>5703</v>
      </c>
    </row>
    <row r="19" spans="2:14" x14ac:dyDescent="0.25">
      <c r="C19" s="95" t="s">
        <v>137</v>
      </c>
      <c r="D19" s="98">
        <v>0.20180000000000001</v>
      </c>
      <c r="E19" s="90">
        <f t="shared" si="0"/>
        <v>6284.57</v>
      </c>
      <c r="F19" s="98">
        <v>0.19689999999999999</v>
      </c>
      <c r="G19" s="90">
        <f t="shared" ref="G19:G82" si="1">(F19*$K$19)+$K$18</f>
        <v>6426.6075000000001</v>
      </c>
      <c r="I19" s="113" t="s">
        <v>448</v>
      </c>
      <c r="J19" s="101">
        <v>3650</v>
      </c>
      <c r="K19" s="102">
        <v>3675</v>
      </c>
    </row>
    <row r="20" spans="2:14" x14ac:dyDescent="0.25">
      <c r="C20" s="95" t="s">
        <v>138</v>
      </c>
      <c r="D20" s="98">
        <v>0.41899999999999998</v>
      </c>
      <c r="E20" s="90">
        <f t="shared" si="0"/>
        <v>7077.35</v>
      </c>
      <c r="F20" s="98">
        <v>0.39400000000000002</v>
      </c>
      <c r="G20" s="90">
        <f t="shared" si="1"/>
        <v>7150.95</v>
      </c>
      <c r="I20" s="113" t="s">
        <v>450</v>
      </c>
      <c r="J20" s="101">
        <v>128</v>
      </c>
      <c r="K20" s="102">
        <v>128</v>
      </c>
      <c r="L20" s="60" t="s">
        <v>456</v>
      </c>
    </row>
    <row r="21" spans="2:14" x14ac:dyDescent="0.25">
      <c r="C21" s="95" t="s">
        <v>139</v>
      </c>
      <c r="D21" s="98">
        <v>0.11840000000000001</v>
      </c>
      <c r="E21" s="90">
        <f t="shared" si="0"/>
        <v>5980.16</v>
      </c>
      <c r="F21" s="98">
        <v>0.11840000000000001</v>
      </c>
      <c r="G21" s="90">
        <f t="shared" si="1"/>
        <v>6138.12</v>
      </c>
      <c r="I21" s="113" t="s">
        <v>451</v>
      </c>
      <c r="J21" s="101">
        <v>2300</v>
      </c>
      <c r="K21" s="102">
        <v>2300</v>
      </c>
      <c r="L21" s="60" t="s">
        <v>457</v>
      </c>
    </row>
    <row r="22" spans="2:14" x14ac:dyDescent="0.25">
      <c r="C22" s="95" t="s">
        <v>140</v>
      </c>
      <c r="D22" s="98">
        <v>0.1792</v>
      </c>
      <c r="E22" s="90">
        <f t="shared" si="0"/>
        <v>6202.08</v>
      </c>
      <c r="F22" s="98">
        <v>0.1792</v>
      </c>
      <c r="G22" s="90">
        <f t="shared" si="1"/>
        <v>6361.5599999999995</v>
      </c>
      <c r="I22" s="114" t="s">
        <v>121</v>
      </c>
      <c r="J22" s="108">
        <v>6750</v>
      </c>
      <c r="K22" s="110">
        <v>6750</v>
      </c>
    </row>
    <row r="23" spans="2:14" x14ac:dyDescent="0.25">
      <c r="C23" s="95" t="s">
        <v>141</v>
      </c>
      <c r="D23" s="98">
        <v>6.3700000000000007E-2</v>
      </c>
      <c r="E23" s="90">
        <f t="shared" si="0"/>
        <v>5780.5050000000001</v>
      </c>
      <c r="F23" s="98">
        <v>6.3700000000000007E-2</v>
      </c>
      <c r="G23" s="90">
        <f t="shared" si="1"/>
        <v>5937.0974999999999</v>
      </c>
      <c r="H23" s="81"/>
    </row>
    <row r="24" spans="2:14" x14ac:dyDescent="0.25">
      <c r="C24" s="95" t="s">
        <v>142</v>
      </c>
      <c r="D24" s="98">
        <v>5.7799999999999997E-2</v>
      </c>
      <c r="E24" s="90">
        <f t="shared" si="0"/>
        <v>5758.97</v>
      </c>
      <c r="F24" s="98">
        <v>5.7799999999999997E-2</v>
      </c>
      <c r="G24" s="90">
        <f t="shared" si="1"/>
        <v>5915.415</v>
      </c>
      <c r="I24" s="60" t="s">
        <v>455</v>
      </c>
      <c r="N24" s="88"/>
    </row>
    <row r="25" spans="2:14" x14ac:dyDescent="0.25">
      <c r="C25" s="95" t="s">
        <v>143</v>
      </c>
      <c r="D25" s="98">
        <v>0.13389999999999999</v>
      </c>
      <c r="E25" s="90">
        <f t="shared" si="0"/>
        <v>6036.7349999999997</v>
      </c>
      <c r="F25" s="98">
        <v>0.13389999999999999</v>
      </c>
      <c r="G25" s="90">
        <f t="shared" si="1"/>
        <v>6195.0825000000004</v>
      </c>
      <c r="N25" s="88"/>
    </row>
    <row r="26" spans="2:14" ht="15" x14ac:dyDescent="0.25">
      <c r="C26" s="95" t="s">
        <v>144</v>
      </c>
      <c r="D26" s="98">
        <v>7.8200000000000006E-2</v>
      </c>
      <c r="E26" s="90">
        <f t="shared" si="0"/>
        <v>5833.43</v>
      </c>
      <c r="F26" s="98">
        <v>7.8200000000000006E-2</v>
      </c>
      <c r="G26" s="90">
        <f t="shared" si="1"/>
        <v>5990.3850000000002</v>
      </c>
      <c r="J26" s="353"/>
    </row>
    <row r="27" spans="2:14" x14ac:dyDescent="0.25">
      <c r="C27" s="95" t="s">
        <v>145</v>
      </c>
      <c r="D27" s="98">
        <v>9.74E-2</v>
      </c>
      <c r="E27" s="90">
        <f t="shared" si="0"/>
        <v>5903.51</v>
      </c>
      <c r="F27" s="98">
        <v>9.74E-2</v>
      </c>
      <c r="G27" s="90">
        <f t="shared" si="1"/>
        <v>6060.9449999999997</v>
      </c>
      <c r="J27" s="60" t="s">
        <v>474</v>
      </c>
    </row>
    <row r="28" spans="2:14" x14ac:dyDescent="0.25">
      <c r="C28" s="95" t="s">
        <v>146</v>
      </c>
      <c r="D28" s="98">
        <v>0.29099999999999998</v>
      </c>
      <c r="E28" s="90">
        <f t="shared" si="0"/>
        <v>6610.15</v>
      </c>
      <c r="F28" s="98">
        <v>0.29099999999999998</v>
      </c>
      <c r="G28" s="90">
        <f t="shared" si="1"/>
        <v>6772.4250000000002</v>
      </c>
      <c r="J28" s="60" t="s">
        <v>436</v>
      </c>
    </row>
    <row r="29" spans="2:14" x14ac:dyDescent="0.25">
      <c r="C29" s="95" t="s">
        <v>147</v>
      </c>
      <c r="D29" s="98">
        <v>0.17599999999999999</v>
      </c>
      <c r="E29" s="90">
        <f t="shared" si="0"/>
        <v>6190.4</v>
      </c>
      <c r="F29" s="98">
        <v>0.151</v>
      </c>
      <c r="G29" s="90">
        <f t="shared" si="1"/>
        <v>6257.9250000000002</v>
      </c>
      <c r="J29" s="60" t="s">
        <v>472</v>
      </c>
    </row>
    <row r="30" spans="2:14" x14ac:dyDescent="0.25">
      <c r="C30" s="95" t="s">
        <v>148</v>
      </c>
      <c r="D30" s="98">
        <v>0.25490000000000002</v>
      </c>
      <c r="E30" s="90">
        <f t="shared" si="0"/>
        <v>6478.3850000000002</v>
      </c>
      <c r="F30" s="98">
        <v>0.23880000000000001</v>
      </c>
      <c r="G30" s="90">
        <f t="shared" si="1"/>
        <v>6580.59</v>
      </c>
      <c r="J30" s="60" t="s">
        <v>473</v>
      </c>
    </row>
    <row r="31" spans="2:14" x14ac:dyDescent="0.25">
      <c r="C31" s="95" t="s">
        <v>149</v>
      </c>
      <c r="D31" s="98">
        <v>0.1593</v>
      </c>
      <c r="E31" s="90">
        <f t="shared" si="0"/>
        <v>6129.4449999999997</v>
      </c>
      <c r="F31" s="98">
        <v>0.1593</v>
      </c>
      <c r="G31" s="90">
        <f t="shared" si="1"/>
        <v>6288.4274999999998</v>
      </c>
    </row>
    <row r="32" spans="2:14" x14ac:dyDescent="0.25">
      <c r="C32" s="95" t="s">
        <v>150</v>
      </c>
      <c r="D32" s="98">
        <v>0.17749999999999999</v>
      </c>
      <c r="E32" s="90">
        <f t="shared" si="0"/>
        <v>6195.875</v>
      </c>
      <c r="F32" s="98">
        <v>0.17749999999999999</v>
      </c>
      <c r="G32" s="90">
        <f t="shared" si="1"/>
        <v>6355.3125</v>
      </c>
    </row>
    <row r="33" spans="3:7" x14ac:dyDescent="0.25">
      <c r="C33" s="95" t="s">
        <v>151</v>
      </c>
      <c r="D33" s="98">
        <v>8.2500000000000004E-2</v>
      </c>
      <c r="E33" s="90">
        <f t="shared" si="0"/>
        <v>5849.125</v>
      </c>
      <c r="F33" s="98">
        <v>7.4499999999999997E-2</v>
      </c>
      <c r="G33" s="90">
        <f t="shared" si="1"/>
        <v>5976.7875000000004</v>
      </c>
    </row>
    <row r="34" spans="3:7" x14ac:dyDescent="0.25">
      <c r="C34" s="95" t="s">
        <v>152</v>
      </c>
      <c r="D34" s="98">
        <v>0.16259999999999999</v>
      </c>
      <c r="E34" s="90">
        <f t="shared" si="0"/>
        <v>6141.49</v>
      </c>
      <c r="F34" s="98">
        <v>0.1452</v>
      </c>
      <c r="G34" s="90">
        <f t="shared" si="1"/>
        <v>6236.61</v>
      </c>
    </row>
    <row r="35" spans="3:7" x14ac:dyDescent="0.25">
      <c r="C35" s="95" t="s">
        <v>153</v>
      </c>
      <c r="D35" s="98">
        <v>5.3699999999999998E-2</v>
      </c>
      <c r="E35" s="90">
        <f t="shared" si="0"/>
        <v>5744.0050000000001</v>
      </c>
      <c r="F35" s="98">
        <v>5.3699999999999998E-2</v>
      </c>
      <c r="G35" s="90">
        <f t="shared" si="1"/>
        <v>5900.3474999999999</v>
      </c>
    </row>
    <row r="36" spans="3:7" x14ac:dyDescent="0.25">
      <c r="C36" s="95" t="s">
        <v>154</v>
      </c>
      <c r="D36" s="98">
        <v>0.12859999999999999</v>
      </c>
      <c r="E36" s="90">
        <f t="shared" si="0"/>
        <v>6017.39</v>
      </c>
      <c r="F36" s="98">
        <v>0.12859999999999999</v>
      </c>
      <c r="G36" s="90">
        <f t="shared" si="1"/>
        <v>6175.6049999999996</v>
      </c>
    </row>
    <row r="37" spans="3:7" x14ac:dyDescent="0.25">
      <c r="C37" s="95" t="s">
        <v>155</v>
      </c>
      <c r="D37" s="98">
        <v>0.17519999999999999</v>
      </c>
      <c r="E37" s="90">
        <f t="shared" si="0"/>
        <v>6187.48</v>
      </c>
      <c r="F37" s="98">
        <v>0.1552</v>
      </c>
      <c r="G37" s="90">
        <f t="shared" si="1"/>
        <v>6273.36</v>
      </c>
    </row>
    <row r="38" spans="3:7" x14ac:dyDescent="0.25">
      <c r="C38" s="96" t="s">
        <v>156</v>
      </c>
      <c r="D38" s="98">
        <v>0.38129999999999997</v>
      </c>
      <c r="E38" s="90">
        <f t="shared" si="0"/>
        <v>6939.7449999999999</v>
      </c>
      <c r="F38" s="98">
        <v>0.38129999999999997</v>
      </c>
      <c r="G38" s="90">
        <f t="shared" si="1"/>
        <v>7104.2775000000001</v>
      </c>
    </row>
    <row r="39" spans="3:7" x14ac:dyDescent="0.25">
      <c r="C39" s="95" t="s">
        <v>157</v>
      </c>
      <c r="D39" s="98">
        <v>2.3599999999999999E-2</v>
      </c>
      <c r="E39" s="90">
        <f t="shared" si="0"/>
        <v>5634.14</v>
      </c>
      <c r="F39" s="98">
        <v>2.3599999999999999E-2</v>
      </c>
      <c r="G39" s="90">
        <f t="shared" si="1"/>
        <v>5789.73</v>
      </c>
    </row>
    <row r="40" spans="3:7" x14ac:dyDescent="0.25">
      <c r="C40" s="95" t="s">
        <v>158</v>
      </c>
      <c r="D40" s="98">
        <v>0.1</v>
      </c>
      <c r="E40" s="90">
        <f t="shared" si="0"/>
        <v>5913</v>
      </c>
      <c r="F40" s="98">
        <v>9.7299999999999998E-2</v>
      </c>
      <c r="G40" s="90">
        <f t="shared" si="1"/>
        <v>6060.5775000000003</v>
      </c>
    </row>
    <row r="41" spans="3:7" x14ac:dyDescent="0.25">
      <c r="C41" s="95" t="s">
        <v>159</v>
      </c>
      <c r="D41" s="98">
        <v>0.1404</v>
      </c>
      <c r="E41" s="90">
        <f t="shared" si="0"/>
        <v>6060.46</v>
      </c>
      <c r="F41" s="98">
        <v>0.1404</v>
      </c>
      <c r="G41" s="90">
        <f t="shared" si="1"/>
        <v>6218.97</v>
      </c>
    </row>
    <row r="42" spans="3:7" x14ac:dyDescent="0.25">
      <c r="C42" s="95" t="s">
        <v>160</v>
      </c>
      <c r="D42" s="98">
        <v>5.6399999999999999E-2</v>
      </c>
      <c r="E42" s="90">
        <f t="shared" si="0"/>
        <v>5753.86</v>
      </c>
      <c r="F42" s="98">
        <v>5.6399999999999999E-2</v>
      </c>
      <c r="G42" s="90">
        <f t="shared" si="1"/>
        <v>5910.27</v>
      </c>
    </row>
    <row r="43" spans="3:7" x14ac:dyDescent="0.25">
      <c r="C43" s="95" t="s">
        <v>161</v>
      </c>
      <c r="D43" s="98">
        <v>0.13500000000000001</v>
      </c>
      <c r="E43" s="90">
        <f t="shared" si="0"/>
        <v>6040.75</v>
      </c>
      <c r="F43" s="98">
        <v>0.13370000000000001</v>
      </c>
      <c r="G43" s="90">
        <f t="shared" si="1"/>
        <v>6194.3474999999999</v>
      </c>
    </row>
    <row r="44" spans="3:7" x14ac:dyDescent="0.25">
      <c r="C44" s="95" t="s">
        <v>162</v>
      </c>
      <c r="D44" s="98">
        <v>0.1091</v>
      </c>
      <c r="E44" s="90">
        <f t="shared" si="0"/>
        <v>5946.2150000000001</v>
      </c>
      <c r="F44" s="98">
        <v>0.1091</v>
      </c>
      <c r="G44" s="90">
        <f t="shared" si="1"/>
        <v>6103.9425000000001</v>
      </c>
    </row>
    <row r="45" spans="3:7" x14ac:dyDescent="0.25">
      <c r="C45" s="95" t="s">
        <v>163</v>
      </c>
      <c r="D45" s="98">
        <v>0.111</v>
      </c>
      <c r="E45" s="90">
        <f t="shared" si="0"/>
        <v>5953.15</v>
      </c>
      <c r="F45" s="98">
        <v>0.1086</v>
      </c>
      <c r="G45" s="90">
        <f t="shared" si="1"/>
        <v>6102.1049999999996</v>
      </c>
    </row>
    <row r="46" spans="3:7" x14ac:dyDescent="0.25">
      <c r="C46" s="95" t="s">
        <v>164</v>
      </c>
      <c r="D46" s="98">
        <v>0.20610000000000001</v>
      </c>
      <c r="E46" s="90">
        <f t="shared" si="0"/>
        <v>6300.2650000000003</v>
      </c>
      <c r="F46" s="98">
        <v>0.19670000000000001</v>
      </c>
      <c r="G46" s="90">
        <f t="shared" si="1"/>
        <v>6425.8725000000004</v>
      </c>
    </row>
    <row r="47" spans="3:7" x14ac:dyDescent="0.25">
      <c r="C47" s="95" t="s">
        <v>165</v>
      </c>
      <c r="D47" s="98">
        <v>0.21240000000000001</v>
      </c>
      <c r="E47" s="90">
        <f t="shared" si="0"/>
        <v>6323.26</v>
      </c>
      <c r="F47" s="98">
        <v>0.20399999999999999</v>
      </c>
      <c r="G47" s="90">
        <f t="shared" si="1"/>
        <v>6452.7</v>
      </c>
    </row>
    <row r="48" spans="3:7" x14ac:dyDescent="0.25">
      <c r="C48" s="95" t="s">
        <v>166</v>
      </c>
      <c r="D48" s="98">
        <v>0.1489</v>
      </c>
      <c r="E48" s="90">
        <f t="shared" si="0"/>
        <v>6091.4849999999997</v>
      </c>
      <c r="F48" s="98">
        <v>0.1239</v>
      </c>
      <c r="G48" s="90">
        <f t="shared" si="1"/>
        <v>6158.3325000000004</v>
      </c>
    </row>
    <row r="49" spans="3:7" x14ac:dyDescent="0.25">
      <c r="C49" s="95" t="s">
        <v>167</v>
      </c>
      <c r="D49" s="98">
        <v>0.1502</v>
      </c>
      <c r="E49" s="90">
        <f t="shared" si="0"/>
        <v>6096.23</v>
      </c>
      <c r="F49" s="98">
        <v>0.1502</v>
      </c>
      <c r="G49" s="90">
        <f t="shared" si="1"/>
        <v>6254.9849999999997</v>
      </c>
    </row>
    <row r="50" spans="3:7" x14ac:dyDescent="0.25">
      <c r="C50" s="95" t="s">
        <v>168</v>
      </c>
      <c r="D50" s="98">
        <v>0.21840000000000001</v>
      </c>
      <c r="E50" s="90">
        <f t="shared" ref="E50:E80" si="2">(D50*$J$19)+$J$18</f>
        <v>6345.16</v>
      </c>
      <c r="F50" s="98">
        <v>0.2104</v>
      </c>
      <c r="G50" s="90">
        <f t="shared" si="1"/>
        <v>6476.22</v>
      </c>
    </row>
    <row r="51" spans="3:7" x14ac:dyDescent="0.25">
      <c r="C51" s="95" t="s">
        <v>169</v>
      </c>
      <c r="D51" s="98">
        <v>0.2331</v>
      </c>
      <c r="E51" s="90">
        <f t="shared" si="2"/>
        <v>6398.8150000000005</v>
      </c>
      <c r="F51" s="98">
        <v>0.20810000000000001</v>
      </c>
      <c r="G51" s="90">
        <f t="shared" si="1"/>
        <v>6467.7674999999999</v>
      </c>
    </row>
    <row r="52" spans="3:7" x14ac:dyDescent="0.25">
      <c r="C52" s="95" t="s">
        <v>170</v>
      </c>
      <c r="D52" s="98">
        <v>0.14599999999999999</v>
      </c>
      <c r="E52" s="90">
        <f t="shared" si="2"/>
        <v>6080.9</v>
      </c>
      <c r="F52" s="98">
        <v>0.1237</v>
      </c>
      <c r="G52" s="90">
        <f t="shared" si="1"/>
        <v>6157.5974999999999</v>
      </c>
    </row>
    <row r="53" spans="3:7" x14ac:dyDescent="0.25">
      <c r="C53" s="95" t="s">
        <v>171</v>
      </c>
      <c r="D53" s="98">
        <v>0.10150000000000001</v>
      </c>
      <c r="E53" s="90">
        <f t="shared" si="2"/>
        <v>5918.4750000000004</v>
      </c>
      <c r="F53" s="98">
        <v>9.8799999999999999E-2</v>
      </c>
      <c r="G53" s="90">
        <f t="shared" si="1"/>
        <v>6066.09</v>
      </c>
    </row>
    <row r="54" spans="3:7" x14ac:dyDescent="0.25">
      <c r="C54" s="95" t="s">
        <v>172</v>
      </c>
      <c r="D54" s="98">
        <v>0.17879999999999999</v>
      </c>
      <c r="E54" s="90">
        <f t="shared" si="2"/>
        <v>6200.62</v>
      </c>
      <c r="F54" s="98">
        <v>0.17879999999999999</v>
      </c>
      <c r="G54" s="90">
        <f t="shared" si="1"/>
        <v>6360.09</v>
      </c>
    </row>
    <row r="55" spans="3:7" x14ac:dyDescent="0.25">
      <c r="C55" s="95" t="s">
        <v>173</v>
      </c>
      <c r="D55" s="98">
        <v>0.21010000000000001</v>
      </c>
      <c r="E55" s="90">
        <f t="shared" si="2"/>
        <v>6314.8649999999998</v>
      </c>
      <c r="F55" s="98">
        <v>0.21010000000000001</v>
      </c>
      <c r="G55" s="90">
        <f t="shared" si="1"/>
        <v>6475.1175000000003</v>
      </c>
    </row>
    <row r="56" spans="3:7" x14ac:dyDescent="0.25">
      <c r="C56" s="95" t="s">
        <v>174</v>
      </c>
      <c r="D56" s="98">
        <v>0.22450000000000001</v>
      </c>
      <c r="E56" s="90">
        <f t="shared" si="2"/>
        <v>6367.4250000000002</v>
      </c>
      <c r="F56" s="98">
        <v>0.21</v>
      </c>
      <c r="G56" s="90">
        <f t="shared" si="1"/>
        <v>6474.75</v>
      </c>
    </row>
    <row r="57" spans="3:7" x14ac:dyDescent="0.25">
      <c r="C57" s="95" t="s">
        <v>175</v>
      </c>
      <c r="D57" s="98">
        <v>0.1898</v>
      </c>
      <c r="E57" s="90">
        <f t="shared" si="2"/>
        <v>6240.77</v>
      </c>
      <c r="F57" s="98">
        <v>0.18840000000000001</v>
      </c>
      <c r="G57" s="90">
        <f t="shared" si="1"/>
        <v>6395.37</v>
      </c>
    </row>
    <row r="58" spans="3:7" x14ac:dyDescent="0.25">
      <c r="C58" s="95" t="s">
        <v>176</v>
      </c>
      <c r="D58" s="98">
        <v>6.6000000000000003E-2</v>
      </c>
      <c r="E58" s="90">
        <f t="shared" si="2"/>
        <v>5788.9</v>
      </c>
      <c r="F58" s="98">
        <v>6.6000000000000003E-2</v>
      </c>
      <c r="G58" s="90">
        <f t="shared" si="1"/>
        <v>5945.55</v>
      </c>
    </row>
    <row r="59" spans="3:7" x14ac:dyDescent="0.25">
      <c r="C59" s="96" t="s">
        <v>177</v>
      </c>
      <c r="D59" s="98">
        <v>0.20730000000000001</v>
      </c>
      <c r="E59" s="90">
        <f t="shared" si="2"/>
        <v>6304.6450000000004</v>
      </c>
      <c r="F59" s="98">
        <v>0.19</v>
      </c>
      <c r="G59" s="90">
        <f t="shared" si="1"/>
        <v>6401.25</v>
      </c>
    </row>
    <row r="60" spans="3:7" x14ac:dyDescent="0.25">
      <c r="C60" s="95" t="s">
        <v>178</v>
      </c>
      <c r="D60" s="98">
        <v>0.154</v>
      </c>
      <c r="E60" s="90">
        <f t="shared" si="2"/>
        <v>6110.1</v>
      </c>
      <c r="F60" s="98">
        <v>0.154</v>
      </c>
      <c r="G60" s="90">
        <f t="shared" si="1"/>
        <v>6268.95</v>
      </c>
    </row>
    <row r="61" spans="3:7" x14ac:dyDescent="0.25">
      <c r="C61" s="95" t="s">
        <v>179</v>
      </c>
      <c r="D61" s="98">
        <v>7.3800000000000004E-2</v>
      </c>
      <c r="E61" s="90">
        <f t="shared" si="2"/>
        <v>5817.37</v>
      </c>
      <c r="F61" s="98">
        <v>7.3800000000000004E-2</v>
      </c>
      <c r="G61" s="90">
        <f t="shared" si="1"/>
        <v>5974.2150000000001</v>
      </c>
    </row>
    <row r="62" spans="3:7" x14ac:dyDescent="0.25">
      <c r="C62" s="95" t="s">
        <v>180</v>
      </c>
      <c r="D62" s="98">
        <v>0.14430000000000001</v>
      </c>
      <c r="E62" s="90">
        <f t="shared" si="2"/>
        <v>6074.6949999999997</v>
      </c>
      <c r="F62" s="98">
        <v>0.13370000000000001</v>
      </c>
      <c r="G62" s="90">
        <f t="shared" si="1"/>
        <v>6194.3474999999999</v>
      </c>
    </row>
    <row r="63" spans="3:7" x14ac:dyDescent="0.25">
      <c r="C63" s="95" t="s">
        <v>181</v>
      </c>
      <c r="D63" s="98">
        <v>0.1176</v>
      </c>
      <c r="E63" s="90">
        <f t="shared" si="2"/>
        <v>5977.24</v>
      </c>
      <c r="F63" s="98">
        <v>0.1052</v>
      </c>
      <c r="G63" s="90">
        <f t="shared" si="1"/>
        <v>6089.61</v>
      </c>
    </row>
    <row r="64" spans="3:7" x14ac:dyDescent="0.25">
      <c r="C64" s="95" t="s">
        <v>182</v>
      </c>
      <c r="D64" s="98">
        <v>0.13450000000000001</v>
      </c>
      <c r="E64" s="90">
        <f t="shared" si="2"/>
        <v>6038.9250000000002</v>
      </c>
      <c r="F64" s="98">
        <v>0.128</v>
      </c>
      <c r="G64" s="90">
        <f t="shared" si="1"/>
        <v>6173.4</v>
      </c>
    </row>
    <row r="65" spans="3:7" x14ac:dyDescent="0.25">
      <c r="C65" s="95" t="s">
        <v>183</v>
      </c>
      <c r="D65" s="98">
        <v>0.15529999999999999</v>
      </c>
      <c r="E65" s="90">
        <f t="shared" si="2"/>
        <v>6114.8450000000003</v>
      </c>
      <c r="F65" s="98">
        <v>0.15529999999999999</v>
      </c>
      <c r="G65" s="90">
        <f t="shared" si="1"/>
        <v>6273.7275</v>
      </c>
    </row>
    <row r="66" spans="3:7" x14ac:dyDescent="0.25">
      <c r="C66" s="95" t="s">
        <v>184</v>
      </c>
      <c r="D66" s="98">
        <v>0.13289999999999999</v>
      </c>
      <c r="E66" s="90">
        <f t="shared" si="2"/>
        <v>6033.085</v>
      </c>
      <c r="F66" s="98">
        <v>0.13289999999999999</v>
      </c>
      <c r="G66" s="90">
        <f t="shared" si="1"/>
        <v>6191.4075000000003</v>
      </c>
    </row>
    <row r="67" spans="3:7" x14ac:dyDescent="0.25">
      <c r="C67" s="95" t="s">
        <v>185</v>
      </c>
      <c r="D67" s="98">
        <v>8.3900000000000002E-2</v>
      </c>
      <c r="E67" s="90">
        <f t="shared" si="2"/>
        <v>5854.2349999999997</v>
      </c>
      <c r="F67" s="98">
        <v>8.2000000000000003E-2</v>
      </c>
      <c r="G67" s="90">
        <f t="shared" si="1"/>
        <v>6004.35</v>
      </c>
    </row>
    <row r="68" spans="3:7" x14ac:dyDescent="0.25">
      <c r="C68" s="95" t="s">
        <v>186</v>
      </c>
      <c r="D68" s="98">
        <v>0.21840000000000001</v>
      </c>
      <c r="E68" s="90">
        <f t="shared" si="2"/>
        <v>6345.16</v>
      </c>
      <c r="F68" s="98">
        <v>0.21840000000000001</v>
      </c>
      <c r="G68" s="90">
        <f t="shared" si="1"/>
        <v>6505.62</v>
      </c>
    </row>
    <row r="69" spans="3:7" x14ac:dyDescent="0.25">
      <c r="C69" s="95" t="s">
        <v>187</v>
      </c>
      <c r="D69" s="98">
        <v>0.17219999999999999</v>
      </c>
      <c r="E69" s="90">
        <f t="shared" si="2"/>
        <v>6176.53</v>
      </c>
      <c r="F69" s="98">
        <v>0.17219999999999999</v>
      </c>
      <c r="G69" s="90">
        <f t="shared" si="1"/>
        <v>6335.835</v>
      </c>
    </row>
    <row r="70" spans="3:7" x14ac:dyDescent="0.25">
      <c r="C70" s="95" t="s">
        <v>188</v>
      </c>
      <c r="D70" s="98">
        <v>0.15079999999999999</v>
      </c>
      <c r="E70" s="90">
        <f t="shared" si="2"/>
        <v>6098.42</v>
      </c>
      <c r="F70" s="98">
        <v>0.13339999999999999</v>
      </c>
      <c r="G70" s="90">
        <f t="shared" si="1"/>
        <v>6193.2449999999999</v>
      </c>
    </row>
    <row r="71" spans="3:7" x14ac:dyDescent="0.25">
      <c r="C71" s="95" t="s">
        <v>189</v>
      </c>
      <c r="D71" s="98">
        <v>5.0200000000000002E-2</v>
      </c>
      <c r="E71" s="90">
        <f t="shared" si="2"/>
        <v>5731.23</v>
      </c>
      <c r="F71" s="98">
        <v>5.0200000000000002E-2</v>
      </c>
      <c r="G71" s="90">
        <f t="shared" si="1"/>
        <v>5887.4849999999997</v>
      </c>
    </row>
    <row r="72" spans="3:7" x14ac:dyDescent="0.25">
      <c r="C72" s="95" t="s">
        <v>190</v>
      </c>
      <c r="D72" s="98">
        <v>0.1711</v>
      </c>
      <c r="E72" s="90">
        <f t="shared" si="2"/>
        <v>6172.5150000000003</v>
      </c>
      <c r="F72" s="98">
        <v>0.15590000000000001</v>
      </c>
      <c r="G72" s="90">
        <f t="shared" si="1"/>
        <v>6275.9324999999999</v>
      </c>
    </row>
    <row r="73" spans="3:7" x14ac:dyDescent="0.25">
      <c r="C73" s="95" t="s">
        <v>191</v>
      </c>
      <c r="D73" s="98">
        <v>0.1507</v>
      </c>
      <c r="E73" s="90">
        <f t="shared" si="2"/>
        <v>6098.0550000000003</v>
      </c>
      <c r="F73" s="98">
        <v>0.1507</v>
      </c>
      <c r="G73" s="90">
        <f t="shared" si="1"/>
        <v>6256.8225000000002</v>
      </c>
    </row>
    <row r="74" spans="3:7" x14ac:dyDescent="0.25">
      <c r="C74" s="95" t="s">
        <v>192</v>
      </c>
      <c r="D74" s="98">
        <v>0.16020000000000001</v>
      </c>
      <c r="E74" s="90">
        <f t="shared" si="2"/>
        <v>6132.73</v>
      </c>
      <c r="F74" s="98">
        <v>0.15129999999999999</v>
      </c>
      <c r="G74" s="90">
        <f t="shared" si="1"/>
        <v>6259.0275000000001</v>
      </c>
    </row>
    <row r="75" spans="3:7" x14ac:dyDescent="0.25">
      <c r="C75" s="95" t="s">
        <v>193</v>
      </c>
      <c r="D75" s="98">
        <v>9.9699999999999997E-2</v>
      </c>
      <c r="E75" s="90">
        <f t="shared" si="2"/>
        <v>5911.9049999999997</v>
      </c>
      <c r="F75" s="98">
        <v>8.9599999999999999E-2</v>
      </c>
      <c r="G75" s="90">
        <f t="shared" si="1"/>
        <v>6032.28</v>
      </c>
    </row>
    <row r="76" spans="3:7" x14ac:dyDescent="0.25">
      <c r="C76" s="95" t="s">
        <v>194</v>
      </c>
      <c r="D76" s="98">
        <v>0.11899999999999999</v>
      </c>
      <c r="E76" s="90">
        <f t="shared" si="2"/>
        <v>5982.35</v>
      </c>
      <c r="F76" s="98">
        <v>0.11899999999999999</v>
      </c>
      <c r="G76" s="90">
        <f t="shared" si="1"/>
        <v>6140.3249999999998</v>
      </c>
    </row>
    <row r="77" spans="3:7" x14ac:dyDescent="0.25">
      <c r="C77" s="95" t="s">
        <v>195</v>
      </c>
      <c r="D77" s="98">
        <v>0.161</v>
      </c>
      <c r="E77" s="90">
        <f t="shared" si="2"/>
        <v>6135.65</v>
      </c>
      <c r="F77" s="98">
        <v>0.13600000000000001</v>
      </c>
      <c r="G77" s="90">
        <f t="shared" si="1"/>
        <v>6202.8</v>
      </c>
    </row>
    <row r="78" spans="3:7" x14ac:dyDescent="0.25">
      <c r="C78" s="95" t="s">
        <v>196</v>
      </c>
      <c r="D78" s="98">
        <v>0.2157</v>
      </c>
      <c r="E78" s="90">
        <f t="shared" si="2"/>
        <v>6335.3050000000003</v>
      </c>
      <c r="F78" s="98">
        <v>0.19070000000000001</v>
      </c>
      <c r="G78" s="90">
        <f t="shared" si="1"/>
        <v>6403.8225000000002</v>
      </c>
    </row>
    <row r="79" spans="3:7" x14ac:dyDescent="0.25">
      <c r="C79" s="95" t="s">
        <v>197</v>
      </c>
      <c r="D79" s="98">
        <v>0.24399999999999999</v>
      </c>
      <c r="E79" s="90">
        <f t="shared" si="2"/>
        <v>6438.6</v>
      </c>
      <c r="F79" s="98">
        <v>0.22209999999999999</v>
      </c>
      <c r="G79" s="90">
        <f t="shared" si="1"/>
        <v>6519.2174999999997</v>
      </c>
    </row>
    <row r="80" spans="3:7" x14ac:dyDescent="0.25">
      <c r="C80" s="95" t="s">
        <v>198</v>
      </c>
      <c r="D80" s="98">
        <v>0.28349999999999997</v>
      </c>
      <c r="E80" s="90">
        <f t="shared" si="2"/>
        <v>6582.7749999999996</v>
      </c>
      <c r="F80" s="98">
        <v>0.2656</v>
      </c>
      <c r="G80" s="90">
        <f t="shared" si="1"/>
        <v>6679.08</v>
      </c>
    </row>
    <row r="81" spans="3:7" x14ac:dyDescent="0.25">
      <c r="C81" s="95" t="s">
        <v>199</v>
      </c>
      <c r="D81" s="98">
        <v>0.17780000000000001</v>
      </c>
      <c r="E81" s="90">
        <f t="shared" ref="E81:E144" si="3">(D81*$J$19)+$J$18</f>
        <v>6196.97</v>
      </c>
      <c r="F81" s="98">
        <v>0.15279999999999999</v>
      </c>
      <c r="G81" s="90">
        <f t="shared" si="1"/>
        <v>6264.54</v>
      </c>
    </row>
    <row r="82" spans="3:7" x14ac:dyDescent="0.25">
      <c r="C82" s="95" t="s">
        <v>200</v>
      </c>
      <c r="D82" s="98">
        <v>0.25750000000000001</v>
      </c>
      <c r="E82" s="90">
        <f t="shared" si="3"/>
        <v>6487.875</v>
      </c>
      <c r="F82" s="98">
        <v>0.24340000000000001</v>
      </c>
      <c r="G82" s="90">
        <f t="shared" si="1"/>
        <v>6597.4949999999999</v>
      </c>
    </row>
    <row r="83" spans="3:7" x14ac:dyDescent="0.25">
      <c r="C83" s="95" t="s">
        <v>201</v>
      </c>
      <c r="D83" s="98">
        <v>3.61E-2</v>
      </c>
      <c r="E83" s="90">
        <f t="shared" si="3"/>
        <v>5679.7650000000003</v>
      </c>
      <c r="F83" s="98">
        <v>3.61E-2</v>
      </c>
      <c r="G83" s="90">
        <f t="shared" ref="G83:G146" si="4">(F83*$K$19)+$K$18</f>
        <v>5835.6674999999996</v>
      </c>
    </row>
    <row r="84" spans="3:7" x14ac:dyDescent="0.25">
      <c r="C84" s="95" t="s">
        <v>202</v>
      </c>
      <c r="D84" s="98">
        <v>0.26369999999999999</v>
      </c>
      <c r="E84" s="90">
        <f t="shared" si="3"/>
        <v>6510.5050000000001</v>
      </c>
      <c r="F84" s="98">
        <v>0.2387</v>
      </c>
      <c r="G84" s="90">
        <f t="shared" si="4"/>
        <v>6580.2224999999999</v>
      </c>
    </row>
    <row r="85" spans="3:7" x14ac:dyDescent="0.25">
      <c r="C85" s="95" t="s">
        <v>203</v>
      </c>
      <c r="D85" s="98">
        <v>0.1419</v>
      </c>
      <c r="E85" s="90">
        <f t="shared" si="3"/>
        <v>6065.9349999999995</v>
      </c>
      <c r="F85" s="98">
        <v>0.1169</v>
      </c>
      <c r="G85" s="90">
        <f t="shared" si="4"/>
        <v>6132.6075000000001</v>
      </c>
    </row>
    <row r="86" spans="3:7" x14ac:dyDescent="0.25">
      <c r="C86" s="95" t="s">
        <v>204</v>
      </c>
      <c r="D86" s="98">
        <v>0.3155</v>
      </c>
      <c r="E86" s="90">
        <f t="shared" si="3"/>
        <v>6699.5749999999998</v>
      </c>
      <c r="F86" s="98">
        <v>0.29049999999999998</v>
      </c>
      <c r="G86" s="90">
        <f t="shared" si="4"/>
        <v>6770.5874999999996</v>
      </c>
    </row>
    <row r="87" spans="3:7" x14ac:dyDescent="0.25">
      <c r="C87" s="95" t="s">
        <v>205</v>
      </c>
      <c r="D87" s="98">
        <v>0.13789999999999999</v>
      </c>
      <c r="E87" s="90">
        <f t="shared" si="3"/>
        <v>6051.335</v>
      </c>
      <c r="F87" s="98">
        <v>0.13789999999999999</v>
      </c>
      <c r="G87" s="90">
        <f t="shared" si="4"/>
        <v>6209.7825000000003</v>
      </c>
    </row>
    <row r="88" spans="3:7" x14ac:dyDescent="0.25">
      <c r="C88" s="95" t="s">
        <v>206</v>
      </c>
      <c r="D88" s="98">
        <v>0.1472</v>
      </c>
      <c r="E88" s="90">
        <f t="shared" si="3"/>
        <v>6085.28</v>
      </c>
      <c r="F88" s="98">
        <v>0.1472</v>
      </c>
      <c r="G88" s="90">
        <f t="shared" si="4"/>
        <v>6243.96</v>
      </c>
    </row>
    <row r="89" spans="3:7" x14ac:dyDescent="0.25">
      <c r="C89" s="95" t="s">
        <v>207</v>
      </c>
      <c r="D89" s="98">
        <v>0.1012</v>
      </c>
      <c r="E89" s="90">
        <f t="shared" si="3"/>
        <v>5917.38</v>
      </c>
      <c r="F89" s="98">
        <v>0.1012</v>
      </c>
      <c r="G89" s="90">
        <f t="shared" si="4"/>
        <v>6074.91</v>
      </c>
    </row>
    <row r="90" spans="3:7" x14ac:dyDescent="0.25">
      <c r="C90" s="95" t="s">
        <v>208</v>
      </c>
      <c r="D90" s="98">
        <v>0.1101</v>
      </c>
      <c r="E90" s="90">
        <f t="shared" si="3"/>
        <v>5949.8649999999998</v>
      </c>
      <c r="F90" s="98">
        <v>0.1101</v>
      </c>
      <c r="G90" s="90">
        <f t="shared" si="4"/>
        <v>6107.6175000000003</v>
      </c>
    </row>
    <row r="91" spans="3:7" x14ac:dyDescent="0.25">
      <c r="C91" s="95" t="s">
        <v>209</v>
      </c>
      <c r="D91" s="98">
        <v>0.1226</v>
      </c>
      <c r="E91" s="90">
        <f t="shared" si="3"/>
        <v>5995.49</v>
      </c>
      <c r="F91" s="98">
        <v>0.1116</v>
      </c>
      <c r="G91" s="90">
        <f t="shared" si="4"/>
        <v>6113.13</v>
      </c>
    </row>
    <row r="92" spans="3:7" x14ac:dyDescent="0.25">
      <c r="C92" s="95" t="s">
        <v>210</v>
      </c>
      <c r="D92" s="98">
        <v>8.7900000000000006E-2</v>
      </c>
      <c r="E92" s="90">
        <f t="shared" si="3"/>
        <v>5868.835</v>
      </c>
      <c r="F92" s="98">
        <v>8.7900000000000006E-2</v>
      </c>
      <c r="G92" s="90">
        <f t="shared" si="4"/>
        <v>6026.0325000000003</v>
      </c>
    </row>
    <row r="93" spans="3:7" x14ac:dyDescent="0.25">
      <c r="C93" s="95" t="s">
        <v>211</v>
      </c>
      <c r="D93" s="98">
        <v>0.14269999999999999</v>
      </c>
      <c r="E93" s="90">
        <f t="shared" si="3"/>
        <v>6068.8549999999996</v>
      </c>
      <c r="F93" s="98">
        <v>0.12770000000000001</v>
      </c>
      <c r="G93" s="90">
        <f t="shared" si="4"/>
        <v>6172.2974999999997</v>
      </c>
    </row>
    <row r="94" spans="3:7" x14ac:dyDescent="0.25">
      <c r="C94" s="95" t="s">
        <v>212</v>
      </c>
      <c r="D94" s="98">
        <v>0.59160000000000001</v>
      </c>
      <c r="E94" s="90">
        <f t="shared" si="3"/>
        <v>7707.34</v>
      </c>
      <c r="F94" s="98">
        <v>0.56850000000000001</v>
      </c>
      <c r="G94" s="90">
        <f t="shared" si="4"/>
        <v>7792.2375000000002</v>
      </c>
    </row>
    <row r="95" spans="3:7" x14ac:dyDescent="0.25">
      <c r="C95" s="95" t="s">
        <v>213</v>
      </c>
      <c r="D95" s="98">
        <v>0.1216</v>
      </c>
      <c r="E95" s="90">
        <f t="shared" si="3"/>
        <v>5991.84</v>
      </c>
      <c r="F95" s="98">
        <v>9.6600000000000005E-2</v>
      </c>
      <c r="G95" s="90">
        <f t="shared" si="4"/>
        <v>6058.0050000000001</v>
      </c>
    </row>
    <row r="96" spans="3:7" x14ac:dyDescent="0.25">
      <c r="C96" s="95" t="s">
        <v>214</v>
      </c>
      <c r="D96" s="98">
        <v>0.17150000000000001</v>
      </c>
      <c r="E96" s="90">
        <f t="shared" si="3"/>
        <v>6173.9750000000004</v>
      </c>
      <c r="F96" s="98">
        <v>0.1709</v>
      </c>
      <c r="G96" s="90">
        <f t="shared" si="4"/>
        <v>6331.0574999999999</v>
      </c>
    </row>
    <row r="97" spans="3:7" x14ac:dyDescent="0.25">
      <c r="C97" s="95" t="s">
        <v>215</v>
      </c>
      <c r="D97" s="98">
        <v>6.4000000000000001E-2</v>
      </c>
      <c r="E97" s="90">
        <f t="shared" si="3"/>
        <v>5781.6</v>
      </c>
      <c r="F97" s="98">
        <v>6.4000000000000001E-2</v>
      </c>
      <c r="G97" s="90">
        <f t="shared" si="4"/>
        <v>5938.2</v>
      </c>
    </row>
    <row r="98" spans="3:7" x14ac:dyDescent="0.25">
      <c r="C98" s="95" t="s">
        <v>216</v>
      </c>
      <c r="D98" s="98">
        <v>0.17449999999999999</v>
      </c>
      <c r="E98" s="90">
        <f t="shared" si="3"/>
        <v>6184.9250000000002</v>
      </c>
      <c r="F98" s="98">
        <v>0.17449999999999999</v>
      </c>
      <c r="G98" s="90">
        <f t="shared" si="4"/>
        <v>6344.2875000000004</v>
      </c>
    </row>
    <row r="99" spans="3:7" x14ac:dyDescent="0.25">
      <c r="C99" s="95" t="s">
        <v>217</v>
      </c>
      <c r="D99" s="98">
        <v>0.1191</v>
      </c>
      <c r="E99" s="90">
        <f t="shared" si="3"/>
        <v>5982.7150000000001</v>
      </c>
      <c r="F99" s="98">
        <v>0.11799999999999999</v>
      </c>
      <c r="G99" s="90">
        <f t="shared" si="4"/>
        <v>6136.65</v>
      </c>
    </row>
    <row r="100" spans="3:7" x14ac:dyDescent="0.25">
      <c r="C100" s="95" t="s">
        <v>218</v>
      </c>
      <c r="D100" s="98">
        <v>0.16719999999999999</v>
      </c>
      <c r="E100" s="90">
        <f t="shared" si="3"/>
        <v>6158.28</v>
      </c>
      <c r="F100" s="98">
        <v>0.16689999999999999</v>
      </c>
      <c r="G100" s="90">
        <f t="shared" si="4"/>
        <v>6316.3575000000001</v>
      </c>
    </row>
    <row r="101" spans="3:7" x14ac:dyDescent="0.25">
      <c r="C101" s="95" t="s">
        <v>219</v>
      </c>
      <c r="D101" s="98">
        <v>0.15379999999999999</v>
      </c>
      <c r="E101" s="90">
        <f t="shared" si="3"/>
        <v>6109.37</v>
      </c>
      <c r="F101" s="98">
        <v>0.15379999999999999</v>
      </c>
      <c r="G101" s="90">
        <f t="shared" si="4"/>
        <v>6268.2150000000001</v>
      </c>
    </row>
    <row r="102" spans="3:7" x14ac:dyDescent="0.25">
      <c r="C102" s="95" t="s">
        <v>220</v>
      </c>
      <c r="D102" s="98">
        <v>0.1943</v>
      </c>
      <c r="E102" s="90">
        <f t="shared" si="3"/>
        <v>6257.1949999999997</v>
      </c>
      <c r="F102" s="98">
        <v>0.17929999999999999</v>
      </c>
      <c r="G102" s="90">
        <f t="shared" si="4"/>
        <v>6361.9274999999998</v>
      </c>
    </row>
    <row r="103" spans="3:7" x14ac:dyDescent="0.25">
      <c r="C103" s="96" t="s">
        <v>221</v>
      </c>
      <c r="D103" s="98">
        <v>9.2799999999999994E-2</v>
      </c>
      <c r="E103" s="90">
        <f t="shared" si="3"/>
        <v>5886.72</v>
      </c>
      <c r="F103" s="98">
        <v>9.2799999999999994E-2</v>
      </c>
      <c r="G103" s="90">
        <f t="shared" si="4"/>
        <v>6044.04</v>
      </c>
    </row>
    <row r="104" spans="3:7" x14ac:dyDescent="0.25">
      <c r="C104" s="95" t="s">
        <v>222</v>
      </c>
      <c r="D104" s="98">
        <v>9.7299999999999998E-2</v>
      </c>
      <c r="E104" s="90">
        <f t="shared" si="3"/>
        <v>5903.1450000000004</v>
      </c>
      <c r="F104" s="98">
        <v>9.7299999999999998E-2</v>
      </c>
      <c r="G104" s="90">
        <f t="shared" si="4"/>
        <v>6060.5775000000003</v>
      </c>
    </row>
    <row r="105" spans="3:7" x14ac:dyDescent="0.25">
      <c r="C105" s="95" t="s">
        <v>223</v>
      </c>
      <c r="D105" s="98">
        <v>3.1600000000000003E-2</v>
      </c>
      <c r="E105" s="90">
        <f t="shared" si="3"/>
        <v>5663.34</v>
      </c>
      <c r="F105" s="98">
        <v>3.1600000000000003E-2</v>
      </c>
      <c r="G105" s="90">
        <f t="shared" si="4"/>
        <v>5819.13</v>
      </c>
    </row>
    <row r="106" spans="3:7" x14ac:dyDescent="0.25">
      <c r="C106" s="97" t="s">
        <v>224</v>
      </c>
      <c r="D106" s="98">
        <v>7.2499999999999995E-2</v>
      </c>
      <c r="E106" s="90">
        <f t="shared" si="3"/>
        <v>5812.625</v>
      </c>
      <c r="F106" s="98">
        <v>7.2499999999999995E-2</v>
      </c>
      <c r="G106" s="90">
        <f t="shared" si="4"/>
        <v>5969.4375</v>
      </c>
    </row>
    <row r="107" spans="3:7" x14ac:dyDescent="0.25">
      <c r="C107" s="95" t="s">
        <v>225</v>
      </c>
      <c r="D107" s="98">
        <v>0.15409999999999999</v>
      </c>
      <c r="E107" s="90">
        <f t="shared" si="3"/>
        <v>6110.4650000000001</v>
      </c>
      <c r="F107" s="98">
        <v>0.15409999999999999</v>
      </c>
      <c r="G107" s="90">
        <f t="shared" si="4"/>
        <v>6269.3175000000001</v>
      </c>
    </row>
    <row r="108" spans="3:7" x14ac:dyDescent="0.25">
      <c r="C108" s="95" t="s">
        <v>226</v>
      </c>
      <c r="D108" s="98">
        <v>0.44590000000000002</v>
      </c>
      <c r="E108" s="90">
        <f t="shared" si="3"/>
        <v>7175.5349999999999</v>
      </c>
      <c r="F108" s="98">
        <v>0.4209</v>
      </c>
      <c r="G108" s="90">
        <f t="shared" si="4"/>
        <v>7249.8074999999999</v>
      </c>
    </row>
    <row r="109" spans="3:7" x14ac:dyDescent="0.25">
      <c r="C109" s="96" t="s">
        <v>227</v>
      </c>
      <c r="D109" s="98">
        <v>0.14530000000000001</v>
      </c>
      <c r="E109" s="90">
        <f t="shared" si="3"/>
        <v>6078.3450000000003</v>
      </c>
      <c r="F109" s="98">
        <v>0.13539999999999999</v>
      </c>
      <c r="G109" s="90">
        <f t="shared" si="4"/>
        <v>6200.5950000000003</v>
      </c>
    </row>
    <row r="110" spans="3:7" x14ac:dyDescent="0.25">
      <c r="C110" s="95" t="s">
        <v>228</v>
      </c>
      <c r="D110" s="98">
        <v>0.1608</v>
      </c>
      <c r="E110" s="90">
        <f t="shared" si="3"/>
        <v>6134.92</v>
      </c>
      <c r="F110" s="98">
        <v>0.1381</v>
      </c>
      <c r="G110" s="90">
        <f t="shared" si="4"/>
        <v>6210.5174999999999</v>
      </c>
    </row>
    <row r="111" spans="3:7" x14ac:dyDescent="0.25">
      <c r="C111" s="95" t="s">
        <v>229</v>
      </c>
      <c r="D111" s="98">
        <v>0.21010000000000001</v>
      </c>
      <c r="E111" s="90">
        <f t="shared" si="3"/>
        <v>6314.8649999999998</v>
      </c>
      <c r="F111" s="98">
        <v>0.18509999999999999</v>
      </c>
      <c r="G111" s="90">
        <f t="shared" si="4"/>
        <v>6383.2425000000003</v>
      </c>
    </row>
    <row r="112" spans="3:7" x14ac:dyDescent="0.25">
      <c r="C112" s="95" t="s">
        <v>230</v>
      </c>
      <c r="D112" s="98">
        <v>0.104</v>
      </c>
      <c r="E112" s="90">
        <f t="shared" si="3"/>
        <v>5927.6</v>
      </c>
      <c r="F112" s="98">
        <v>0.104</v>
      </c>
      <c r="G112" s="90">
        <f t="shared" si="4"/>
        <v>6085.2</v>
      </c>
    </row>
    <row r="113" spans="3:7" x14ac:dyDescent="0.25">
      <c r="C113" s="95" t="s">
        <v>231</v>
      </c>
      <c r="D113" s="98">
        <v>0.13270000000000001</v>
      </c>
      <c r="E113" s="90">
        <f t="shared" si="3"/>
        <v>6032.3549999999996</v>
      </c>
      <c r="F113" s="98">
        <v>0.13270000000000001</v>
      </c>
      <c r="G113" s="90">
        <f t="shared" si="4"/>
        <v>6190.6724999999997</v>
      </c>
    </row>
    <row r="114" spans="3:7" x14ac:dyDescent="0.25">
      <c r="C114" s="95" t="s">
        <v>232</v>
      </c>
      <c r="D114" s="98">
        <v>0.24410000000000001</v>
      </c>
      <c r="E114" s="90">
        <f t="shared" si="3"/>
        <v>6438.9650000000001</v>
      </c>
      <c r="F114" s="98">
        <v>0.21920000000000001</v>
      </c>
      <c r="G114" s="90">
        <f t="shared" si="4"/>
        <v>6508.56</v>
      </c>
    </row>
    <row r="115" spans="3:7" x14ac:dyDescent="0.25">
      <c r="C115" s="95" t="s">
        <v>233</v>
      </c>
      <c r="D115" s="98">
        <v>0.35439999999999999</v>
      </c>
      <c r="E115" s="90">
        <f t="shared" si="3"/>
        <v>6841.5599999999995</v>
      </c>
      <c r="F115" s="98">
        <v>0.33040000000000003</v>
      </c>
      <c r="G115" s="90">
        <f t="shared" si="4"/>
        <v>6917.22</v>
      </c>
    </row>
    <row r="116" spans="3:7" x14ac:dyDescent="0.25">
      <c r="C116" s="95" t="s">
        <v>234</v>
      </c>
      <c r="D116" s="98">
        <v>0.2868</v>
      </c>
      <c r="E116" s="90">
        <f t="shared" si="3"/>
        <v>6594.82</v>
      </c>
      <c r="F116" s="98">
        <v>0.27329999999999999</v>
      </c>
      <c r="G116" s="90">
        <f t="shared" si="4"/>
        <v>6707.3774999999996</v>
      </c>
    </row>
    <row r="117" spans="3:7" x14ac:dyDescent="0.25">
      <c r="C117" s="97" t="s">
        <v>235</v>
      </c>
      <c r="D117" s="98">
        <v>6.0499999999999998E-2</v>
      </c>
      <c r="E117" s="90">
        <f t="shared" si="3"/>
        <v>5768.8249999999998</v>
      </c>
      <c r="F117" s="98">
        <v>6.0499999999999998E-2</v>
      </c>
      <c r="G117" s="90">
        <f t="shared" si="4"/>
        <v>5925.3374999999996</v>
      </c>
    </row>
    <row r="118" spans="3:7" x14ac:dyDescent="0.25">
      <c r="C118" s="97" t="s">
        <v>236</v>
      </c>
      <c r="D118" s="98">
        <v>0.4819</v>
      </c>
      <c r="E118" s="90">
        <f t="shared" si="3"/>
        <v>7306.9349999999995</v>
      </c>
      <c r="F118" s="98">
        <v>0.45689999999999997</v>
      </c>
      <c r="G118" s="90">
        <f t="shared" si="4"/>
        <v>7382.1075000000001</v>
      </c>
    </row>
    <row r="119" spans="3:7" x14ac:dyDescent="0.25">
      <c r="C119" s="97" t="s">
        <v>237</v>
      </c>
      <c r="D119" s="98">
        <v>0.35749999999999998</v>
      </c>
      <c r="E119" s="90">
        <f t="shared" si="3"/>
        <v>6852.875</v>
      </c>
      <c r="F119" s="98">
        <v>0.33250000000000002</v>
      </c>
      <c r="G119" s="90">
        <f t="shared" si="4"/>
        <v>6924.9375</v>
      </c>
    </row>
    <row r="120" spans="3:7" x14ac:dyDescent="0.25">
      <c r="C120" s="97" t="s">
        <v>238</v>
      </c>
      <c r="D120" s="98">
        <v>0.12559999999999999</v>
      </c>
      <c r="E120" s="90">
        <f t="shared" si="3"/>
        <v>6006.44</v>
      </c>
      <c r="F120" s="98">
        <v>0.12559999999999999</v>
      </c>
      <c r="G120" s="90">
        <f t="shared" si="4"/>
        <v>6164.58</v>
      </c>
    </row>
    <row r="121" spans="3:7" x14ac:dyDescent="0.25">
      <c r="C121" s="95" t="s">
        <v>239</v>
      </c>
      <c r="D121" s="98">
        <v>5.6099999999999997E-2</v>
      </c>
      <c r="E121" s="90">
        <f t="shared" si="3"/>
        <v>5752.7650000000003</v>
      </c>
      <c r="F121" s="98">
        <v>5.6099999999999997E-2</v>
      </c>
      <c r="G121" s="90">
        <f t="shared" si="4"/>
        <v>5909.1674999999996</v>
      </c>
    </row>
    <row r="122" spans="3:7" x14ac:dyDescent="0.25">
      <c r="C122" s="95" t="s">
        <v>240</v>
      </c>
      <c r="D122" s="98">
        <v>0.21579999999999999</v>
      </c>
      <c r="E122" s="90">
        <f t="shared" si="3"/>
        <v>6335.67</v>
      </c>
      <c r="F122" s="98">
        <v>0.1951</v>
      </c>
      <c r="G122" s="90">
        <f t="shared" si="4"/>
        <v>6419.9925000000003</v>
      </c>
    </row>
    <row r="123" spans="3:7" x14ac:dyDescent="0.25">
      <c r="C123" s="95" t="s">
        <v>241</v>
      </c>
      <c r="D123" s="98">
        <v>0.17860000000000001</v>
      </c>
      <c r="E123" s="90">
        <f t="shared" si="3"/>
        <v>6199.89</v>
      </c>
      <c r="F123" s="98">
        <v>0.16250000000000001</v>
      </c>
      <c r="G123" s="90">
        <f t="shared" si="4"/>
        <v>6300.1875</v>
      </c>
    </row>
    <row r="124" spans="3:7" x14ac:dyDescent="0.25">
      <c r="C124" s="95" t="s">
        <v>242</v>
      </c>
      <c r="D124" s="98">
        <v>0.1363</v>
      </c>
      <c r="E124" s="90">
        <f t="shared" si="3"/>
        <v>6045.4949999999999</v>
      </c>
      <c r="F124" s="98">
        <v>0.121</v>
      </c>
      <c r="G124" s="90">
        <f t="shared" si="4"/>
        <v>6147.6750000000002</v>
      </c>
    </row>
    <row r="125" spans="3:7" x14ac:dyDescent="0.25">
      <c r="C125" s="95" t="s">
        <v>432</v>
      </c>
      <c r="D125" s="98">
        <v>0.1386</v>
      </c>
      <c r="E125" s="90">
        <f t="shared" si="3"/>
        <v>6053.89</v>
      </c>
      <c r="F125" s="98">
        <v>0.1221</v>
      </c>
      <c r="G125" s="90">
        <f t="shared" si="4"/>
        <v>6151.7174999999997</v>
      </c>
    </row>
    <row r="126" spans="3:7" x14ac:dyDescent="0.25">
      <c r="C126" s="95" t="s">
        <v>243</v>
      </c>
      <c r="D126" s="98">
        <v>0.2288</v>
      </c>
      <c r="E126" s="90">
        <f t="shared" si="3"/>
        <v>6383.12</v>
      </c>
      <c r="F126" s="98">
        <v>0.2288</v>
      </c>
      <c r="G126" s="90">
        <f t="shared" si="4"/>
        <v>6543.84</v>
      </c>
    </row>
    <row r="127" spans="3:7" x14ac:dyDescent="0.25">
      <c r="C127" s="95" t="s">
        <v>244</v>
      </c>
      <c r="D127" s="98">
        <v>0.17280000000000001</v>
      </c>
      <c r="E127" s="90">
        <f t="shared" si="3"/>
        <v>6178.72</v>
      </c>
      <c r="F127" s="98">
        <v>0.17280000000000001</v>
      </c>
      <c r="G127" s="90">
        <f t="shared" si="4"/>
        <v>6338.04</v>
      </c>
    </row>
    <row r="128" spans="3:7" x14ac:dyDescent="0.25">
      <c r="C128" s="95" t="s">
        <v>245</v>
      </c>
      <c r="D128" s="98">
        <v>0.21540000000000001</v>
      </c>
      <c r="E128" s="90">
        <f t="shared" si="3"/>
        <v>6334.21</v>
      </c>
      <c r="F128" s="98">
        <v>0.19040000000000001</v>
      </c>
      <c r="G128" s="90">
        <f t="shared" si="4"/>
        <v>6402.72</v>
      </c>
    </row>
    <row r="129" spans="3:7" x14ac:dyDescent="0.25">
      <c r="C129" s="96" t="s">
        <v>246</v>
      </c>
      <c r="D129" s="98">
        <v>0.1205</v>
      </c>
      <c r="E129" s="90">
        <f t="shared" si="3"/>
        <v>5987.8249999999998</v>
      </c>
      <c r="F129" s="98">
        <v>0.109</v>
      </c>
      <c r="G129" s="90">
        <f t="shared" si="4"/>
        <v>6103.5749999999998</v>
      </c>
    </row>
    <row r="130" spans="3:7" x14ac:dyDescent="0.25">
      <c r="C130" s="95" t="s">
        <v>247</v>
      </c>
      <c r="D130" s="98">
        <v>0.1384</v>
      </c>
      <c r="E130" s="90">
        <f t="shared" si="3"/>
        <v>6053.16</v>
      </c>
      <c r="F130" s="98">
        <v>0.1275</v>
      </c>
      <c r="G130" s="90">
        <f t="shared" si="4"/>
        <v>6171.5625</v>
      </c>
    </row>
    <row r="131" spans="3:7" x14ac:dyDescent="0.25">
      <c r="C131" s="95" t="s">
        <v>248</v>
      </c>
      <c r="D131" s="98">
        <v>0.1066</v>
      </c>
      <c r="E131" s="90">
        <f t="shared" si="3"/>
        <v>5937.09</v>
      </c>
      <c r="F131" s="98">
        <v>0.1066</v>
      </c>
      <c r="G131" s="90">
        <f t="shared" si="4"/>
        <v>6094.7550000000001</v>
      </c>
    </row>
    <row r="132" spans="3:7" x14ac:dyDescent="0.25">
      <c r="C132" s="95" t="s">
        <v>249</v>
      </c>
      <c r="D132" s="98">
        <v>0.24709999999999999</v>
      </c>
      <c r="E132" s="90">
        <f t="shared" si="3"/>
        <v>6449.915</v>
      </c>
      <c r="F132" s="98">
        <v>0.24709999999999999</v>
      </c>
      <c r="G132" s="90">
        <f t="shared" si="4"/>
        <v>6611.0924999999997</v>
      </c>
    </row>
    <row r="133" spans="3:7" x14ac:dyDescent="0.25">
      <c r="C133" s="95" t="s">
        <v>250</v>
      </c>
      <c r="D133" s="98">
        <v>0.2379</v>
      </c>
      <c r="E133" s="90">
        <f t="shared" si="3"/>
        <v>6416.335</v>
      </c>
      <c r="F133" s="98">
        <v>0.23319999999999999</v>
      </c>
      <c r="G133" s="90">
        <f t="shared" si="4"/>
        <v>6560.01</v>
      </c>
    </row>
    <row r="134" spans="3:7" x14ac:dyDescent="0.25">
      <c r="C134" s="95" t="s">
        <v>251</v>
      </c>
      <c r="D134" s="98">
        <v>0.18720000000000001</v>
      </c>
      <c r="E134" s="90">
        <f t="shared" si="3"/>
        <v>6231.28</v>
      </c>
      <c r="F134" s="98">
        <v>0.18720000000000001</v>
      </c>
      <c r="G134" s="90">
        <f t="shared" si="4"/>
        <v>6390.96</v>
      </c>
    </row>
    <row r="135" spans="3:7" x14ac:dyDescent="0.25">
      <c r="C135" s="95" t="s">
        <v>252</v>
      </c>
      <c r="D135" s="98">
        <v>0.19900000000000001</v>
      </c>
      <c r="E135" s="90">
        <f t="shared" si="3"/>
        <v>6274.35</v>
      </c>
      <c r="F135" s="98">
        <v>0.1988</v>
      </c>
      <c r="G135" s="90">
        <f t="shared" si="4"/>
        <v>6433.59</v>
      </c>
    </row>
    <row r="136" spans="3:7" x14ac:dyDescent="0.25">
      <c r="C136" s="95" t="s">
        <v>253</v>
      </c>
      <c r="D136" s="98">
        <v>0.11210000000000001</v>
      </c>
      <c r="E136" s="90">
        <f t="shared" si="3"/>
        <v>5957.165</v>
      </c>
      <c r="F136" s="98">
        <v>0.11210000000000001</v>
      </c>
      <c r="G136" s="90">
        <f t="shared" si="4"/>
        <v>6114.9674999999997</v>
      </c>
    </row>
    <row r="137" spans="3:7" x14ac:dyDescent="0.25">
      <c r="C137" s="95" t="s">
        <v>254</v>
      </c>
      <c r="D137" s="98">
        <v>0.15310000000000001</v>
      </c>
      <c r="E137" s="90">
        <f t="shared" si="3"/>
        <v>6106.8150000000005</v>
      </c>
      <c r="F137" s="98">
        <v>0.14929999999999999</v>
      </c>
      <c r="G137" s="90">
        <f t="shared" si="4"/>
        <v>6251.6774999999998</v>
      </c>
    </row>
    <row r="138" spans="3:7" x14ac:dyDescent="0.25">
      <c r="C138" s="95" t="s">
        <v>255</v>
      </c>
      <c r="D138" s="98">
        <v>0.24410000000000001</v>
      </c>
      <c r="E138" s="90">
        <f t="shared" si="3"/>
        <v>6438.9650000000001</v>
      </c>
      <c r="F138" s="98">
        <v>0.23150000000000001</v>
      </c>
      <c r="G138" s="90">
        <f t="shared" si="4"/>
        <v>6553.7624999999998</v>
      </c>
    </row>
    <row r="139" spans="3:7" x14ac:dyDescent="0.25">
      <c r="C139" s="95" t="s">
        <v>256</v>
      </c>
      <c r="D139" s="98">
        <v>0.2364</v>
      </c>
      <c r="E139" s="90">
        <f t="shared" si="3"/>
        <v>6410.86</v>
      </c>
      <c r="F139" s="98">
        <v>0.22639999999999999</v>
      </c>
      <c r="G139" s="90">
        <f t="shared" si="4"/>
        <v>6535.02</v>
      </c>
    </row>
    <row r="140" spans="3:7" x14ac:dyDescent="0.25">
      <c r="C140" s="95" t="s">
        <v>257</v>
      </c>
      <c r="D140" s="98">
        <v>0.24160000000000001</v>
      </c>
      <c r="E140" s="90">
        <f t="shared" si="3"/>
        <v>6429.84</v>
      </c>
      <c r="F140" s="98">
        <v>0.24160000000000001</v>
      </c>
      <c r="G140" s="90">
        <f t="shared" si="4"/>
        <v>6590.88</v>
      </c>
    </row>
    <row r="141" spans="3:7" x14ac:dyDescent="0.25">
      <c r="C141" s="95" t="s">
        <v>258</v>
      </c>
      <c r="D141" s="98">
        <v>4.87E-2</v>
      </c>
      <c r="E141" s="90">
        <f t="shared" si="3"/>
        <v>5725.7550000000001</v>
      </c>
      <c r="F141" s="98">
        <v>4.87E-2</v>
      </c>
      <c r="G141" s="90">
        <f t="shared" si="4"/>
        <v>5881.9724999999999</v>
      </c>
    </row>
    <row r="142" spans="3:7" x14ac:dyDescent="0.25">
      <c r="C142" s="95" t="s">
        <v>259</v>
      </c>
      <c r="D142" s="98">
        <v>0.14119999999999999</v>
      </c>
      <c r="E142" s="90">
        <f t="shared" si="3"/>
        <v>6063.38</v>
      </c>
      <c r="F142" s="98">
        <v>0.14119999999999999</v>
      </c>
      <c r="G142" s="90">
        <f t="shared" si="4"/>
        <v>6221.91</v>
      </c>
    </row>
    <row r="143" spans="3:7" x14ac:dyDescent="0.25">
      <c r="C143" s="95" t="s">
        <v>260</v>
      </c>
      <c r="D143" s="98">
        <v>0.161</v>
      </c>
      <c r="E143" s="90">
        <f t="shared" si="3"/>
        <v>6135.65</v>
      </c>
      <c r="F143" s="98">
        <v>0.1517</v>
      </c>
      <c r="G143" s="90">
        <f t="shared" si="4"/>
        <v>6260.4975000000004</v>
      </c>
    </row>
    <row r="144" spans="3:7" x14ac:dyDescent="0.25">
      <c r="C144" s="95" t="s">
        <v>261</v>
      </c>
      <c r="D144" s="98">
        <v>0.14230000000000001</v>
      </c>
      <c r="E144" s="90">
        <f t="shared" si="3"/>
        <v>6067.3950000000004</v>
      </c>
      <c r="F144" s="98">
        <v>0.1173</v>
      </c>
      <c r="G144" s="90">
        <f t="shared" si="4"/>
        <v>6134.0775000000003</v>
      </c>
    </row>
    <row r="145" spans="3:7" x14ac:dyDescent="0.25">
      <c r="C145" s="95" t="s">
        <v>262</v>
      </c>
      <c r="D145" s="98">
        <v>0.3236</v>
      </c>
      <c r="E145" s="90">
        <f t="shared" ref="E145:E208" si="5">(D145*$J$19)+$J$18</f>
        <v>6729.14</v>
      </c>
      <c r="F145" s="98">
        <v>0.30080000000000001</v>
      </c>
      <c r="G145" s="90">
        <f t="shared" si="4"/>
        <v>6808.4400000000005</v>
      </c>
    </row>
    <row r="146" spans="3:7" x14ac:dyDescent="0.25">
      <c r="C146" s="95" t="s">
        <v>263</v>
      </c>
      <c r="D146" s="98">
        <v>0.2162</v>
      </c>
      <c r="E146" s="90">
        <f t="shared" si="5"/>
        <v>6337.13</v>
      </c>
      <c r="F146" s="98">
        <v>0.2021</v>
      </c>
      <c r="G146" s="90">
        <f t="shared" si="4"/>
        <v>6445.7174999999997</v>
      </c>
    </row>
    <row r="147" spans="3:7" x14ac:dyDescent="0.25">
      <c r="C147" s="95" t="s">
        <v>264</v>
      </c>
      <c r="D147" s="98">
        <v>0.29970000000000002</v>
      </c>
      <c r="E147" s="90">
        <f t="shared" si="5"/>
        <v>6641.9049999999997</v>
      </c>
      <c r="F147" s="98">
        <v>0.2747</v>
      </c>
      <c r="G147" s="90">
        <f t="shared" ref="G147:G210" si="6">(F147*$K$19)+$K$18</f>
        <v>6712.5225</v>
      </c>
    </row>
    <row r="148" spans="3:7" x14ac:dyDescent="0.25">
      <c r="C148" s="95" t="s">
        <v>265</v>
      </c>
      <c r="D148" s="98">
        <v>0.21190000000000001</v>
      </c>
      <c r="E148" s="90">
        <f t="shared" si="5"/>
        <v>6321.4350000000004</v>
      </c>
      <c r="F148" s="98">
        <v>0.2074</v>
      </c>
      <c r="G148" s="90">
        <f t="shared" si="6"/>
        <v>6465.1949999999997</v>
      </c>
    </row>
    <row r="149" spans="3:7" x14ac:dyDescent="0.25">
      <c r="C149" s="95" t="s">
        <v>266</v>
      </c>
      <c r="D149" s="98">
        <v>0.19220000000000001</v>
      </c>
      <c r="E149" s="90">
        <f t="shared" si="5"/>
        <v>6249.53</v>
      </c>
      <c r="F149" s="98">
        <v>0.17119999999999999</v>
      </c>
      <c r="G149" s="90">
        <f t="shared" si="6"/>
        <v>6332.16</v>
      </c>
    </row>
    <row r="150" spans="3:7" x14ac:dyDescent="0.25">
      <c r="C150" s="95" t="s">
        <v>267</v>
      </c>
      <c r="D150" s="98">
        <v>0.19420000000000001</v>
      </c>
      <c r="E150" s="90">
        <f t="shared" si="5"/>
        <v>6256.83</v>
      </c>
      <c r="F150" s="98">
        <v>0.19420000000000001</v>
      </c>
      <c r="G150" s="90">
        <f t="shared" si="6"/>
        <v>6416.6850000000004</v>
      </c>
    </row>
    <row r="151" spans="3:7" x14ac:dyDescent="0.25">
      <c r="C151" s="95" t="s">
        <v>268</v>
      </c>
      <c r="D151" s="98">
        <v>0.13669999999999999</v>
      </c>
      <c r="E151" s="90">
        <f t="shared" si="5"/>
        <v>6046.9549999999999</v>
      </c>
      <c r="F151" s="98">
        <v>0.13669999999999999</v>
      </c>
      <c r="G151" s="90">
        <f t="shared" si="6"/>
        <v>6205.3724999999995</v>
      </c>
    </row>
    <row r="152" spans="3:7" x14ac:dyDescent="0.25">
      <c r="C152" s="95" t="s">
        <v>269</v>
      </c>
      <c r="D152" s="98">
        <v>0.44230000000000003</v>
      </c>
      <c r="E152" s="90">
        <f t="shared" si="5"/>
        <v>7162.3950000000004</v>
      </c>
      <c r="F152" s="98">
        <v>0.4299</v>
      </c>
      <c r="G152" s="90">
        <f t="shared" si="6"/>
        <v>7282.8824999999997</v>
      </c>
    </row>
    <row r="153" spans="3:7" x14ac:dyDescent="0.25">
      <c r="C153" s="95" t="s">
        <v>270</v>
      </c>
      <c r="D153" s="98">
        <v>0.3513</v>
      </c>
      <c r="E153" s="90">
        <f t="shared" si="5"/>
        <v>6830.2449999999999</v>
      </c>
      <c r="F153" s="98">
        <v>0.32629999999999998</v>
      </c>
      <c r="G153" s="90">
        <f t="shared" si="6"/>
        <v>6902.1525000000001</v>
      </c>
    </row>
    <row r="154" spans="3:7" x14ac:dyDescent="0.25">
      <c r="C154" s="97" t="s">
        <v>271</v>
      </c>
      <c r="D154" s="98">
        <v>0.24540000000000001</v>
      </c>
      <c r="E154" s="90">
        <f t="shared" si="5"/>
        <v>6443.71</v>
      </c>
      <c r="F154" s="98">
        <v>0.24540000000000001</v>
      </c>
      <c r="G154" s="90">
        <f t="shared" si="6"/>
        <v>6604.8450000000003</v>
      </c>
    </row>
    <row r="155" spans="3:7" x14ac:dyDescent="0.25">
      <c r="C155" s="95" t="s">
        <v>272</v>
      </c>
      <c r="D155" s="98">
        <v>0.41749999999999998</v>
      </c>
      <c r="E155" s="90">
        <f t="shared" si="5"/>
        <v>7071.875</v>
      </c>
      <c r="F155" s="98">
        <v>0.39529999999999998</v>
      </c>
      <c r="G155" s="90">
        <f t="shared" si="6"/>
        <v>7155.7275</v>
      </c>
    </row>
    <row r="156" spans="3:7" x14ac:dyDescent="0.25">
      <c r="C156" s="95" t="s">
        <v>273</v>
      </c>
      <c r="D156" s="98">
        <v>4.0099999999999997E-2</v>
      </c>
      <c r="E156" s="90">
        <f t="shared" si="5"/>
        <v>5694.3649999999998</v>
      </c>
      <c r="F156" s="98">
        <v>3.9E-2</v>
      </c>
      <c r="G156" s="90">
        <f t="shared" si="6"/>
        <v>5846.3249999999998</v>
      </c>
    </row>
    <row r="157" spans="3:7" x14ac:dyDescent="0.25">
      <c r="C157" s="95" t="s">
        <v>274</v>
      </c>
      <c r="D157" s="98">
        <v>0.15049999999999999</v>
      </c>
      <c r="E157" s="90">
        <f t="shared" si="5"/>
        <v>6097.3249999999998</v>
      </c>
      <c r="F157" s="98">
        <v>0.15049999999999999</v>
      </c>
      <c r="G157" s="90">
        <f t="shared" si="6"/>
        <v>6256.0874999999996</v>
      </c>
    </row>
    <row r="158" spans="3:7" x14ac:dyDescent="0.25">
      <c r="C158" s="95" t="s">
        <v>275</v>
      </c>
      <c r="D158" s="98">
        <v>6.6000000000000003E-2</v>
      </c>
      <c r="E158" s="90">
        <f t="shared" si="5"/>
        <v>5788.9</v>
      </c>
      <c r="F158" s="98">
        <v>6.6000000000000003E-2</v>
      </c>
      <c r="G158" s="90">
        <f t="shared" si="6"/>
        <v>5945.55</v>
      </c>
    </row>
    <row r="159" spans="3:7" x14ac:dyDescent="0.25">
      <c r="C159" s="95" t="s">
        <v>276</v>
      </c>
      <c r="D159" s="98">
        <v>0.26910000000000001</v>
      </c>
      <c r="E159" s="90">
        <f t="shared" si="5"/>
        <v>6530.2150000000001</v>
      </c>
      <c r="F159" s="98">
        <v>0.26140000000000002</v>
      </c>
      <c r="G159" s="90">
        <f t="shared" si="6"/>
        <v>6663.6450000000004</v>
      </c>
    </row>
    <row r="160" spans="3:7" x14ac:dyDescent="0.25">
      <c r="C160" s="95" t="s">
        <v>277</v>
      </c>
      <c r="D160" s="98">
        <v>0.2112</v>
      </c>
      <c r="E160" s="90">
        <f t="shared" si="5"/>
        <v>6318.88</v>
      </c>
      <c r="F160" s="98">
        <v>0.2112</v>
      </c>
      <c r="G160" s="90">
        <f t="shared" si="6"/>
        <v>6479.16</v>
      </c>
    </row>
    <row r="161" spans="3:7" x14ac:dyDescent="0.25">
      <c r="C161" s="95" t="s">
        <v>278</v>
      </c>
      <c r="D161" s="98">
        <v>0.18759999999999999</v>
      </c>
      <c r="E161" s="90">
        <f t="shared" si="5"/>
        <v>6232.74</v>
      </c>
      <c r="F161" s="98">
        <v>0.16259999999999999</v>
      </c>
      <c r="G161" s="90">
        <f t="shared" si="6"/>
        <v>6300.5550000000003</v>
      </c>
    </row>
    <row r="162" spans="3:7" x14ac:dyDescent="0.25">
      <c r="C162" s="95" t="s">
        <v>279</v>
      </c>
      <c r="D162" s="98">
        <v>0.15160000000000001</v>
      </c>
      <c r="E162" s="90">
        <f t="shared" si="5"/>
        <v>6101.34</v>
      </c>
      <c r="F162" s="98">
        <v>0.15160000000000001</v>
      </c>
      <c r="G162" s="90">
        <f t="shared" si="6"/>
        <v>6260.13</v>
      </c>
    </row>
    <row r="163" spans="3:7" x14ac:dyDescent="0.25">
      <c r="C163" s="95" t="s">
        <v>280</v>
      </c>
      <c r="D163" s="98">
        <v>0.11559999999999999</v>
      </c>
      <c r="E163" s="90">
        <f t="shared" si="5"/>
        <v>5969.94</v>
      </c>
      <c r="F163" s="98">
        <v>0.11559999999999999</v>
      </c>
      <c r="G163" s="90">
        <f t="shared" si="6"/>
        <v>6127.83</v>
      </c>
    </row>
    <row r="164" spans="3:7" x14ac:dyDescent="0.25">
      <c r="C164" s="95" t="s">
        <v>281</v>
      </c>
      <c r="D164" s="98">
        <v>0.13819999999999999</v>
      </c>
      <c r="E164" s="90">
        <f t="shared" si="5"/>
        <v>6052.43</v>
      </c>
      <c r="F164" s="98">
        <v>0.13819999999999999</v>
      </c>
      <c r="G164" s="90">
        <f t="shared" si="6"/>
        <v>6210.8850000000002</v>
      </c>
    </row>
    <row r="165" spans="3:7" x14ac:dyDescent="0.25">
      <c r="C165" s="95" t="s">
        <v>282</v>
      </c>
      <c r="D165" s="98">
        <v>7.4099999999999999E-2</v>
      </c>
      <c r="E165" s="90">
        <f t="shared" si="5"/>
        <v>5818.4650000000001</v>
      </c>
      <c r="F165" s="98">
        <v>7.4099999999999999E-2</v>
      </c>
      <c r="G165" s="90">
        <f t="shared" si="6"/>
        <v>5975.3175000000001</v>
      </c>
    </row>
    <row r="166" spans="3:7" x14ac:dyDescent="0.25">
      <c r="C166" s="95" t="s">
        <v>283</v>
      </c>
      <c r="D166" s="98">
        <v>0.45600000000000002</v>
      </c>
      <c r="E166" s="90">
        <f t="shared" si="5"/>
        <v>7212.4</v>
      </c>
      <c r="F166" s="98">
        <v>0.4375</v>
      </c>
      <c r="G166" s="90">
        <f t="shared" si="6"/>
        <v>7310.8125</v>
      </c>
    </row>
    <row r="167" spans="3:7" x14ac:dyDescent="0.25">
      <c r="C167" s="95" t="s">
        <v>284</v>
      </c>
      <c r="D167" s="98">
        <v>0.1227</v>
      </c>
      <c r="E167" s="90">
        <f t="shared" si="5"/>
        <v>5995.8549999999996</v>
      </c>
      <c r="F167" s="98">
        <v>0.1193</v>
      </c>
      <c r="G167" s="90">
        <f t="shared" si="6"/>
        <v>6141.4274999999998</v>
      </c>
    </row>
    <row r="168" spans="3:7" x14ac:dyDescent="0.25">
      <c r="C168" s="95" t="s">
        <v>285</v>
      </c>
      <c r="D168" s="98">
        <v>0.16589999999999999</v>
      </c>
      <c r="E168" s="90">
        <f t="shared" si="5"/>
        <v>6153.5349999999999</v>
      </c>
      <c r="F168" s="98">
        <v>0.1648</v>
      </c>
      <c r="G168" s="90">
        <f t="shared" si="6"/>
        <v>6308.64</v>
      </c>
    </row>
    <row r="169" spans="3:7" x14ac:dyDescent="0.25">
      <c r="C169" s="95" t="s">
        <v>286</v>
      </c>
      <c r="D169" s="98">
        <v>0.26800000000000002</v>
      </c>
      <c r="E169" s="90">
        <f t="shared" si="5"/>
        <v>6526.2</v>
      </c>
      <c r="F169" s="98">
        <v>0.2545</v>
      </c>
      <c r="G169" s="90">
        <f t="shared" si="6"/>
        <v>6638.2875000000004</v>
      </c>
    </row>
    <row r="170" spans="3:7" x14ac:dyDescent="0.25">
      <c r="C170" s="95" t="s">
        <v>287</v>
      </c>
      <c r="D170" s="98">
        <v>0.10580000000000001</v>
      </c>
      <c r="E170" s="90">
        <f t="shared" si="5"/>
        <v>5934.17</v>
      </c>
      <c r="F170" s="98">
        <v>8.9800000000000005E-2</v>
      </c>
      <c r="G170" s="90">
        <f t="shared" si="6"/>
        <v>6033.0150000000003</v>
      </c>
    </row>
    <row r="171" spans="3:7" x14ac:dyDescent="0.25">
      <c r="C171" s="95" t="s">
        <v>288</v>
      </c>
      <c r="D171" s="98">
        <v>9.3200000000000005E-2</v>
      </c>
      <c r="E171" s="90">
        <f t="shared" si="5"/>
        <v>5888.18</v>
      </c>
      <c r="F171" s="98">
        <v>9.3200000000000005E-2</v>
      </c>
      <c r="G171" s="90">
        <f t="shared" si="6"/>
        <v>6045.51</v>
      </c>
    </row>
    <row r="172" spans="3:7" x14ac:dyDescent="0.25">
      <c r="C172" s="95" t="s">
        <v>289</v>
      </c>
      <c r="D172" s="98">
        <v>6.6400000000000001E-2</v>
      </c>
      <c r="E172" s="90">
        <f t="shared" si="5"/>
        <v>5790.36</v>
      </c>
      <c r="F172" s="98">
        <v>6.6400000000000001E-2</v>
      </c>
      <c r="G172" s="90">
        <f t="shared" si="6"/>
        <v>5947.02</v>
      </c>
    </row>
    <row r="173" spans="3:7" x14ac:dyDescent="0.25">
      <c r="C173" s="95" t="s">
        <v>290</v>
      </c>
      <c r="D173" s="98">
        <v>0.185</v>
      </c>
      <c r="E173" s="90">
        <f t="shared" si="5"/>
        <v>6223.25</v>
      </c>
      <c r="F173" s="98">
        <v>0.185</v>
      </c>
      <c r="G173" s="90">
        <f t="shared" si="6"/>
        <v>6382.875</v>
      </c>
    </row>
    <row r="174" spans="3:7" x14ac:dyDescent="0.25">
      <c r="C174" s="95" t="s">
        <v>291</v>
      </c>
      <c r="D174" s="98">
        <v>0.23499999999999999</v>
      </c>
      <c r="E174" s="90">
        <f t="shared" si="5"/>
        <v>6405.75</v>
      </c>
      <c r="F174" s="98">
        <v>0.2258</v>
      </c>
      <c r="G174" s="90">
        <f t="shared" si="6"/>
        <v>6532.8150000000005</v>
      </c>
    </row>
    <row r="175" spans="3:7" x14ac:dyDescent="0.25">
      <c r="C175" s="95" t="s">
        <v>292</v>
      </c>
      <c r="D175" s="98">
        <v>0.12529999999999999</v>
      </c>
      <c r="E175" s="90">
        <f t="shared" si="5"/>
        <v>6005.3450000000003</v>
      </c>
      <c r="F175" s="98">
        <v>0.12529999999999999</v>
      </c>
      <c r="G175" s="90">
        <f t="shared" si="6"/>
        <v>6163.4775</v>
      </c>
    </row>
    <row r="176" spans="3:7" x14ac:dyDescent="0.25">
      <c r="C176" s="95" t="s">
        <v>293</v>
      </c>
      <c r="D176" s="98">
        <v>0.22720000000000001</v>
      </c>
      <c r="E176" s="90">
        <f t="shared" si="5"/>
        <v>6377.28</v>
      </c>
      <c r="F176" s="98">
        <v>0.20979999999999999</v>
      </c>
      <c r="G176" s="90">
        <f t="shared" si="6"/>
        <v>6474.0150000000003</v>
      </c>
    </row>
    <row r="177" spans="3:7" x14ac:dyDescent="0.25">
      <c r="C177" s="95" t="s">
        <v>294</v>
      </c>
      <c r="D177" s="98">
        <v>0.14610000000000001</v>
      </c>
      <c r="E177" s="90">
        <f t="shared" si="5"/>
        <v>6081.2650000000003</v>
      </c>
      <c r="F177" s="98">
        <v>0.12820000000000001</v>
      </c>
      <c r="G177" s="90">
        <f t="shared" si="6"/>
        <v>6174.1350000000002</v>
      </c>
    </row>
    <row r="178" spans="3:7" x14ac:dyDescent="0.25">
      <c r="C178" s="95" t="s">
        <v>295</v>
      </c>
      <c r="D178" s="98">
        <v>0.27189999999999998</v>
      </c>
      <c r="E178" s="90">
        <f t="shared" si="5"/>
        <v>6540.4349999999995</v>
      </c>
      <c r="F178" s="98">
        <v>0.27189999999999998</v>
      </c>
      <c r="G178" s="90">
        <f t="shared" si="6"/>
        <v>6702.2325000000001</v>
      </c>
    </row>
    <row r="179" spans="3:7" x14ac:dyDescent="0.25">
      <c r="C179" s="95" t="s">
        <v>296</v>
      </c>
      <c r="D179" s="98">
        <v>0.24390000000000001</v>
      </c>
      <c r="E179" s="90">
        <f t="shared" si="5"/>
        <v>6438.2349999999997</v>
      </c>
      <c r="F179" s="98">
        <v>0.21890000000000001</v>
      </c>
      <c r="G179" s="90">
        <f t="shared" si="6"/>
        <v>6507.4575000000004</v>
      </c>
    </row>
    <row r="180" spans="3:7" x14ac:dyDescent="0.25">
      <c r="C180" s="95" t="s">
        <v>297</v>
      </c>
      <c r="D180" s="98">
        <v>0.16420000000000001</v>
      </c>
      <c r="E180" s="90">
        <f t="shared" si="5"/>
        <v>6147.33</v>
      </c>
      <c r="F180" s="98">
        <v>0.16320000000000001</v>
      </c>
      <c r="G180" s="90">
        <f t="shared" si="6"/>
        <v>6302.76</v>
      </c>
    </row>
    <row r="181" spans="3:7" x14ac:dyDescent="0.25">
      <c r="C181" s="96" t="s">
        <v>298</v>
      </c>
      <c r="D181" s="98">
        <v>0.1072</v>
      </c>
      <c r="E181" s="90">
        <f t="shared" si="5"/>
        <v>5939.28</v>
      </c>
      <c r="F181" s="98">
        <v>0.1037</v>
      </c>
      <c r="G181" s="90">
        <f t="shared" si="6"/>
        <v>6084.0974999999999</v>
      </c>
    </row>
    <row r="182" spans="3:7" x14ac:dyDescent="0.25">
      <c r="C182" s="95" t="s">
        <v>299</v>
      </c>
      <c r="D182" s="98">
        <v>0.1111</v>
      </c>
      <c r="E182" s="90">
        <f t="shared" si="5"/>
        <v>5953.5150000000003</v>
      </c>
      <c r="F182" s="98">
        <v>0.1111</v>
      </c>
      <c r="G182" s="90">
        <f t="shared" si="6"/>
        <v>6111.2924999999996</v>
      </c>
    </row>
    <row r="183" spans="3:7" x14ac:dyDescent="0.25">
      <c r="C183" s="95" t="s">
        <v>300</v>
      </c>
      <c r="D183" s="98">
        <v>0.17019999999999999</v>
      </c>
      <c r="E183" s="90">
        <f t="shared" si="5"/>
        <v>6169.23</v>
      </c>
      <c r="F183" s="98">
        <v>0.1595</v>
      </c>
      <c r="G183" s="90">
        <f t="shared" si="6"/>
        <v>6289.1625000000004</v>
      </c>
    </row>
    <row r="184" spans="3:7" x14ac:dyDescent="0.25">
      <c r="C184" s="95" t="s">
        <v>301</v>
      </c>
      <c r="D184" s="98">
        <v>0.14330000000000001</v>
      </c>
      <c r="E184" s="90">
        <f t="shared" si="5"/>
        <v>6071.0450000000001</v>
      </c>
      <c r="F184" s="98">
        <v>0.1338</v>
      </c>
      <c r="G184" s="90">
        <f t="shared" si="6"/>
        <v>6194.7150000000001</v>
      </c>
    </row>
    <row r="185" spans="3:7" x14ac:dyDescent="0.25">
      <c r="C185" s="95" t="s">
        <v>302</v>
      </c>
      <c r="D185" s="98">
        <v>8.5999999999999993E-2</v>
      </c>
      <c r="E185" s="90">
        <f t="shared" si="5"/>
        <v>5861.9</v>
      </c>
      <c r="F185" s="98">
        <v>8.5999999999999993E-2</v>
      </c>
      <c r="G185" s="90">
        <f t="shared" si="6"/>
        <v>6019.05</v>
      </c>
    </row>
    <row r="186" spans="3:7" x14ac:dyDescent="0.25">
      <c r="C186" s="95" t="s">
        <v>303</v>
      </c>
      <c r="D186" s="98">
        <v>0.20319999999999999</v>
      </c>
      <c r="E186" s="90">
        <f t="shared" si="5"/>
        <v>6289.68</v>
      </c>
      <c r="F186" s="98">
        <v>0.1782</v>
      </c>
      <c r="G186" s="90">
        <f t="shared" si="6"/>
        <v>6357.8850000000002</v>
      </c>
    </row>
    <row r="187" spans="3:7" x14ac:dyDescent="0.25">
      <c r="C187" s="95" t="s">
        <v>304</v>
      </c>
      <c r="D187" s="98">
        <v>4.19E-2</v>
      </c>
      <c r="E187" s="90">
        <f t="shared" si="5"/>
        <v>5700.9350000000004</v>
      </c>
      <c r="F187" s="98">
        <v>4.19E-2</v>
      </c>
      <c r="G187" s="90">
        <f t="shared" si="6"/>
        <v>5856.9825000000001</v>
      </c>
    </row>
    <row r="188" spans="3:7" x14ac:dyDescent="0.25">
      <c r="C188" s="95" t="s">
        <v>305</v>
      </c>
      <c r="D188" s="98">
        <v>0.1555</v>
      </c>
      <c r="E188" s="90">
        <f t="shared" si="5"/>
        <v>6115.5749999999998</v>
      </c>
      <c r="F188" s="98">
        <v>0.15279999999999999</v>
      </c>
      <c r="G188" s="90">
        <f t="shared" si="6"/>
        <v>6264.54</v>
      </c>
    </row>
    <row r="189" spans="3:7" x14ac:dyDescent="0.25">
      <c r="C189" s="95" t="s">
        <v>306</v>
      </c>
      <c r="D189" s="98">
        <v>3.9100000000000003E-2</v>
      </c>
      <c r="E189" s="90">
        <f t="shared" si="5"/>
        <v>5690.7150000000001</v>
      </c>
      <c r="F189" s="98">
        <v>3.9100000000000003E-2</v>
      </c>
      <c r="G189" s="90">
        <f t="shared" si="6"/>
        <v>5846.6925000000001</v>
      </c>
    </row>
    <row r="190" spans="3:7" x14ac:dyDescent="0.25">
      <c r="C190" s="96" t="s">
        <v>307</v>
      </c>
      <c r="D190" s="98">
        <v>0.22009999999999999</v>
      </c>
      <c r="E190" s="90">
        <f t="shared" si="5"/>
        <v>6351.3649999999998</v>
      </c>
      <c r="F190" s="98">
        <v>0.22009999999999999</v>
      </c>
      <c r="G190" s="90">
        <f t="shared" si="6"/>
        <v>6511.8675000000003</v>
      </c>
    </row>
    <row r="191" spans="3:7" x14ac:dyDescent="0.25">
      <c r="C191" s="95" t="s">
        <v>308</v>
      </c>
      <c r="D191" s="98">
        <v>0.1242</v>
      </c>
      <c r="E191" s="90">
        <f t="shared" si="5"/>
        <v>6001.33</v>
      </c>
      <c r="F191" s="98">
        <v>0.1242</v>
      </c>
      <c r="G191" s="90">
        <f t="shared" si="6"/>
        <v>6159.4350000000004</v>
      </c>
    </row>
    <row r="192" spans="3:7" x14ac:dyDescent="0.25">
      <c r="C192" s="95" t="s">
        <v>309</v>
      </c>
      <c r="D192" s="98">
        <v>7.1999999999999995E-2</v>
      </c>
      <c r="E192" s="90">
        <f t="shared" si="5"/>
        <v>5810.8</v>
      </c>
      <c r="F192" s="98">
        <v>7.0300000000000001E-2</v>
      </c>
      <c r="G192" s="90">
        <f t="shared" si="6"/>
        <v>5961.3525</v>
      </c>
    </row>
    <row r="193" spans="3:7" x14ac:dyDescent="0.25">
      <c r="C193" s="95" t="s">
        <v>310</v>
      </c>
      <c r="D193" s="98">
        <v>3.5400000000000001E-2</v>
      </c>
      <c r="E193" s="90">
        <f t="shared" si="5"/>
        <v>5677.21</v>
      </c>
      <c r="F193" s="98">
        <v>3.5400000000000001E-2</v>
      </c>
      <c r="G193" s="90">
        <f t="shared" si="6"/>
        <v>5833.0950000000003</v>
      </c>
    </row>
    <row r="194" spans="3:7" x14ac:dyDescent="0.25">
      <c r="C194" s="95" t="s">
        <v>311</v>
      </c>
      <c r="D194" s="98">
        <v>0.105</v>
      </c>
      <c r="E194" s="90">
        <f t="shared" si="5"/>
        <v>5931.25</v>
      </c>
      <c r="F194" s="98">
        <v>0.105</v>
      </c>
      <c r="G194" s="90">
        <f t="shared" si="6"/>
        <v>6088.875</v>
      </c>
    </row>
    <row r="195" spans="3:7" x14ac:dyDescent="0.25">
      <c r="C195" s="95" t="s">
        <v>312</v>
      </c>
      <c r="D195" s="98">
        <v>7.5399999999999995E-2</v>
      </c>
      <c r="E195" s="90">
        <f t="shared" si="5"/>
        <v>5823.21</v>
      </c>
      <c r="F195" s="98">
        <v>7.5399999999999995E-2</v>
      </c>
      <c r="G195" s="90">
        <f t="shared" si="6"/>
        <v>5980.0950000000003</v>
      </c>
    </row>
    <row r="196" spans="3:7" x14ac:dyDescent="0.25">
      <c r="C196" s="95" t="s">
        <v>313</v>
      </c>
      <c r="D196" s="98">
        <v>0.13850000000000001</v>
      </c>
      <c r="E196" s="90">
        <f t="shared" si="5"/>
        <v>6053.5249999999996</v>
      </c>
      <c r="F196" s="98">
        <v>0.124</v>
      </c>
      <c r="G196" s="90">
        <f t="shared" si="6"/>
        <v>6158.7</v>
      </c>
    </row>
    <row r="197" spans="3:7" x14ac:dyDescent="0.25">
      <c r="C197" s="96" t="s">
        <v>314</v>
      </c>
      <c r="D197" s="98">
        <v>0.22589999999999999</v>
      </c>
      <c r="E197" s="90">
        <f t="shared" si="5"/>
        <v>6372.5349999999999</v>
      </c>
      <c r="F197" s="98">
        <v>0.21890000000000001</v>
      </c>
      <c r="G197" s="90">
        <f t="shared" si="6"/>
        <v>6507.4575000000004</v>
      </c>
    </row>
    <row r="198" spans="3:7" x14ac:dyDescent="0.25">
      <c r="C198" s="96" t="s">
        <v>315</v>
      </c>
      <c r="D198" s="98">
        <v>0.1895</v>
      </c>
      <c r="E198" s="90">
        <f t="shared" si="5"/>
        <v>6239.6750000000002</v>
      </c>
      <c r="F198" s="98">
        <v>0.1895</v>
      </c>
      <c r="G198" s="90">
        <f t="shared" si="6"/>
        <v>6399.4125000000004</v>
      </c>
    </row>
    <row r="199" spans="3:7" x14ac:dyDescent="0.25">
      <c r="C199" s="95" t="s">
        <v>316</v>
      </c>
      <c r="D199" s="98">
        <v>0.21310000000000001</v>
      </c>
      <c r="E199" s="90">
        <f t="shared" si="5"/>
        <v>6325.8150000000005</v>
      </c>
      <c r="F199" s="98">
        <v>0.20630000000000001</v>
      </c>
      <c r="G199" s="90">
        <f t="shared" si="6"/>
        <v>6461.1525000000001</v>
      </c>
    </row>
    <row r="200" spans="3:7" x14ac:dyDescent="0.25">
      <c r="C200" s="95" t="s">
        <v>317</v>
      </c>
      <c r="D200" s="98">
        <v>7.0199999999999999E-2</v>
      </c>
      <c r="E200" s="90">
        <f t="shared" si="5"/>
        <v>5804.23</v>
      </c>
      <c r="F200" s="98">
        <v>7.0199999999999999E-2</v>
      </c>
      <c r="G200" s="90">
        <f t="shared" si="6"/>
        <v>5960.9849999999997</v>
      </c>
    </row>
    <row r="201" spans="3:7" x14ac:dyDescent="0.25">
      <c r="C201" s="95" t="s">
        <v>318</v>
      </c>
      <c r="D201" s="98">
        <v>0.13550000000000001</v>
      </c>
      <c r="E201" s="90">
        <f t="shared" si="5"/>
        <v>6042.5749999999998</v>
      </c>
      <c r="F201" s="98">
        <v>0.13550000000000001</v>
      </c>
      <c r="G201" s="90">
        <f t="shared" si="6"/>
        <v>6200.9624999999996</v>
      </c>
    </row>
    <row r="202" spans="3:7" x14ac:dyDescent="0.25">
      <c r="C202" s="95" t="s">
        <v>319</v>
      </c>
      <c r="D202" s="98">
        <v>0.25700000000000001</v>
      </c>
      <c r="E202" s="90">
        <f t="shared" si="5"/>
        <v>6486.05</v>
      </c>
      <c r="F202" s="98">
        <v>0.23799999999999999</v>
      </c>
      <c r="G202" s="90">
        <f t="shared" si="6"/>
        <v>6577.65</v>
      </c>
    </row>
    <row r="203" spans="3:7" x14ac:dyDescent="0.25">
      <c r="C203" s="95" t="s">
        <v>320</v>
      </c>
      <c r="D203" s="98">
        <v>0.14879999999999999</v>
      </c>
      <c r="E203" s="90">
        <f t="shared" si="5"/>
        <v>6091.12</v>
      </c>
      <c r="F203" s="98">
        <v>0.14879999999999999</v>
      </c>
      <c r="G203" s="90">
        <f t="shared" si="6"/>
        <v>6249.84</v>
      </c>
    </row>
    <row r="204" spans="3:7" x14ac:dyDescent="0.25">
      <c r="C204" s="95" t="s">
        <v>321</v>
      </c>
      <c r="D204" s="98">
        <v>0.1157</v>
      </c>
      <c r="E204" s="90">
        <f t="shared" si="5"/>
        <v>5970.3050000000003</v>
      </c>
      <c r="F204" s="98">
        <v>0.1157</v>
      </c>
      <c r="G204" s="90">
        <f t="shared" si="6"/>
        <v>6128.1975000000002</v>
      </c>
    </row>
    <row r="205" spans="3:7" x14ac:dyDescent="0.25">
      <c r="C205" s="95" t="s">
        <v>322</v>
      </c>
      <c r="D205" s="98">
        <v>7.1800000000000003E-2</v>
      </c>
      <c r="E205" s="90">
        <f t="shared" si="5"/>
        <v>5810.07</v>
      </c>
      <c r="F205" s="98">
        <v>7.1400000000000005E-2</v>
      </c>
      <c r="G205" s="90">
        <f t="shared" si="6"/>
        <v>5965.3950000000004</v>
      </c>
    </row>
    <row r="206" spans="3:7" x14ac:dyDescent="0.25">
      <c r="C206" s="95" t="s">
        <v>323</v>
      </c>
      <c r="D206" s="98">
        <v>0.1268</v>
      </c>
      <c r="E206" s="90">
        <f t="shared" si="5"/>
        <v>6010.82</v>
      </c>
      <c r="F206" s="98">
        <v>0.1242</v>
      </c>
      <c r="G206" s="90">
        <f t="shared" si="6"/>
        <v>6159.4350000000004</v>
      </c>
    </row>
    <row r="207" spans="3:7" x14ac:dyDescent="0.25">
      <c r="C207" s="95" t="s">
        <v>324</v>
      </c>
      <c r="D207" s="98">
        <v>0.19869999999999999</v>
      </c>
      <c r="E207" s="90">
        <f t="shared" si="5"/>
        <v>6273.2550000000001</v>
      </c>
      <c r="F207" s="98">
        <v>0.18959999999999999</v>
      </c>
      <c r="G207" s="90">
        <f t="shared" si="6"/>
        <v>6399.78</v>
      </c>
    </row>
    <row r="208" spans="3:7" x14ac:dyDescent="0.25">
      <c r="C208" s="95" t="s">
        <v>325</v>
      </c>
      <c r="D208" s="98">
        <v>5.3699999999999998E-2</v>
      </c>
      <c r="E208" s="90">
        <f t="shared" si="5"/>
        <v>5744.0050000000001</v>
      </c>
      <c r="F208" s="98">
        <v>5.3699999999999998E-2</v>
      </c>
      <c r="G208" s="90">
        <f t="shared" si="6"/>
        <v>5900.3474999999999</v>
      </c>
    </row>
    <row r="209" spans="3:7" x14ac:dyDescent="0.25">
      <c r="C209" s="97" t="s">
        <v>326</v>
      </c>
      <c r="D209" s="98">
        <v>0.1275</v>
      </c>
      <c r="E209" s="90">
        <f t="shared" ref="E209:E272" si="7">(D209*$J$19)+$J$18</f>
        <v>6013.375</v>
      </c>
      <c r="F209" s="98">
        <v>0.1275</v>
      </c>
      <c r="G209" s="90">
        <f t="shared" si="6"/>
        <v>6171.5625</v>
      </c>
    </row>
    <row r="210" spans="3:7" x14ac:dyDescent="0.25">
      <c r="C210" s="95" t="s">
        <v>327</v>
      </c>
      <c r="D210" s="98">
        <v>0.20300000000000001</v>
      </c>
      <c r="E210" s="90">
        <f t="shared" si="7"/>
        <v>6288.95</v>
      </c>
      <c r="F210" s="98">
        <v>0.19989999999999999</v>
      </c>
      <c r="G210" s="90">
        <f t="shared" si="6"/>
        <v>6437.6324999999997</v>
      </c>
    </row>
    <row r="211" spans="3:7" x14ac:dyDescent="0.25">
      <c r="C211" s="95" t="s">
        <v>328</v>
      </c>
      <c r="D211" s="98">
        <v>0.24540000000000001</v>
      </c>
      <c r="E211" s="90">
        <f t="shared" si="7"/>
        <v>6443.71</v>
      </c>
      <c r="F211" s="98">
        <v>0.22439999999999999</v>
      </c>
      <c r="G211" s="90">
        <f t="shared" ref="G211:G274" si="8">(F211*$K$19)+$K$18</f>
        <v>6527.67</v>
      </c>
    </row>
    <row r="212" spans="3:7" x14ac:dyDescent="0.25">
      <c r="C212" s="96" t="s">
        <v>329</v>
      </c>
      <c r="D212" s="98">
        <v>0.2036</v>
      </c>
      <c r="E212" s="90">
        <f t="shared" si="7"/>
        <v>6291.14</v>
      </c>
      <c r="F212" s="98">
        <v>0.1804</v>
      </c>
      <c r="G212" s="90">
        <f t="shared" si="8"/>
        <v>6365.97</v>
      </c>
    </row>
    <row r="213" spans="3:7" x14ac:dyDescent="0.25">
      <c r="C213" s="95" t="s">
        <v>330</v>
      </c>
      <c r="D213" s="98">
        <v>0.18440000000000001</v>
      </c>
      <c r="E213" s="90">
        <f t="shared" si="7"/>
        <v>6221.06</v>
      </c>
      <c r="F213" s="98">
        <v>0.1802</v>
      </c>
      <c r="G213" s="90">
        <f t="shared" si="8"/>
        <v>6365.2349999999997</v>
      </c>
    </row>
    <row r="214" spans="3:7" x14ac:dyDescent="0.25">
      <c r="C214" s="95" t="s">
        <v>331</v>
      </c>
      <c r="D214" s="98">
        <v>0.1182</v>
      </c>
      <c r="E214" s="90">
        <f t="shared" si="7"/>
        <v>5979.43</v>
      </c>
      <c r="F214" s="98">
        <v>0.1023</v>
      </c>
      <c r="G214" s="90">
        <f t="shared" si="8"/>
        <v>6078.9525000000003</v>
      </c>
    </row>
    <row r="215" spans="3:7" x14ac:dyDescent="0.25">
      <c r="C215" s="95" t="s">
        <v>332</v>
      </c>
      <c r="D215" s="98">
        <v>0.37419999999999998</v>
      </c>
      <c r="E215" s="90">
        <f t="shared" si="7"/>
        <v>6913.83</v>
      </c>
      <c r="F215" s="98">
        <v>0.34920000000000001</v>
      </c>
      <c r="G215" s="90">
        <f t="shared" si="8"/>
        <v>6986.3099999999995</v>
      </c>
    </row>
    <row r="216" spans="3:7" x14ac:dyDescent="0.25">
      <c r="C216" s="95" t="s">
        <v>333</v>
      </c>
      <c r="D216" s="98">
        <v>0.128</v>
      </c>
      <c r="E216" s="90">
        <f t="shared" si="7"/>
        <v>6015.2</v>
      </c>
      <c r="F216" s="98">
        <v>0.128</v>
      </c>
      <c r="G216" s="90">
        <f t="shared" si="8"/>
        <v>6173.4</v>
      </c>
    </row>
    <row r="217" spans="3:7" x14ac:dyDescent="0.25">
      <c r="C217" s="97" t="s">
        <v>334</v>
      </c>
      <c r="D217" s="98">
        <v>0.39150000000000001</v>
      </c>
      <c r="E217" s="90">
        <f t="shared" si="7"/>
        <v>6976.9750000000004</v>
      </c>
      <c r="F217" s="98">
        <v>0.39150000000000001</v>
      </c>
      <c r="G217" s="90">
        <f t="shared" si="8"/>
        <v>7141.7624999999998</v>
      </c>
    </row>
    <row r="218" spans="3:7" x14ac:dyDescent="0.25">
      <c r="C218" s="95" t="s">
        <v>335</v>
      </c>
      <c r="D218" s="98">
        <v>0.18740000000000001</v>
      </c>
      <c r="E218" s="90">
        <f t="shared" si="7"/>
        <v>6232.01</v>
      </c>
      <c r="F218" s="98">
        <v>0.16239999999999999</v>
      </c>
      <c r="G218" s="90">
        <f t="shared" si="8"/>
        <v>6299.82</v>
      </c>
    </row>
    <row r="219" spans="3:7" x14ac:dyDescent="0.25">
      <c r="C219" s="95" t="s">
        <v>336</v>
      </c>
      <c r="D219" s="98">
        <v>8.6800000000000002E-2</v>
      </c>
      <c r="E219" s="90">
        <f t="shared" si="7"/>
        <v>5864.82</v>
      </c>
      <c r="F219" s="98">
        <v>7.9399999999999998E-2</v>
      </c>
      <c r="G219" s="90">
        <f t="shared" si="8"/>
        <v>5994.7950000000001</v>
      </c>
    </row>
    <row r="220" spans="3:7" x14ac:dyDescent="0.25">
      <c r="C220" s="95" t="s">
        <v>337</v>
      </c>
      <c r="D220" s="98">
        <v>0.15970000000000001</v>
      </c>
      <c r="E220" s="90">
        <f t="shared" si="7"/>
        <v>6130.9049999999997</v>
      </c>
      <c r="F220" s="98">
        <v>0.15970000000000001</v>
      </c>
      <c r="G220" s="90">
        <f t="shared" si="8"/>
        <v>6289.8975</v>
      </c>
    </row>
    <row r="221" spans="3:7" x14ac:dyDescent="0.25">
      <c r="C221" s="95" t="s">
        <v>338</v>
      </c>
      <c r="D221" s="98">
        <v>0.20380000000000001</v>
      </c>
      <c r="E221" s="90">
        <f t="shared" si="7"/>
        <v>6291.87</v>
      </c>
      <c r="F221" s="98">
        <v>0.17879999999999999</v>
      </c>
      <c r="G221" s="90">
        <f t="shared" si="8"/>
        <v>6360.09</v>
      </c>
    </row>
    <row r="222" spans="3:7" x14ac:dyDescent="0.25">
      <c r="C222" s="97" t="s">
        <v>339</v>
      </c>
      <c r="D222" s="98">
        <v>0.54590000000000005</v>
      </c>
      <c r="E222" s="90">
        <f t="shared" si="7"/>
        <v>7540.5349999999999</v>
      </c>
      <c r="F222" s="98">
        <v>0.52090000000000003</v>
      </c>
      <c r="G222" s="90">
        <f t="shared" si="8"/>
        <v>7617.3074999999999</v>
      </c>
    </row>
    <row r="223" spans="3:7" x14ac:dyDescent="0.25">
      <c r="C223" s="97" t="s">
        <v>340</v>
      </c>
      <c r="D223" s="98">
        <v>0.36799999999999999</v>
      </c>
      <c r="E223" s="90">
        <f t="shared" si="7"/>
        <v>6891.2</v>
      </c>
      <c r="F223" s="98">
        <v>0.34300000000000003</v>
      </c>
      <c r="G223" s="90">
        <f t="shared" si="8"/>
        <v>6963.5249999999996</v>
      </c>
    </row>
    <row r="224" spans="3:7" x14ac:dyDescent="0.25">
      <c r="C224" s="95" t="s">
        <v>341</v>
      </c>
      <c r="D224" s="98">
        <v>0.1729</v>
      </c>
      <c r="E224" s="90">
        <f t="shared" si="7"/>
        <v>6179.085</v>
      </c>
      <c r="F224" s="98">
        <v>0.1729</v>
      </c>
      <c r="G224" s="90">
        <f t="shared" si="8"/>
        <v>6338.4075000000003</v>
      </c>
    </row>
    <row r="225" spans="3:7" x14ac:dyDescent="0.25">
      <c r="C225" s="95" t="s">
        <v>342</v>
      </c>
      <c r="D225" s="98">
        <v>0.26750000000000002</v>
      </c>
      <c r="E225" s="90">
        <f t="shared" si="7"/>
        <v>6524.375</v>
      </c>
      <c r="F225" s="98">
        <v>0.2606</v>
      </c>
      <c r="G225" s="90">
        <f t="shared" si="8"/>
        <v>6660.7049999999999</v>
      </c>
    </row>
    <row r="226" spans="3:7" x14ac:dyDescent="0.25">
      <c r="C226" s="95" t="s">
        <v>343</v>
      </c>
      <c r="D226" s="98">
        <v>0.13020000000000001</v>
      </c>
      <c r="E226" s="90">
        <f t="shared" si="7"/>
        <v>6023.23</v>
      </c>
      <c r="F226" s="98">
        <v>0.13020000000000001</v>
      </c>
      <c r="G226" s="90">
        <f t="shared" si="8"/>
        <v>6181.4849999999997</v>
      </c>
    </row>
    <row r="227" spans="3:7" x14ac:dyDescent="0.25">
      <c r="C227" s="95" t="s">
        <v>344</v>
      </c>
      <c r="D227" s="98">
        <v>4.9000000000000002E-2</v>
      </c>
      <c r="E227" s="90">
        <f t="shared" si="7"/>
        <v>5726.85</v>
      </c>
      <c r="F227" s="98">
        <v>4.9000000000000002E-2</v>
      </c>
      <c r="G227" s="90">
        <f t="shared" si="8"/>
        <v>5883.0749999999998</v>
      </c>
    </row>
    <row r="228" spans="3:7" x14ac:dyDescent="0.25">
      <c r="C228" s="95" t="s">
        <v>345</v>
      </c>
      <c r="D228" s="98">
        <v>0.23200000000000001</v>
      </c>
      <c r="E228" s="90">
        <f t="shared" si="7"/>
        <v>6394.8</v>
      </c>
      <c r="F228" s="98">
        <v>0.20699999999999999</v>
      </c>
      <c r="G228" s="90">
        <f t="shared" si="8"/>
        <v>6463.7250000000004</v>
      </c>
    </row>
    <row r="229" spans="3:7" x14ac:dyDescent="0.25">
      <c r="C229" s="95" t="s">
        <v>346</v>
      </c>
      <c r="D229" s="98">
        <v>0.25729999999999997</v>
      </c>
      <c r="E229" s="90">
        <f t="shared" si="7"/>
        <v>6487.1449999999995</v>
      </c>
      <c r="F229" s="98">
        <v>0.2455</v>
      </c>
      <c r="G229" s="90">
        <f t="shared" si="8"/>
        <v>6605.2124999999996</v>
      </c>
    </row>
    <row r="230" spans="3:7" x14ac:dyDescent="0.25">
      <c r="C230" s="95" t="s">
        <v>347</v>
      </c>
      <c r="D230" s="98">
        <v>0.21129999999999999</v>
      </c>
      <c r="E230" s="90">
        <f t="shared" si="7"/>
        <v>6319.2449999999999</v>
      </c>
      <c r="F230" s="98">
        <v>0.1875</v>
      </c>
      <c r="G230" s="90">
        <f t="shared" si="8"/>
        <v>6392.0625</v>
      </c>
    </row>
    <row r="231" spans="3:7" x14ac:dyDescent="0.25">
      <c r="C231" s="95" t="s">
        <v>348</v>
      </c>
      <c r="D231" s="98">
        <v>0.16039999999999999</v>
      </c>
      <c r="E231" s="90">
        <f t="shared" si="7"/>
        <v>6133.46</v>
      </c>
      <c r="F231" s="98">
        <v>0.13539999999999999</v>
      </c>
      <c r="G231" s="90">
        <f t="shared" si="8"/>
        <v>6200.5950000000003</v>
      </c>
    </row>
    <row r="232" spans="3:7" x14ac:dyDescent="0.25">
      <c r="C232" s="95" t="s">
        <v>349</v>
      </c>
      <c r="D232" s="98">
        <v>0.113</v>
      </c>
      <c r="E232" s="90">
        <f t="shared" si="7"/>
        <v>5960.45</v>
      </c>
      <c r="F232" s="98">
        <v>0.113</v>
      </c>
      <c r="G232" s="90">
        <f t="shared" si="8"/>
        <v>6118.2749999999996</v>
      </c>
    </row>
    <row r="233" spans="3:7" x14ac:dyDescent="0.25">
      <c r="C233" s="95" t="s">
        <v>350</v>
      </c>
      <c r="D233" s="98">
        <v>0.18540000000000001</v>
      </c>
      <c r="E233" s="90">
        <f t="shared" si="7"/>
        <v>6224.71</v>
      </c>
      <c r="F233" s="98">
        <v>0.17460000000000001</v>
      </c>
      <c r="G233" s="90">
        <f t="shared" si="8"/>
        <v>6344.6549999999997</v>
      </c>
    </row>
    <row r="234" spans="3:7" x14ac:dyDescent="0.25">
      <c r="C234" s="95" t="s">
        <v>351</v>
      </c>
      <c r="D234" s="98">
        <v>0.1333</v>
      </c>
      <c r="E234" s="90">
        <f t="shared" si="7"/>
        <v>6034.5450000000001</v>
      </c>
      <c r="F234" s="98">
        <v>0.1333</v>
      </c>
      <c r="G234" s="90">
        <f t="shared" si="8"/>
        <v>6192.8774999999996</v>
      </c>
    </row>
    <row r="235" spans="3:7" x14ac:dyDescent="0.25">
      <c r="C235" s="95" t="s">
        <v>352</v>
      </c>
      <c r="D235" s="98">
        <v>0.11260000000000001</v>
      </c>
      <c r="E235" s="90">
        <f t="shared" si="7"/>
        <v>5958.99</v>
      </c>
      <c r="F235" s="98">
        <v>0.11260000000000001</v>
      </c>
      <c r="G235" s="90">
        <f t="shared" si="8"/>
        <v>6116.8050000000003</v>
      </c>
    </row>
    <row r="236" spans="3:7" x14ac:dyDescent="0.25">
      <c r="C236" s="95" t="s">
        <v>353</v>
      </c>
      <c r="D236" s="98">
        <v>0.19339999999999999</v>
      </c>
      <c r="E236" s="90">
        <f t="shared" si="7"/>
        <v>6253.91</v>
      </c>
      <c r="F236" s="98">
        <v>0.18629999999999999</v>
      </c>
      <c r="G236" s="90">
        <f t="shared" si="8"/>
        <v>6387.6525000000001</v>
      </c>
    </row>
    <row r="237" spans="3:7" x14ac:dyDescent="0.25">
      <c r="C237" s="95" t="s">
        <v>354</v>
      </c>
      <c r="D237" s="98">
        <v>6.3200000000000006E-2</v>
      </c>
      <c r="E237" s="90">
        <f t="shared" si="7"/>
        <v>5778.68</v>
      </c>
      <c r="F237" s="98">
        <v>6.3200000000000006E-2</v>
      </c>
      <c r="G237" s="90">
        <f t="shared" si="8"/>
        <v>5935.26</v>
      </c>
    </row>
    <row r="238" spans="3:7" x14ac:dyDescent="0.25">
      <c r="C238" s="95" t="s">
        <v>355</v>
      </c>
      <c r="D238" s="98">
        <v>0.1363</v>
      </c>
      <c r="E238" s="90">
        <f t="shared" si="7"/>
        <v>6045.4949999999999</v>
      </c>
      <c r="F238" s="98">
        <v>0.1361</v>
      </c>
      <c r="G238" s="90">
        <f t="shared" si="8"/>
        <v>6203.1674999999996</v>
      </c>
    </row>
    <row r="239" spans="3:7" x14ac:dyDescent="0.25">
      <c r="C239" s="95" t="s">
        <v>356</v>
      </c>
      <c r="D239" s="98">
        <v>0.36109999999999998</v>
      </c>
      <c r="E239" s="90">
        <f t="shared" si="7"/>
        <v>6866.0149999999994</v>
      </c>
      <c r="F239" s="98">
        <v>0.34250000000000003</v>
      </c>
      <c r="G239" s="90">
        <f t="shared" si="8"/>
        <v>6961.6875</v>
      </c>
    </row>
    <row r="240" spans="3:7" x14ac:dyDescent="0.25">
      <c r="C240" s="96" t="s">
        <v>357</v>
      </c>
      <c r="D240" s="98">
        <v>8.7999999999999995E-2</v>
      </c>
      <c r="E240" s="90">
        <f t="shared" si="7"/>
        <v>5869.2</v>
      </c>
      <c r="F240" s="98">
        <v>8.7999999999999995E-2</v>
      </c>
      <c r="G240" s="90">
        <f t="shared" si="8"/>
        <v>6026.4</v>
      </c>
    </row>
    <row r="241" spans="3:7" x14ac:dyDescent="0.25">
      <c r="C241" s="95" t="s">
        <v>358</v>
      </c>
      <c r="D241" s="98">
        <v>0.19040000000000001</v>
      </c>
      <c r="E241" s="90">
        <f t="shared" si="7"/>
        <v>6242.96</v>
      </c>
      <c r="F241" s="98">
        <v>0.19040000000000001</v>
      </c>
      <c r="G241" s="90">
        <f t="shared" si="8"/>
        <v>6402.72</v>
      </c>
    </row>
    <row r="242" spans="3:7" x14ac:dyDescent="0.25">
      <c r="C242" s="95" t="s">
        <v>359</v>
      </c>
      <c r="D242" s="98">
        <v>8.2600000000000007E-2</v>
      </c>
      <c r="E242" s="90">
        <f t="shared" si="7"/>
        <v>5849.49</v>
      </c>
      <c r="F242" s="98">
        <v>8.2600000000000007E-2</v>
      </c>
      <c r="G242" s="90">
        <f t="shared" si="8"/>
        <v>6006.5550000000003</v>
      </c>
    </row>
    <row r="243" spans="3:7" x14ac:dyDescent="0.25">
      <c r="C243" s="95" t="s">
        <v>360</v>
      </c>
      <c r="D243" s="98">
        <v>0.15629999999999999</v>
      </c>
      <c r="E243" s="90">
        <f t="shared" si="7"/>
        <v>6118.4949999999999</v>
      </c>
      <c r="F243" s="98">
        <v>0.15210000000000001</v>
      </c>
      <c r="G243" s="90">
        <f t="shared" si="8"/>
        <v>6261.9674999999997</v>
      </c>
    </row>
    <row r="244" spans="3:7" x14ac:dyDescent="0.25">
      <c r="C244" s="95" t="s">
        <v>361</v>
      </c>
      <c r="D244" s="98">
        <v>0.14799999999999999</v>
      </c>
      <c r="E244" s="90">
        <f t="shared" si="7"/>
        <v>6088.2</v>
      </c>
      <c r="F244" s="98">
        <v>0.14799999999999999</v>
      </c>
      <c r="G244" s="90">
        <f t="shared" si="8"/>
        <v>6246.9</v>
      </c>
    </row>
    <row r="245" spans="3:7" x14ac:dyDescent="0.25">
      <c r="C245" s="95" t="s">
        <v>362</v>
      </c>
      <c r="D245" s="98">
        <v>9.8500000000000004E-2</v>
      </c>
      <c r="E245" s="90">
        <f t="shared" si="7"/>
        <v>5907.5249999999996</v>
      </c>
      <c r="F245" s="98">
        <v>9.8500000000000004E-2</v>
      </c>
      <c r="G245" s="90">
        <f t="shared" si="8"/>
        <v>6064.9875000000002</v>
      </c>
    </row>
    <row r="246" spans="3:7" x14ac:dyDescent="0.25">
      <c r="C246" s="95" t="s">
        <v>363</v>
      </c>
      <c r="D246" s="98">
        <v>9.1200000000000003E-2</v>
      </c>
      <c r="E246" s="90">
        <f t="shared" si="7"/>
        <v>5880.88</v>
      </c>
      <c r="F246" s="98">
        <v>9.1200000000000003E-2</v>
      </c>
      <c r="G246" s="90">
        <f t="shared" si="8"/>
        <v>6038.16</v>
      </c>
    </row>
    <row r="247" spans="3:7" x14ac:dyDescent="0.25">
      <c r="C247" s="95" t="s">
        <v>364</v>
      </c>
      <c r="D247" s="98">
        <v>0.122</v>
      </c>
      <c r="E247" s="90">
        <f t="shared" si="7"/>
        <v>5993.3</v>
      </c>
      <c r="F247" s="98">
        <v>0.1057</v>
      </c>
      <c r="G247" s="90">
        <f t="shared" si="8"/>
        <v>6091.4475000000002</v>
      </c>
    </row>
    <row r="248" spans="3:7" x14ac:dyDescent="0.25">
      <c r="C248" s="95" t="s">
        <v>365</v>
      </c>
      <c r="D248" s="98">
        <v>0.21840000000000001</v>
      </c>
      <c r="E248" s="90">
        <f t="shared" si="7"/>
        <v>6345.16</v>
      </c>
      <c r="F248" s="98">
        <v>0.21840000000000001</v>
      </c>
      <c r="G248" s="90">
        <f t="shared" si="8"/>
        <v>6505.62</v>
      </c>
    </row>
    <row r="249" spans="3:7" x14ac:dyDescent="0.25">
      <c r="C249" s="95" t="s">
        <v>366</v>
      </c>
      <c r="D249" s="98">
        <v>0.12089999999999999</v>
      </c>
      <c r="E249" s="90">
        <f t="shared" si="7"/>
        <v>5989.2849999999999</v>
      </c>
      <c r="F249" s="98">
        <v>0.109</v>
      </c>
      <c r="G249" s="90">
        <f t="shared" si="8"/>
        <v>6103.5749999999998</v>
      </c>
    </row>
    <row r="250" spans="3:7" x14ac:dyDescent="0.25">
      <c r="C250" s="95" t="s">
        <v>367</v>
      </c>
      <c r="D250" s="98">
        <v>0.2195</v>
      </c>
      <c r="E250" s="90">
        <f t="shared" si="7"/>
        <v>6349.1750000000002</v>
      </c>
      <c r="F250" s="98">
        <v>0.2152</v>
      </c>
      <c r="G250" s="90">
        <f t="shared" si="8"/>
        <v>6493.86</v>
      </c>
    </row>
    <row r="251" spans="3:7" x14ac:dyDescent="0.25">
      <c r="C251" s="95" t="s">
        <v>368</v>
      </c>
      <c r="D251" s="98">
        <v>0.16309999999999999</v>
      </c>
      <c r="E251" s="90">
        <f t="shared" si="7"/>
        <v>6143.3149999999996</v>
      </c>
      <c r="F251" s="98">
        <v>0.15759999999999999</v>
      </c>
      <c r="G251" s="90">
        <f t="shared" si="8"/>
        <v>6282.18</v>
      </c>
    </row>
    <row r="252" spans="3:7" x14ac:dyDescent="0.25">
      <c r="C252" s="95" t="s">
        <v>369</v>
      </c>
      <c r="D252" s="98">
        <v>0.2248</v>
      </c>
      <c r="E252" s="90">
        <f t="shared" si="7"/>
        <v>6368.52</v>
      </c>
      <c r="F252" s="98">
        <v>0.2248</v>
      </c>
      <c r="G252" s="90">
        <f t="shared" si="8"/>
        <v>6529.14</v>
      </c>
    </row>
    <row r="253" spans="3:7" x14ac:dyDescent="0.25">
      <c r="C253" s="95" t="s">
        <v>370</v>
      </c>
      <c r="D253" s="98">
        <v>3.5200000000000002E-2</v>
      </c>
      <c r="E253" s="90">
        <f t="shared" si="7"/>
        <v>5676.48</v>
      </c>
      <c r="F253" s="98">
        <v>3.5200000000000002E-2</v>
      </c>
      <c r="G253" s="90">
        <f t="shared" si="8"/>
        <v>5832.36</v>
      </c>
    </row>
    <row r="254" spans="3:7" x14ac:dyDescent="0.25">
      <c r="C254" s="95" t="s">
        <v>371</v>
      </c>
      <c r="D254" s="98">
        <v>0.2092</v>
      </c>
      <c r="E254" s="90">
        <f t="shared" si="7"/>
        <v>6311.58</v>
      </c>
      <c r="F254" s="98">
        <v>0.1842</v>
      </c>
      <c r="G254" s="90">
        <f t="shared" si="8"/>
        <v>6379.9350000000004</v>
      </c>
    </row>
    <row r="255" spans="3:7" x14ac:dyDescent="0.25">
      <c r="C255" s="95" t="s">
        <v>372</v>
      </c>
      <c r="D255" s="98">
        <v>6.3799999999999996E-2</v>
      </c>
      <c r="E255" s="90">
        <f t="shared" si="7"/>
        <v>5780.87</v>
      </c>
      <c r="F255" s="98">
        <v>6.3799999999999996E-2</v>
      </c>
      <c r="G255" s="90">
        <f t="shared" si="8"/>
        <v>5937.4650000000001</v>
      </c>
    </row>
    <row r="256" spans="3:7" x14ac:dyDescent="0.25">
      <c r="C256" s="95" t="s">
        <v>373</v>
      </c>
      <c r="D256" s="98">
        <v>0.10489999999999999</v>
      </c>
      <c r="E256" s="90">
        <f t="shared" si="7"/>
        <v>5930.8850000000002</v>
      </c>
      <c r="F256" s="98">
        <v>7.9899999999999999E-2</v>
      </c>
      <c r="G256" s="90">
        <f t="shared" si="8"/>
        <v>5996.6324999999997</v>
      </c>
    </row>
    <row r="257" spans="3:7" x14ac:dyDescent="0.25">
      <c r="C257" s="95" t="s">
        <v>374</v>
      </c>
      <c r="D257" s="98">
        <v>9.0399999999999994E-2</v>
      </c>
      <c r="E257" s="90">
        <f t="shared" si="7"/>
        <v>5877.96</v>
      </c>
      <c r="F257" s="98">
        <v>8.1799999999999998E-2</v>
      </c>
      <c r="G257" s="90">
        <f t="shared" si="8"/>
        <v>6003.6149999999998</v>
      </c>
    </row>
    <row r="258" spans="3:7" x14ac:dyDescent="0.25">
      <c r="C258" s="95" t="s">
        <v>375</v>
      </c>
      <c r="D258" s="98">
        <v>0.25130000000000002</v>
      </c>
      <c r="E258" s="90">
        <f t="shared" si="7"/>
        <v>6465.2449999999999</v>
      </c>
      <c r="F258" s="98">
        <v>0.23330000000000001</v>
      </c>
      <c r="G258" s="90">
        <f t="shared" si="8"/>
        <v>6560.3775000000005</v>
      </c>
    </row>
    <row r="259" spans="3:7" x14ac:dyDescent="0.25">
      <c r="C259" s="95" t="s">
        <v>376</v>
      </c>
      <c r="D259" s="98">
        <v>0.1797</v>
      </c>
      <c r="E259" s="90">
        <f t="shared" si="7"/>
        <v>6203.9049999999997</v>
      </c>
      <c r="F259" s="98">
        <v>0.1797</v>
      </c>
      <c r="G259" s="90">
        <f t="shared" si="8"/>
        <v>6363.3975</v>
      </c>
    </row>
    <row r="260" spans="3:7" x14ac:dyDescent="0.25">
      <c r="C260" s="96" t="s">
        <v>377</v>
      </c>
      <c r="D260" s="98">
        <v>0.10929999999999999</v>
      </c>
      <c r="E260" s="90">
        <f t="shared" si="7"/>
        <v>5946.9449999999997</v>
      </c>
      <c r="F260" s="98">
        <v>0.1043</v>
      </c>
      <c r="G260" s="90">
        <f t="shared" si="8"/>
        <v>6086.3024999999998</v>
      </c>
    </row>
    <row r="261" spans="3:7" x14ac:dyDescent="0.25">
      <c r="C261" s="95" t="s">
        <v>378</v>
      </c>
      <c r="D261" s="98">
        <v>0.22539999999999999</v>
      </c>
      <c r="E261" s="90">
        <f t="shared" si="7"/>
        <v>6370.71</v>
      </c>
      <c r="F261" s="98">
        <v>0.20039999999999999</v>
      </c>
      <c r="G261" s="90">
        <f t="shared" si="8"/>
        <v>6439.47</v>
      </c>
    </row>
    <row r="262" spans="3:7" x14ac:dyDescent="0.25">
      <c r="C262" s="95" t="s">
        <v>379</v>
      </c>
      <c r="D262" s="98">
        <v>0.2029</v>
      </c>
      <c r="E262" s="90">
        <f t="shared" si="7"/>
        <v>6288.585</v>
      </c>
      <c r="F262" s="98">
        <v>0.1779</v>
      </c>
      <c r="G262" s="90">
        <f t="shared" si="8"/>
        <v>6356.7825000000003</v>
      </c>
    </row>
    <row r="263" spans="3:7" x14ac:dyDescent="0.25">
      <c r="C263" s="96" t="s">
        <v>380</v>
      </c>
      <c r="D263" s="98">
        <v>0.18770000000000001</v>
      </c>
      <c r="E263" s="90">
        <f t="shared" si="7"/>
        <v>6233.1049999999996</v>
      </c>
      <c r="F263" s="98">
        <v>0.16270000000000001</v>
      </c>
      <c r="G263" s="90">
        <f t="shared" si="8"/>
        <v>6300.9224999999997</v>
      </c>
    </row>
    <row r="264" spans="3:7" x14ac:dyDescent="0.25">
      <c r="C264" s="95" t="s">
        <v>381</v>
      </c>
      <c r="D264" s="98">
        <v>5.3199999999999997E-2</v>
      </c>
      <c r="E264" s="90">
        <f t="shared" si="7"/>
        <v>5742.18</v>
      </c>
      <c r="F264" s="98">
        <v>5.3199999999999997E-2</v>
      </c>
      <c r="G264" s="90">
        <f t="shared" si="8"/>
        <v>5898.51</v>
      </c>
    </row>
    <row r="265" spans="3:7" x14ac:dyDescent="0.25">
      <c r="C265" s="95" t="s">
        <v>382</v>
      </c>
      <c r="D265" s="98">
        <v>0.2069</v>
      </c>
      <c r="E265" s="90">
        <f t="shared" si="7"/>
        <v>6303.1849999999995</v>
      </c>
      <c r="F265" s="98">
        <v>0.2044</v>
      </c>
      <c r="G265" s="90">
        <f t="shared" si="8"/>
        <v>6454.17</v>
      </c>
    </row>
    <row r="266" spans="3:7" x14ac:dyDescent="0.25">
      <c r="C266" s="95" t="s">
        <v>383</v>
      </c>
      <c r="D266" s="98">
        <v>0.27800000000000002</v>
      </c>
      <c r="E266" s="90">
        <f t="shared" si="7"/>
        <v>6562.7</v>
      </c>
      <c r="F266" s="98">
        <v>0.27800000000000002</v>
      </c>
      <c r="G266" s="90">
        <f t="shared" si="8"/>
        <v>6724.65</v>
      </c>
    </row>
    <row r="267" spans="3:7" x14ac:dyDescent="0.25">
      <c r="C267" s="95" t="s">
        <v>384</v>
      </c>
      <c r="D267" s="98">
        <v>0.17230000000000001</v>
      </c>
      <c r="E267" s="90">
        <f t="shared" si="7"/>
        <v>6176.8950000000004</v>
      </c>
      <c r="F267" s="98">
        <v>0.17230000000000001</v>
      </c>
      <c r="G267" s="90">
        <f t="shared" si="8"/>
        <v>6336.2025000000003</v>
      </c>
    </row>
    <row r="268" spans="3:7" x14ac:dyDescent="0.25">
      <c r="C268" s="95" t="s">
        <v>385</v>
      </c>
      <c r="D268" s="98">
        <v>0.1004</v>
      </c>
      <c r="E268" s="90">
        <f t="shared" si="7"/>
        <v>5914.46</v>
      </c>
      <c r="F268" s="98">
        <v>0.1004</v>
      </c>
      <c r="G268" s="90">
        <f t="shared" si="8"/>
        <v>6071.97</v>
      </c>
    </row>
    <row r="269" spans="3:7" x14ac:dyDescent="0.25">
      <c r="C269" s="95" t="s">
        <v>386</v>
      </c>
      <c r="D269" s="98">
        <v>0.13519999999999999</v>
      </c>
      <c r="E269" s="90">
        <f t="shared" si="7"/>
        <v>6041.48</v>
      </c>
      <c r="F269" s="98">
        <v>0.13519999999999999</v>
      </c>
      <c r="G269" s="90">
        <f t="shared" si="8"/>
        <v>6199.86</v>
      </c>
    </row>
    <row r="270" spans="3:7" x14ac:dyDescent="0.25">
      <c r="C270" s="95" t="s">
        <v>387</v>
      </c>
      <c r="D270" s="98">
        <v>0.1113</v>
      </c>
      <c r="E270" s="90">
        <f t="shared" si="7"/>
        <v>5954.2449999999999</v>
      </c>
      <c r="F270" s="98">
        <v>9.4200000000000006E-2</v>
      </c>
      <c r="G270" s="90">
        <f t="shared" si="8"/>
        <v>6049.1850000000004</v>
      </c>
    </row>
    <row r="271" spans="3:7" x14ac:dyDescent="0.25">
      <c r="C271" s="95" t="s">
        <v>388</v>
      </c>
      <c r="D271" s="98">
        <v>0.1128</v>
      </c>
      <c r="E271" s="90">
        <f t="shared" si="7"/>
        <v>5959.72</v>
      </c>
      <c r="F271" s="98">
        <v>0.1128</v>
      </c>
      <c r="G271" s="90">
        <f t="shared" si="8"/>
        <v>6117.54</v>
      </c>
    </row>
    <row r="272" spans="3:7" x14ac:dyDescent="0.25">
      <c r="C272" s="95" t="s">
        <v>389</v>
      </c>
      <c r="D272" s="98">
        <v>0.13489999999999999</v>
      </c>
      <c r="E272" s="90">
        <f t="shared" si="7"/>
        <v>6040.3850000000002</v>
      </c>
      <c r="F272" s="98">
        <v>0.1099</v>
      </c>
      <c r="G272" s="90">
        <f t="shared" si="8"/>
        <v>6106.8824999999997</v>
      </c>
    </row>
    <row r="273" spans="3:7" x14ac:dyDescent="0.25">
      <c r="C273" s="97" t="s">
        <v>390</v>
      </c>
      <c r="D273" s="98">
        <v>9.3299999999999994E-2</v>
      </c>
      <c r="E273" s="90">
        <f t="shared" ref="E273:E306" si="9">(D273*$J$19)+$J$18</f>
        <v>5888.5450000000001</v>
      </c>
      <c r="F273" s="98">
        <v>9.3299999999999994E-2</v>
      </c>
      <c r="G273" s="90">
        <f t="shared" si="8"/>
        <v>6045.8774999999996</v>
      </c>
    </row>
    <row r="274" spans="3:7" x14ac:dyDescent="0.25">
      <c r="C274" s="96" t="s">
        <v>391</v>
      </c>
      <c r="D274" s="98">
        <v>0.12640000000000001</v>
      </c>
      <c r="E274" s="90">
        <f t="shared" si="9"/>
        <v>6009.36</v>
      </c>
      <c r="F274" s="98">
        <v>0.1166</v>
      </c>
      <c r="G274" s="90">
        <f t="shared" si="8"/>
        <v>6131.5050000000001</v>
      </c>
    </row>
    <row r="275" spans="3:7" x14ac:dyDescent="0.25">
      <c r="C275" s="96" t="s">
        <v>392</v>
      </c>
      <c r="D275" s="98">
        <v>0.1452</v>
      </c>
      <c r="E275" s="90">
        <f t="shared" si="9"/>
        <v>6077.98</v>
      </c>
      <c r="F275" s="98">
        <v>0.1452</v>
      </c>
      <c r="G275" s="90">
        <f t="shared" ref="G275:G306" si="10">(F275*$K$19)+$K$18</f>
        <v>6236.61</v>
      </c>
    </row>
    <row r="276" spans="3:7" x14ac:dyDescent="0.25">
      <c r="C276" s="95" t="s">
        <v>393</v>
      </c>
      <c r="D276" s="98">
        <v>0.1346</v>
      </c>
      <c r="E276" s="90">
        <f t="shared" si="9"/>
        <v>6039.29</v>
      </c>
      <c r="F276" s="98">
        <v>0.1346</v>
      </c>
      <c r="G276" s="90">
        <f t="shared" si="10"/>
        <v>6197.6549999999997</v>
      </c>
    </row>
    <row r="277" spans="3:7" x14ac:dyDescent="0.25">
      <c r="C277" s="95" t="s">
        <v>394</v>
      </c>
      <c r="D277" s="98">
        <v>0.12640000000000001</v>
      </c>
      <c r="E277" s="90">
        <f t="shared" si="9"/>
        <v>6009.36</v>
      </c>
      <c r="F277" s="98">
        <v>0.1198</v>
      </c>
      <c r="G277" s="90">
        <f t="shared" si="10"/>
        <v>6143.2650000000003</v>
      </c>
    </row>
    <row r="278" spans="3:7" x14ac:dyDescent="0.25">
      <c r="C278" s="95" t="s">
        <v>395</v>
      </c>
      <c r="D278" s="98">
        <v>0.34260000000000002</v>
      </c>
      <c r="E278" s="90">
        <f t="shared" si="9"/>
        <v>6798.49</v>
      </c>
      <c r="F278" s="98">
        <v>0.34260000000000002</v>
      </c>
      <c r="G278" s="90">
        <f t="shared" si="10"/>
        <v>6962.0550000000003</v>
      </c>
    </row>
    <row r="279" spans="3:7" x14ac:dyDescent="0.25">
      <c r="C279" s="95" t="s">
        <v>396</v>
      </c>
      <c r="D279" s="98">
        <v>7.6700000000000004E-2</v>
      </c>
      <c r="E279" s="90">
        <f t="shared" si="9"/>
        <v>5827.9549999999999</v>
      </c>
      <c r="F279" s="98">
        <v>7.4399999999999994E-2</v>
      </c>
      <c r="G279" s="90">
        <f t="shared" si="10"/>
        <v>5976.42</v>
      </c>
    </row>
    <row r="280" spans="3:7" x14ac:dyDescent="0.25">
      <c r="C280" s="95" t="s">
        <v>397</v>
      </c>
      <c r="D280" s="98">
        <v>0.1547</v>
      </c>
      <c r="E280" s="90">
        <f t="shared" si="9"/>
        <v>6112.6549999999997</v>
      </c>
      <c r="F280" s="98">
        <v>0.13489999999999999</v>
      </c>
      <c r="G280" s="90">
        <f t="shared" si="10"/>
        <v>6198.7574999999997</v>
      </c>
    </row>
    <row r="281" spans="3:7" x14ac:dyDescent="0.25">
      <c r="C281" s="95" t="s">
        <v>398</v>
      </c>
      <c r="D281" s="98">
        <v>8.43E-2</v>
      </c>
      <c r="E281" s="90">
        <f t="shared" si="9"/>
        <v>5855.6949999999997</v>
      </c>
      <c r="F281" s="98">
        <v>8.43E-2</v>
      </c>
      <c r="G281" s="90">
        <f t="shared" si="10"/>
        <v>6012.8024999999998</v>
      </c>
    </row>
    <row r="282" spans="3:7" x14ac:dyDescent="0.25">
      <c r="C282" s="95" t="s">
        <v>399</v>
      </c>
      <c r="D282" s="98">
        <v>0.2636</v>
      </c>
      <c r="E282" s="90">
        <f t="shared" si="9"/>
        <v>6510.14</v>
      </c>
      <c r="F282" s="98">
        <v>0.2636</v>
      </c>
      <c r="G282" s="90">
        <f t="shared" si="10"/>
        <v>6671.73</v>
      </c>
    </row>
    <row r="283" spans="3:7" x14ac:dyDescent="0.25">
      <c r="C283" s="95" t="s">
        <v>400</v>
      </c>
      <c r="D283" s="98">
        <v>0.28620000000000001</v>
      </c>
      <c r="E283" s="90">
        <f t="shared" si="9"/>
        <v>6592.63</v>
      </c>
      <c r="F283" s="98">
        <v>0.26629999999999998</v>
      </c>
      <c r="G283" s="90">
        <f t="shared" si="10"/>
        <v>6681.6525000000001</v>
      </c>
    </row>
    <row r="284" spans="3:7" x14ac:dyDescent="0.25">
      <c r="C284" s="95" t="s">
        <v>401</v>
      </c>
      <c r="D284" s="98">
        <v>0.22309999999999999</v>
      </c>
      <c r="E284" s="90">
        <f t="shared" si="9"/>
        <v>6362.3149999999996</v>
      </c>
      <c r="F284" s="98">
        <v>0.22059999999999999</v>
      </c>
      <c r="G284" s="90">
        <f t="shared" si="10"/>
        <v>6513.7049999999999</v>
      </c>
    </row>
    <row r="285" spans="3:7" x14ac:dyDescent="0.25">
      <c r="C285" s="95" t="s">
        <v>402</v>
      </c>
      <c r="D285" s="98">
        <v>6.54E-2</v>
      </c>
      <c r="E285" s="90">
        <f t="shared" si="9"/>
        <v>5786.71</v>
      </c>
      <c r="F285" s="98">
        <v>6.54E-2</v>
      </c>
      <c r="G285" s="90">
        <f t="shared" si="10"/>
        <v>5943.3450000000003</v>
      </c>
    </row>
    <row r="286" spans="3:7" x14ac:dyDescent="0.25">
      <c r="C286" s="95" t="s">
        <v>403</v>
      </c>
      <c r="D286" s="98">
        <v>8.7900000000000006E-2</v>
      </c>
      <c r="E286" s="90">
        <f t="shared" si="9"/>
        <v>5868.835</v>
      </c>
      <c r="F286" s="98">
        <v>8.7900000000000006E-2</v>
      </c>
      <c r="G286" s="90">
        <f t="shared" si="10"/>
        <v>6026.0325000000003</v>
      </c>
    </row>
    <row r="287" spans="3:7" x14ac:dyDescent="0.25">
      <c r="C287" s="95" t="s">
        <v>404</v>
      </c>
      <c r="D287" s="98">
        <v>0.12820000000000001</v>
      </c>
      <c r="E287" s="90">
        <f t="shared" si="9"/>
        <v>6015.93</v>
      </c>
      <c r="F287" s="98">
        <v>0.1145</v>
      </c>
      <c r="G287" s="90">
        <f t="shared" si="10"/>
        <v>6123.7875000000004</v>
      </c>
    </row>
    <row r="288" spans="3:7" x14ac:dyDescent="0.25">
      <c r="C288" s="95" t="s">
        <v>405</v>
      </c>
      <c r="D288" s="98">
        <v>0.2432</v>
      </c>
      <c r="E288" s="90">
        <f t="shared" si="9"/>
        <v>6435.68</v>
      </c>
      <c r="F288" s="98">
        <v>0.23200000000000001</v>
      </c>
      <c r="G288" s="90">
        <f t="shared" si="10"/>
        <v>6555.6</v>
      </c>
    </row>
    <row r="289" spans="3:7" x14ac:dyDescent="0.25">
      <c r="C289" s="95" t="s">
        <v>406</v>
      </c>
      <c r="D289" s="98">
        <v>0.1241</v>
      </c>
      <c r="E289" s="90">
        <f t="shared" si="9"/>
        <v>6000.9650000000001</v>
      </c>
      <c r="F289" s="98">
        <v>0.10340000000000001</v>
      </c>
      <c r="G289" s="90">
        <f t="shared" si="10"/>
        <v>6082.9949999999999</v>
      </c>
    </row>
    <row r="290" spans="3:7" x14ac:dyDescent="0.25">
      <c r="C290" s="95" t="s">
        <v>407</v>
      </c>
      <c r="D290" s="98">
        <v>0.19209999999999999</v>
      </c>
      <c r="E290" s="90">
        <f t="shared" si="9"/>
        <v>6249.165</v>
      </c>
      <c r="F290" s="98">
        <v>0.19209999999999999</v>
      </c>
      <c r="G290" s="90">
        <f t="shared" si="10"/>
        <v>6408.9674999999997</v>
      </c>
    </row>
    <row r="291" spans="3:7" x14ac:dyDescent="0.25">
      <c r="C291" s="96" t="s">
        <v>408</v>
      </c>
      <c r="D291" s="98">
        <v>0.1706</v>
      </c>
      <c r="E291" s="90">
        <f t="shared" si="9"/>
        <v>6170.6900000000005</v>
      </c>
      <c r="F291" s="98">
        <v>0.14910000000000001</v>
      </c>
      <c r="G291" s="90">
        <f t="shared" si="10"/>
        <v>6250.9425000000001</v>
      </c>
    </row>
    <row r="292" spans="3:7" x14ac:dyDescent="0.25">
      <c r="C292" s="95" t="s">
        <v>409</v>
      </c>
      <c r="D292" s="98">
        <v>7.4700000000000003E-2</v>
      </c>
      <c r="E292" s="90">
        <f t="shared" si="9"/>
        <v>5820.6549999999997</v>
      </c>
      <c r="F292" s="98">
        <v>7.4700000000000003E-2</v>
      </c>
      <c r="G292" s="90">
        <f t="shared" si="10"/>
        <v>5977.5225</v>
      </c>
    </row>
    <row r="293" spans="3:7" x14ac:dyDescent="0.25">
      <c r="C293" s="95" t="s">
        <v>410</v>
      </c>
      <c r="D293" s="98">
        <v>5.8599999999999999E-2</v>
      </c>
      <c r="E293" s="90">
        <f t="shared" si="9"/>
        <v>5761.89</v>
      </c>
      <c r="F293" s="98">
        <v>5.8599999999999999E-2</v>
      </c>
      <c r="G293" s="90">
        <f t="shared" si="10"/>
        <v>5918.3549999999996</v>
      </c>
    </row>
    <row r="294" spans="3:7" x14ac:dyDescent="0.25">
      <c r="C294" s="95" t="s">
        <v>411</v>
      </c>
      <c r="D294" s="98">
        <v>0.1201</v>
      </c>
      <c r="E294" s="90">
        <f t="shared" si="9"/>
        <v>5986.3649999999998</v>
      </c>
      <c r="F294" s="98">
        <v>9.5100000000000004E-2</v>
      </c>
      <c r="G294" s="90">
        <f t="shared" si="10"/>
        <v>6052.4925000000003</v>
      </c>
    </row>
    <row r="295" spans="3:7" x14ac:dyDescent="0.25">
      <c r="C295" s="95" t="s">
        <v>412</v>
      </c>
      <c r="D295" s="98">
        <v>0.20050000000000001</v>
      </c>
      <c r="E295" s="90">
        <f t="shared" si="9"/>
        <v>6279.8249999999998</v>
      </c>
      <c r="F295" s="98">
        <v>0.19339999999999999</v>
      </c>
      <c r="G295" s="90">
        <f t="shared" si="10"/>
        <v>6413.7449999999999</v>
      </c>
    </row>
    <row r="296" spans="3:7" x14ac:dyDescent="0.25">
      <c r="C296" s="95" t="s">
        <v>413</v>
      </c>
      <c r="D296" s="98">
        <v>9.1899999999999996E-2</v>
      </c>
      <c r="E296" s="90">
        <f t="shared" si="9"/>
        <v>5883.4350000000004</v>
      </c>
      <c r="F296" s="98">
        <v>8.7499999999999994E-2</v>
      </c>
      <c r="G296" s="90">
        <f t="shared" si="10"/>
        <v>6024.5625</v>
      </c>
    </row>
    <row r="297" spans="3:7" x14ac:dyDescent="0.25">
      <c r="C297" s="95" t="s">
        <v>414</v>
      </c>
      <c r="D297" s="98">
        <v>0.1244</v>
      </c>
      <c r="E297" s="90">
        <f t="shared" si="9"/>
        <v>6002.06</v>
      </c>
      <c r="F297" s="98">
        <v>0.1244</v>
      </c>
      <c r="G297" s="90">
        <f t="shared" si="10"/>
        <v>6160.17</v>
      </c>
    </row>
    <row r="298" spans="3:7" x14ac:dyDescent="0.25">
      <c r="C298" s="95" t="s">
        <v>415</v>
      </c>
      <c r="D298" s="98">
        <v>0.16750000000000001</v>
      </c>
      <c r="E298" s="90">
        <f t="shared" si="9"/>
        <v>6159.375</v>
      </c>
      <c r="F298" s="98">
        <v>0.1555</v>
      </c>
      <c r="G298" s="90">
        <f t="shared" si="10"/>
        <v>6274.4624999999996</v>
      </c>
    </row>
    <row r="299" spans="3:7" x14ac:dyDescent="0.25">
      <c r="C299" s="95" t="s">
        <v>416</v>
      </c>
      <c r="D299" s="98">
        <v>4.3499999999999997E-2</v>
      </c>
      <c r="E299" s="90">
        <f t="shared" si="9"/>
        <v>5706.7749999999996</v>
      </c>
      <c r="F299" s="98">
        <v>4.3499999999999997E-2</v>
      </c>
      <c r="G299" s="90">
        <f t="shared" si="10"/>
        <v>5862.8625000000002</v>
      </c>
    </row>
    <row r="300" spans="3:7" x14ac:dyDescent="0.25">
      <c r="C300" s="97" t="s">
        <v>417</v>
      </c>
      <c r="D300" s="98">
        <v>4.4900000000000002E-2</v>
      </c>
      <c r="E300" s="90">
        <f t="shared" si="9"/>
        <v>5711.8850000000002</v>
      </c>
      <c r="F300" s="98">
        <v>4.4900000000000002E-2</v>
      </c>
      <c r="G300" s="90">
        <f t="shared" si="10"/>
        <v>5868.0074999999997</v>
      </c>
    </row>
    <row r="301" spans="3:7" x14ac:dyDescent="0.25">
      <c r="C301" s="95" t="s">
        <v>418</v>
      </c>
      <c r="D301" s="98">
        <v>0.2175</v>
      </c>
      <c r="E301" s="90">
        <f t="shared" si="9"/>
        <v>6341.875</v>
      </c>
      <c r="F301" s="98">
        <v>0.1925</v>
      </c>
      <c r="G301" s="90">
        <f t="shared" si="10"/>
        <v>6410.4375</v>
      </c>
    </row>
    <row r="302" spans="3:7" x14ac:dyDescent="0.25">
      <c r="C302" s="95" t="s">
        <v>419</v>
      </c>
      <c r="D302" s="98">
        <v>0.23089999999999999</v>
      </c>
      <c r="E302" s="90">
        <f t="shared" si="9"/>
        <v>6390.7849999999999</v>
      </c>
      <c r="F302" s="98">
        <v>0.2059</v>
      </c>
      <c r="G302" s="90">
        <f t="shared" si="10"/>
        <v>6459.6824999999999</v>
      </c>
    </row>
    <row r="303" spans="3:7" x14ac:dyDescent="0.25">
      <c r="C303" s="97" t="s">
        <v>420</v>
      </c>
      <c r="D303" s="98">
        <v>0.12920000000000001</v>
      </c>
      <c r="E303" s="90">
        <f t="shared" si="9"/>
        <v>6019.58</v>
      </c>
      <c r="F303" s="98">
        <v>0.12920000000000001</v>
      </c>
      <c r="G303" s="90">
        <f t="shared" si="10"/>
        <v>6177.81</v>
      </c>
    </row>
    <row r="304" spans="3:7" x14ac:dyDescent="0.25">
      <c r="C304" s="95" t="s">
        <v>421</v>
      </c>
      <c r="D304" s="98">
        <v>8.0699999999999994E-2</v>
      </c>
      <c r="E304" s="90">
        <f t="shared" si="9"/>
        <v>5842.5550000000003</v>
      </c>
      <c r="F304" s="98">
        <v>8.0699999999999994E-2</v>
      </c>
      <c r="G304" s="90">
        <f t="shared" si="10"/>
        <v>5999.5725000000002</v>
      </c>
    </row>
    <row r="305" spans="3:7" x14ac:dyDescent="0.25">
      <c r="C305" s="95" t="s">
        <v>433</v>
      </c>
      <c r="D305" s="98">
        <v>0.1426</v>
      </c>
      <c r="E305" s="90">
        <f t="shared" si="9"/>
        <v>6068.49</v>
      </c>
      <c r="F305" s="98">
        <v>0.1426</v>
      </c>
      <c r="G305" s="90">
        <f t="shared" si="10"/>
        <v>6227.0550000000003</v>
      </c>
    </row>
    <row r="306" spans="3:7" x14ac:dyDescent="0.25">
      <c r="C306" s="95" t="s">
        <v>422</v>
      </c>
      <c r="D306" s="98">
        <v>1.1900000000000001E-2</v>
      </c>
      <c r="E306" s="90">
        <f t="shared" si="9"/>
        <v>5591.4350000000004</v>
      </c>
      <c r="F306" s="98">
        <v>1.1900000000000001E-2</v>
      </c>
      <c r="G306" s="90">
        <f t="shared" si="10"/>
        <v>5746.7325000000001</v>
      </c>
    </row>
  </sheetData>
  <sheetProtection password="BDDB" sheet="1" objects="1" scenarios="1" selectLockedCells="1" selectUnlockedCells="1"/>
  <mergeCells count="4">
    <mergeCell ref="C14:D14"/>
    <mergeCell ref="H14:J14"/>
    <mergeCell ref="B11:J11"/>
    <mergeCell ref="B12:J12"/>
  </mergeCells>
  <conditionalFormatting sqref="C17:F17 D18:F18">
    <cfRule type="expression" dxfId="56" priority="37">
      <formula>$T17="Closed"</formula>
    </cfRule>
  </conditionalFormatting>
  <conditionalFormatting sqref="C17">
    <cfRule type="expression" dxfId="55" priority="36">
      <formula>$T17="Closed"</formula>
    </cfRule>
  </conditionalFormatting>
  <conditionalFormatting sqref="C17:F17 D18:F18">
    <cfRule type="expression" dxfId="54" priority="35">
      <formula>$T17="Transferred"</formula>
    </cfRule>
  </conditionalFormatting>
  <conditionalFormatting sqref="C17">
    <cfRule type="expression" dxfId="53" priority="34">
      <formula>$T17="Closed"</formula>
    </cfRule>
  </conditionalFormatting>
  <conditionalFormatting sqref="D17:F17">
    <cfRule type="expression" dxfId="52" priority="33">
      <formula>$T17="Closed"</formula>
    </cfRule>
  </conditionalFormatting>
  <conditionalFormatting sqref="D44:F45 D29:F42">
    <cfRule type="expression" dxfId="51" priority="32">
      <formula>S24="Closed"</formula>
    </cfRule>
  </conditionalFormatting>
  <conditionalFormatting sqref="D44:F45 D25:F42">
    <cfRule type="expression" dxfId="50" priority="31">
      <formula>$T20="Closed"</formula>
    </cfRule>
  </conditionalFormatting>
  <conditionalFormatting sqref="D44:F45 D25:F42">
    <cfRule type="expression" dxfId="49" priority="30">
      <formula>$T20="Transferred"</formula>
    </cfRule>
  </conditionalFormatting>
  <conditionalFormatting sqref="D26:F26">
    <cfRule type="expression" dxfId="48" priority="29">
      <formula>$T21="Closed"</formula>
    </cfRule>
  </conditionalFormatting>
  <conditionalFormatting sqref="D46:F46">
    <cfRule type="expression" dxfId="47" priority="22">
      <formula>S41="Closed"</formula>
    </cfRule>
  </conditionalFormatting>
  <conditionalFormatting sqref="D46:F46">
    <cfRule type="expression" dxfId="46" priority="21">
      <formula>$T41="Closed"</formula>
    </cfRule>
  </conditionalFormatting>
  <conditionalFormatting sqref="D46:F46">
    <cfRule type="expression" dxfId="45" priority="20">
      <formula>$T41="Transferred"</formula>
    </cfRule>
  </conditionalFormatting>
  <conditionalFormatting sqref="D46:F46">
    <cfRule type="expression" dxfId="44" priority="19">
      <formula>S41="Closed"</formula>
    </cfRule>
  </conditionalFormatting>
  <conditionalFormatting sqref="D46:F46">
    <cfRule type="expression" dxfId="43" priority="18">
      <formula>$T41="Closed"</formula>
    </cfRule>
  </conditionalFormatting>
  <conditionalFormatting sqref="D46:F46">
    <cfRule type="expression" dxfId="42" priority="17">
      <formula>$T41="Transferred"</formula>
    </cfRule>
  </conditionalFormatting>
  <conditionalFormatting sqref="D46:F46">
    <cfRule type="expression" dxfId="41" priority="16">
      <formula>$T41="Closed"</formula>
    </cfRule>
  </conditionalFormatting>
  <conditionalFormatting sqref="D43:F43">
    <cfRule type="expression" dxfId="40" priority="39">
      <formula>S37="Closed"</formula>
    </cfRule>
  </conditionalFormatting>
  <conditionalFormatting sqref="D43:F43">
    <cfRule type="expression" dxfId="39" priority="40">
      <formula>$T37="Closed"</formula>
    </cfRule>
  </conditionalFormatting>
  <conditionalFormatting sqref="D43:F43">
    <cfRule type="expression" dxfId="38" priority="41">
      <formula>$T37="Transferred"</formula>
    </cfRule>
  </conditionalFormatting>
  <conditionalFormatting sqref="D20:F21">
    <cfRule type="expression" dxfId="37" priority="46">
      <formula>$T19="Closed"</formula>
    </cfRule>
  </conditionalFormatting>
  <conditionalFormatting sqref="D20:F21">
    <cfRule type="expression" dxfId="36" priority="47">
      <formula>$T19="Transferred"</formula>
    </cfRule>
  </conditionalFormatting>
  <conditionalFormatting sqref="D24:F24">
    <cfRule type="expression" dxfId="35" priority="49">
      <formula>$T20="Closed"</formula>
    </cfRule>
  </conditionalFormatting>
  <conditionalFormatting sqref="D24:F24">
    <cfRule type="expression" dxfId="34" priority="50">
      <formula>$T20="Transferred"</formula>
    </cfRule>
  </conditionalFormatting>
  <conditionalFormatting sqref="D23:F23">
    <cfRule type="expression" dxfId="33" priority="52">
      <formula>$T20="Closed"</formula>
    </cfRule>
  </conditionalFormatting>
  <conditionalFormatting sqref="D23:F23">
    <cfRule type="expression" dxfId="32" priority="53">
      <formula>$T20="Transferred"</formula>
    </cfRule>
  </conditionalFormatting>
  <conditionalFormatting sqref="D22:F22">
    <cfRule type="expression" dxfId="31" priority="55">
      <formula>$T20="Closed"</formula>
    </cfRule>
  </conditionalFormatting>
  <conditionalFormatting sqref="D22:F22">
    <cfRule type="expression" dxfId="30" priority="56">
      <formula>$T20="Transferred"</formula>
    </cfRule>
  </conditionalFormatting>
  <conditionalFormatting sqref="C17:F17 D18:F18 G19:G26">
    <cfRule type="expression" dxfId="29" priority="57">
      <formula>K3="Closed"</formula>
    </cfRule>
  </conditionalFormatting>
  <conditionalFormatting sqref="D25:F28">
    <cfRule type="expression" dxfId="28" priority="60">
      <formula>L6="Closed"</formula>
    </cfRule>
  </conditionalFormatting>
  <conditionalFormatting sqref="D20:F21">
    <cfRule type="expression" dxfId="27" priority="61">
      <formula>L5="Closed"</formula>
    </cfRule>
  </conditionalFormatting>
  <conditionalFormatting sqref="D24:F24">
    <cfRule type="expression" dxfId="26" priority="62">
      <formula>L6="Closed"</formula>
    </cfRule>
  </conditionalFormatting>
  <conditionalFormatting sqref="D23:F23">
    <cfRule type="expression" dxfId="25" priority="63">
      <formula>L6="Closed"</formula>
    </cfRule>
  </conditionalFormatting>
  <conditionalFormatting sqref="D22:F22">
    <cfRule type="expression" dxfId="24" priority="64">
      <formula>L6="Closed"</formula>
    </cfRule>
  </conditionalFormatting>
  <conditionalFormatting sqref="G18">
    <cfRule type="expression" dxfId="23" priority="5">
      <formula>$T18="Closed"</formula>
    </cfRule>
  </conditionalFormatting>
  <conditionalFormatting sqref="G18">
    <cfRule type="expression" dxfId="22" priority="4">
      <formula>$T18="Transferred"</formula>
    </cfRule>
  </conditionalFormatting>
  <conditionalFormatting sqref="F19">
    <cfRule type="expression" dxfId="21" priority="8">
      <formula>$T19="Closed"</formula>
    </cfRule>
  </conditionalFormatting>
  <conditionalFormatting sqref="F19">
    <cfRule type="expression" dxfId="20" priority="7">
      <formula>$T19="Transferred"</formula>
    </cfRule>
  </conditionalFormatting>
  <conditionalFormatting sqref="F19">
    <cfRule type="expression" dxfId="19" priority="9">
      <formula>N5="Closed"</formula>
    </cfRule>
  </conditionalFormatting>
  <conditionalFormatting sqref="G18">
    <cfRule type="expression" dxfId="18" priority="6">
      <formula>O4="Closed"</formula>
    </cfRule>
  </conditionalFormatting>
  <conditionalFormatting sqref="G19:G306">
    <cfRule type="expression" dxfId="17" priority="2">
      <formula>$T19="Closed"</formula>
    </cfRule>
  </conditionalFormatting>
  <conditionalFormatting sqref="G19:G306">
    <cfRule type="expression" dxfId="16" priority="1">
      <formula>$T19="Transferred"</formula>
    </cfRule>
  </conditionalFormatting>
  <conditionalFormatting sqref="G27:G306">
    <cfRule type="expression" dxfId="15" priority="3">
      <formula>O14="Closed"</formula>
    </cfRule>
  </conditionalFormatting>
  <pageMargins left="0.7" right="0.7" top="0.75" bottom="0.75" header="0.3" footer="0.3"/>
  <pageSetup orientation="portrait" r:id="rId1"/>
  <ignoredErrors>
    <ignoredError sqref="F18" calculatedColumn="1"/>
  </ignoredErrors>
  <legacyDrawing r:id="rId2"/>
  <tableParts count="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38CDAC53-A165-48F5-BB9D-B7438561EC9C}">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1. Instructions</vt:lpstr>
      <vt:lpstr>2. Enrollment Projections</vt:lpstr>
      <vt:lpstr>3. Staffing Plan</vt:lpstr>
      <vt:lpstr>4. Budget &amp; Cash Flow (Year 0)</vt:lpstr>
      <vt:lpstr>5. 5-Year Budget</vt:lpstr>
      <vt:lpstr>AHS</vt:lpstr>
      <vt:lpstr>CorpList</vt:lpstr>
      <vt:lpstr>'4. Budget &amp; Cash Flow (Year 0)'!Print_Area</vt:lpstr>
      <vt:lpstr>'5. 5-Year Budget'!Print_Area</vt:lpstr>
      <vt:lpstr>'4. Budget &amp; Cash Flow (Year 0)'!Print_Titles</vt:lpstr>
      <vt:lpstr>Schools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JBetley@icsb.in.gov</dc:creator>
  <cp:lastModifiedBy>Eva Spilker</cp:lastModifiedBy>
  <cp:lastPrinted>2015-05-15T15:00:03Z</cp:lastPrinted>
  <dcterms:created xsi:type="dcterms:W3CDTF">2009-06-30T21:24:16Z</dcterms:created>
  <dcterms:modified xsi:type="dcterms:W3CDTF">2021-10-25T21:43:39Z</dcterms:modified>
</cp:coreProperties>
</file>