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026"/>
  <workbookPr codeName="ThisWorkbook"/>
  <mc:AlternateContent xmlns:mc="http://schemas.openxmlformats.org/markup-compatibility/2006">
    <mc:Choice Requires="x15">
      <x15ac:absPath xmlns:x15ac="http://schemas.microsoft.com/office/spreadsheetml/2010/11/ac" url="https://ingov-my.sharepoint.com/personal/jilesh_indot_in_gov/Documents/Website Files/"/>
    </mc:Choice>
  </mc:AlternateContent>
  <xr:revisionPtr revIDLastSave="3" documentId="10_ncr:100000_{F39D72A9-BC33-4B7C-9695-F2C4208050B0}" xr6:coauthVersionLast="47" xr6:coauthVersionMax="47" xr10:uidLastSave="{3A5EE234-A4BE-4E6C-98B0-A1667F7867A0}"/>
  <bookViews>
    <workbookView xWindow="-120" yWindow="-120" windowWidth="29040" windowHeight="15840" xr2:uid="{00000000-000D-0000-FFFF-FFFF00000000}"/>
  </bookViews>
  <sheets>
    <sheet name="Disclaimer" sheetId="17" r:id="rId1"/>
    <sheet name="CMP Input" sheetId="8" r:id="rId2"/>
    <sheet name="CMP LRFR output" sheetId="9" r:id="rId3"/>
    <sheet name="Reference tables" sheetId="10" r:id="rId4"/>
    <sheet name="section property tables" sheetId="11" r:id="rId5"/>
    <sheet name="seam strength tables" sheetId="13" r:id="rId6"/>
    <sheet name="NCSPA Design Data Sheet No 19" sheetId="14" r:id="rId7"/>
    <sheet name="Ohio Legal Loads" sheetId="15" r:id="rId8"/>
    <sheet name="Critical Load Parameter Table" sheetId="16" r:id="rId9"/>
  </sheets>
  <definedNames>
    <definedName name="aluminum_corrugation">'Reference tables'!$C$58:$C$65</definedName>
    <definedName name="corrugation" localSheetId="5">'Reference tables'!#REF!</definedName>
    <definedName name="corrugation">'Reference tables'!#REF!</definedName>
    <definedName name="corrugation_all">'Reference tables'!$C$51:$C$65</definedName>
    <definedName name="Fill_Type">'Reference tables'!#REF!</definedName>
    <definedName name="Gage_number">'Reference tables'!$B$39:$B$48</definedName>
    <definedName name="material_type" localSheetId="5">'Reference tables'!#REF!</definedName>
    <definedName name="material_type">'Reference tables'!#REF!</definedName>
    <definedName name="metal_type">'Reference tables'!$C$32:$C$36</definedName>
    <definedName name="MinCover" localSheetId="1">#REF!</definedName>
    <definedName name="MinCover">#REF!</definedName>
    <definedName name="_xlnm.Print_Area" localSheetId="1">'CMP Input'!$A$1:$I$80</definedName>
    <definedName name="_xlnm.Print_Area" localSheetId="2">'CMP LRFR output'!$A$1:$K$263</definedName>
    <definedName name="_xlnm.Print_Area" localSheetId="5">'seam strength tables'!$A$1:$R$30</definedName>
    <definedName name="_xlnm.Print_Titles" localSheetId="1">'CMP Input'!$2:$6</definedName>
    <definedName name="_xlnm.Print_Titles" localSheetId="2">'CMP LRFR output'!$2:$7</definedName>
    <definedName name="seam_type">'Reference tables'!$C$8:$C$9</definedName>
    <definedName name="steel_corrugation">'Reference tables'!$C$51:$C$57</definedName>
    <definedName name="structure_category">'Reference tables'!$C$11:$C$13</definedName>
    <definedName name="structure_type">'Reference tables'!$C$2:$C$6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217" i="9" l="1"/>
  <c r="I217" i="9"/>
  <c r="H217" i="9"/>
  <c r="J214" i="9"/>
  <c r="I214" i="9"/>
  <c r="J215" i="9"/>
  <c r="I215" i="9"/>
  <c r="H215" i="9"/>
  <c r="H214" i="9"/>
  <c r="D99" i="9" l="1"/>
  <c r="D100" i="9" s="1"/>
  <c r="H133" i="9" l="1"/>
  <c r="H134" i="9" s="1"/>
  <c r="I133" i="9"/>
  <c r="I134" i="9" s="1"/>
  <c r="C133" i="9"/>
  <c r="C134" i="9" s="1"/>
  <c r="D133" i="9"/>
  <c r="G133" i="9"/>
  <c r="G134" i="9" s="1"/>
  <c r="F133" i="9"/>
  <c r="E133" i="9"/>
  <c r="G217" i="9"/>
  <c r="G215" i="9"/>
  <c r="G214" i="9"/>
  <c r="D80" i="8" l="1"/>
  <c r="B212" i="9" s="1"/>
  <c r="B232" i="9" l="1"/>
  <c r="C181" i="9"/>
  <c r="D75" i="8"/>
  <c r="D106" i="9" l="1"/>
  <c r="C140" i="9" s="1"/>
  <c r="E62" i="9"/>
  <c r="C195" i="9" s="1"/>
  <c r="C237" i="9" l="1"/>
  <c r="C235" i="9"/>
  <c r="C234" i="9"/>
  <c r="C217" i="9"/>
  <c r="C215" i="9"/>
  <c r="C214" i="9"/>
  <c r="B235" i="9" l="1"/>
  <c r="F215" i="9"/>
  <c r="E215" i="9"/>
  <c r="D215" i="9"/>
  <c r="B215" i="9"/>
  <c r="D32" i="9" l="1"/>
  <c r="D33" i="9"/>
  <c r="E32" i="9" l="1"/>
  <c r="B234" i="9"/>
  <c r="F214" i="9"/>
  <c r="E214" i="9"/>
  <c r="D214" i="9"/>
  <c r="B214" i="9"/>
  <c r="F39" i="8" l="1"/>
  <c r="B237" i="9"/>
  <c r="B217" i="9"/>
  <c r="F5" i="9"/>
  <c r="F4" i="9"/>
  <c r="D5" i="9"/>
  <c r="D4" i="9"/>
  <c r="F217" i="9"/>
  <c r="E217" i="9"/>
  <c r="D217" i="9"/>
  <c r="D130" i="9"/>
  <c r="C80" i="9"/>
  <c r="E68" i="9"/>
  <c r="E66" i="9"/>
  <c r="B55" i="9"/>
  <c r="C184" i="9" s="1"/>
  <c r="B54" i="9"/>
  <c r="B53" i="9"/>
  <c r="E65" i="9"/>
  <c r="G144" i="9" l="1"/>
  <c r="I160" i="9" s="1"/>
  <c r="I161" i="9" s="1"/>
  <c r="I144" i="9"/>
  <c r="K160" i="9" s="1"/>
  <c r="K161" i="9" s="1"/>
  <c r="H144" i="9"/>
  <c r="J160" i="9" s="1"/>
  <c r="J161" i="9" s="1"/>
  <c r="D90" i="9"/>
  <c r="F84" i="9"/>
  <c r="F134" i="9"/>
  <c r="F144" i="9" s="1"/>
  <c r="E134" i="9"/>
  <c r="E144" i="9" s="1"/>
  <c r="D134" i="9"/>
  <c r="D144" i="9" s="1"/>
  <c r="C144" i="9"/>
  <c r="B5" i="9" l="1"/>
  <c r="D2" i="9"/>
  <c r="B4" i="9"/>
  <c r="B3" i="9"/>
  <c r="B2" i="9"/>
  <c r="E27" i="9"/>
  <c r="E21" i="9"/>
  <c r="D148" i="9" l="1"/>
  <c r="B125" i="9"/>
  <c r="B124" i="9"/>
  <c r="C29" i="9"/>
  <c r="C59" i="9"/>
  <c r="C58" i="9"/>
  <c r="C48" i="10"/>
  <c r="C39" i="9"/>
  <c r="E42" i="9" s="1"/>
  <c r="C183" i="9" s="1"/>
  <c r="E6" i="11"/>
  <c r="B46" i="9"/>
  <c r="B49" i="9" s="1"/>
  <c r="B45" i="9"/>
  <c r="E63" i="9"/>
  <c r="E22" i="9"/>
  <c r="E23" i="9" s="1"/>
  <c r="E60" i="9"/>
  <c r="E19" i="9"/>
  <c r="E160" i="9" l="1"/>
  <c r="H160" i="9"/>
  <c r="F160" i="9"/>
  <c r="G160" i="9"/>
  <c r="D107" i="9"/>
  <c r="B48" i="9"/>
  <c r="B47" i="9"/>
  <c r="C20" i="10"/>
  <c r="C21" i="10" s="1"/>
  <c r="D31" i="9"/>
  <c r="D206" i="9" s="1"/>
  <c r="E40" i="9"/>
  <c r="F82" i="9" s="1"/>
  <c r="E41" i="9"/>
  <c r="F75" i="9" s="1"/>
  <c r="D89" i="9" l="1"/>
  <c r="C92" i="9" s="1"/>
  <c r="C185" i="9"/>
  <c r="C182" i="9" s="1"/>
  <c r="C186" i="9" s="1"/>
  <c r="D147" i="9"/>
  <c r="C28" i="10"/>
  <c r="C24" i="10"/>
  <c r="C27" i="10"/>
  <c r="C23" i="10"/>
  <c r="C17" i="10"/>
  <c r="B50" i="9" s="1"/>
  <c r="C26" i="10"/>
  <c r="C22" i="10"/>
  <c r="C25" i="10"/>
  <c r="D4" i="10"/>
  <c r="G161" i="9"/>
  <c r="E161" i="9"/>
  <c r="H161" i="9"/>
  <c r="F161" i="9"/>
  <c r="D160" i="9"/>
  <c r="D161" i="9" s="1"/>
  <c r="C141" i="9"/>
  <c r="C75" i="9"/>
  <c r="C77" i="9" s="1"/>
  <c r="F83" i="9" s="1"/>
  <c r="D108" i="9"/>
  <c r="D5" i="10"/>
  <c r="D3" i="10"/>
  <c r="D2" i="10"/>
  <c r="K158" i="9" l="1"/>
  <c r="K155" i="9"/>
  <c r="K152" i="9"/>
  <c r="J155" i="9"/>
  <c r="J152" i="9"/>
  <c r="H135" i="9"/>
  <c r="H145" i="9" s="1"/>
  <c r="J162" i="9" s="1"/>
  <c r="J163" i="9" s="1"/>
  <c r="J158" i="9"/>
  <c r="I135" i="9"/>
  <c r="I145" i="9" s="1"/>
  <c r="K162" i="9" s="1"/>
  <c r="K163" i="9" s="1"/>
  <c r="I213" i="9"/>
  <c r="J213" i="9"/>
  <c r="I158" i="9"/>
  <c r="H155" i="9"/>
  <c r="H152" i="9"/>
  <c r="F152" i="9"/>
  <c r="F158" i="9"/>
  <c r="E158" i="9"/>
  <c r="D152" i="9"/>
  <c r="C155" i="9"/>
  <c r="C152" i="9"/>
  <c r="I152" i="9"/>
  <c r="H158" i="9"/>
  <c r="G155" i="9"/>
  <c r="G152" i="9"/>
  <c r="F155" i="9"/>
  <c r="C135" i="9"/>
  <c r="E155" i="9"/>
  <c r="D155" i="9"/>
  <c r="G158" i="9"/>
  <c r="E152" i="9"/>
  <c r="D158" i="9"/>
  <c r="C158" i="9"/>
  <c r="I155" i="9"/>
  <c r="G135" i="9"/>
  <c r="C213" i="9"/>
  <c r="C233" i="9" s="1"/>
  <c r="H213" i="9"/>
  <c r="D75" i="9"/>
  <c r="C162" i="9"/>
  <c r="C163" i="9" s="1"/>
  <c r="D162" i="9"/>
  <c r="C160" i="9"/>
  <c r="C161" i="9" s="1"/>
  <c r="D49" i="9"/>
  <c r="D6" i="10"/>
  <c r="E61" i="9" s="1"/>
  <c r="D135" i="9"/>
  <c r="D145" i="9" s="1"/>
  <c r="E135" i="9"/>
  <c r="E145" i="9" s="1"/>
  <c r="F135" i="9"/>
  <c r="F145" i="9" s="1"/>
  <c r="G213" i="9"/>
  <c r="F213" i="9"/>
  <c r="E213" i="9"/>
  <c r="D213" i="9"/>
  <c r="B213" i="9"/>
  <c r="B233" i="9" s="1"/>
  <c r="C86" i="9"/>
  <c r="J211" i="9" l="1"/>
  <c r="I211" i="9"/>
  <c r="J165" i="9"/>
  <c r="J164" i="9"/>
  <c r="G145" i="9"/>
  <c r="I162" i="9" s="1"/>
  <c r="I163" i="9" s="1"/>
  <c r="K164" i="9"/>
  <c r="K165" i="9"/>
  <c r="C211" i="9"/>
  <c r="C231" i="9" s="1"/>
  <c r="H211" i="9"/>
  <c r="C194" i="9"/>
  <c r="F62" i="9"/>
  <c r="C145" i="9"/>
  <c r="E162" i="9" s="1"/>
  <c r="E163" i="9" s="1"/>
  <c r="E165" i="9" s="1"/>
  <c r="C165" i="9"/>
  <c r="D163" i="9"/>
  <c r="D165" i="9" s="1"/>
  <c r="H162" i="9"/>
  <c r="F162" i="9"/>
  <c r="F163" i="9" s="1"/>
  <c r="F165" i="9" s="1"/>
  <c r="G162" i="9"/>
  <c r="G163" i="9" s="1"/>
  <c r="G165" i="9" s="1"/>
  <c r="C164" i="9"/>
  <c r="F61" i="9"/>
  <c r="G211" i="9"/>
  <c r="F211" i="9"/>
  <c r="E211" i="9"/>
  <c r="D211" i="9"/>
  <c r="B211" i="9"/>
  <c r="K166" i="9" l="1"/>
  <c r="K167" i="9" s="1"/>
  <c r="J216" i="9" s="1"/>
  <c r="J218" i="9" s="1"/>
  <c r="J166" i="9"/>
  <c r="J167" i="9" s="1"/>
  <c r="I216" i="9" s="1"/>
  <c r="I218" i="9" s="1"/>
  <c r="I164" i="9"/>
  <c r="I165" i="9"/>
  <c r="D194" i="9"/>
  <c r="D195" i="9"/>
  <c r="E164" i="9"/>
  <c r="D164" i="9"/>
  <c r="D166" i="9" s="1"/>
  <c r="D167" i="9" s="1"/>
  <c r="C216" i="9" s="1"/>
  <c r="H163" i="9"/>
  <c r="H165" i="9" s="1"/>
  <c r="G164" i="9"/>
  <c r="F164" i="9"/>
  <c r="C166" i="9"/>
  <c r="B231" i="9"/>
  <c r="I166" i="9" l="1"/>
  <c r="I167" i="9" s="1"/>
  <c r="H216" i="9" s="1"/>
  <c r="H218" i="9" s="1"/>
  <c r="C189" i="9"/>
  <c r="A193" i="9" s="1"/>
  <c r="C236" i="9"/>
  <c r="C238" i="9" s="1"/>
  <c r="C218" i="9"/>
  <c r="C167" i="9"/>
  <c r="B216" i="9" s="1"/>
  <c r="H164" i="9"/>
  <c r="H166" i="9" s="1"/>
  <c r="H167" i="9" s="1"/>
  <c r="G216" i="9" s="1"/>
  <c r="G218" i="9" s="1"/>
  <c r="G166" i="9"/>
  <c r="G167" i="9" s="1"/>
  <c r="F216" i="9" s="1"/>
  <c r="F218" i="9" s="1"/>
  <c r="F166" i="9"/>
  <c r="F167" i="9" s="1"/>
  <c r="E216" i="9" s="1"/>
  <c r="E218" i="9" s="1"/>
  <c r="E166" i="9"/>
  <c r="B236" i="9" l="1"/>
  <c r="B238" i="9" s="1"/>
  <c r="B218" i="9"/>
  <c r="C192" i="9"/>
  <c r="C196" i="9"/>
  <c r="D196" i="9"/>
  <c r="E167" i="9"/>
  <c r="D216" i="9" s="1"/>
  <c r="D218" i="9" s="1"/>
  <c r="C207" i="9" l="1"/>
  <c r="H219" i="9" l="1"/>
  <c r="H220" i="9" s="1"/>
  <c r="I219" i="9"/>
  <c r="I220" i="9" s="1"/>
  <c r="J219" i="9"/>
  <c r="J220" i="9" s="1"/>
  <c r="D219" i="9"/>
  <c r="D220" i="9" s="1"/>
  <c r="F219" i="9"/>
  <c r="F220" i="9" s="1"/>
  <c r="E219" i="9"/>
  <c r="E220" i="9" s="1"/>
  <c r="C219" i="9"/>
  <c r="D207" i="9"/>
  <c r="B219" i="9"/>
  <c r="G219" i="9"/>
  <c r="G220" i="9" s="1"/>
  <c r="C220" i="9" l="1"/>
  <c r="C239" i="9"/>
  <c r="B220" i="9"/>
  <c r="B239" i="9"/>
  <c r="D262" i="9"/>
  <c r="E262" i="9" s="1"/>
  <c r="D263" i="9"/>
  <c r="E263" i="9" s="1"/>
  <c r="D257" i="9"/>
  <c r="E247" i="9"/>
  <c r="F247" i="9" s="1"/>
  <c r="E249" i="9"/>
  <c r="F249" i="9" s="1"/>
  <c r="E248" i="9"/>
  <c r="F248" i="9" s="1"/>
  <c r="E246" i="9"/>
  <c r="F246" i="9" s="1"/>
  <c r="C240" i="9" l="1"/>
  <c r="B240" i="9"/>
  <c r="D245" i="9" s="1"/>
  <c r="E245" i="9"/>
  <c r="E257" i="9"/>
  <c r="D256" i="9"/>
  <c r="E256" i="9" s="1"/>
  <c r="D255" i="9"/>
  <c r="E255" i="9" s="1"/>
  <c r="D254" i="9"/>
  <c r="E254" i="9" s="1"/>
</calcChain>
</file>

<file path=xl/sharedStrings.xml><?xml version="1.0" encoding="utf-8"?>
<sst xmlns="http://schemas.openxmlformats.org/spreadsheetml/2006/main" count="589" uniqueCount="429">
  <si>
    <t>2F1</t>
  </si>
  <si>
    <t>Corrugated Metal Pipe</t>
  </si>
  <si>
    <t>Minimum Cover (ft.)</t>
  </si>
  <si>
    <t>Steel Thickness</t>
  </si>
  <si>
    <t>Date:</t>
  </si>
  <si>
    <t>r (in)</t>
  </si>
  <si>
    <t>N/A</t>
  </si>
  <si>
    <t>Bridge No:</t>
  </si>
  <si>
    <t>SFN:</t>
  </si>
  <si>
    <t>Year Built:</t>
  </si>
  <si>
    <t>Load Rated By:</t>
  </si>
  <si>
    <t>Bridge Type:</t>
  </si>
  <si>
    <t xml:space="preserve"> </t>
  </si>
  <si>
    <t>Metal Corrugation &amp; Gage Information:</t>
  </si>
  <si>
    <t>c (in) =</t>
  </si>
  <si>
    <t>d (in) =</t>
  </si>
  <si>
    <t>Checked By:</t>
  </si>
  <si>
    <t>Pipe Crown Deflection =</t>
  </si>
  <si>
    <t>Design Span = Actual Span "S" (ft) =</t>
  </si>
  <si>
    <r>
      <t>Design Span (ft) = 2R</t>
    </r>
    <r>
      <rPr>
        <vertAlign val="subscript"/>
        <sz val="10"/>
        <rFont val="Calibri"/>
        <family val="2"/>
      </rPr>
      <t>t</t>
    </r>
    <r>
      <rPr>
        <sz val="10"/>
        <rFont val="Calibri"/>
        <family val="2"/>
      </rPr>
      <t xml:space="preserve"> = </t>
    </r>
  </si>
  <si>
    <t>Thickness (in)</t>
  </si>
  <si>
    <t>Metal Thickness (in)</t>
  </si>
  <si>
    <t>Gage Number</t>
  </si>
  <si>
    <t>Steel</t>
  </si>
  <si>
    <t>Aluminum</t>
  </si>
  <si>
    <r>
      <t>δ = Soil density (k/ft</t>
    </r>
    <r>
      <rPr>
        <vertAlign val="superscript"/>
        <sz val="10"/>
        <rFont val="Calibri"/>
        <family val="2"/>
      </rPr>
      <t>3</t>
    </r>
    <r>
      <rPr>
        <sz val="10"/>
        <rFont val="Calibri"/>
        <family val="2"/>
      </rPr>
      <t>)</t>
    </r>
  </si>
  <si>
    <t>ft</t>
  </si>
  <si>
    <t>Aluminum-corrugated metal (Grade 3004-H34)</t>
  </si>
  <si>
    <t>Aluminum-corrugated metal (Grade 3004-H32)</t>
  </si>
  <si>
    <t>Metal Type:</t>
  </si>
  <si>
    <t>E (ksi)</t>
  </si>
  <si>
    <t>ksi</t>
  </si>
  <si>
    <t>Conduits Mechanical &amp; Section Properties:</t>
  </si>
  <si>
    <t>Mechanical Properties:</t>
  </si>
  <si>
    <t>Section Properties:</t>
  </si>
  <si>
    <t>Structure Type:</t>
  </si>
  <si>
    <t>Corrugation:</t>
  </si>
  <si>
    <t>corrugation</t>
  </si>
  <si>
    <r>
      <rPr>
        <b/>
        <sz val="12"/>
        <rFont val="Calibri"/>
        <family val="2"/>
        <scheme val="minor"/>
      </rPr>
      <t xml:space="preserve">1½ x ¼ </t>
    </r>
    <r>
      <rPr>
        <vertAlign val="subscript"/>
        <sz val="12"/>
        <rFont val="Calibri"/>
        <family val="2"/>
        <scheme val="minor"/>
      </rPr>
      <t>(corrugated steel pipe)</t>
    </r>
  </si>
  <si>
    <r>
      <rPr>
        <b/>
        <sz val="12"/>
        <rFont val="Calibri"/>
        <family val="2"/>
        <scheme val="minor"/>
      </rPr>
      <t>2⅔ x ½</t>
    </r>
    <r>
      <rPr>
        <vertAlign val="subscript"/>
        <sz val="12"/>
        <rFont val="Calibri"/>
        <family val="2"/>
        <scheme val="minor"/>
      </rPr>
      <t xml:space="preserve"> (corrugated steel pipe)</t>
    </r>
  </si>
  <si>
    <r>
      <rPr>
        <b/>
        <sz val="12"/>
        <rFont val="Calibri"/>
        <family val="2"/>
        <scheme val="minor"/>
      </rPr>
      <t>3 x 1</t>
    </r>
    <r>
      <rPr>
        <vertAlign val="subscript"/>
        <sz val="12"/>
        <rFont val="Calibri"/>
        <family val="2"/>
        <scheme val="minor"/>
      </rPr>
      <t xml:space="preserve"> (corrugated steel pipe)</t>
    </r>
  </si>
  <si>
    <r>
      <rPr>
        <b/>
        <sz val="12"/>
        <rFont val="Calibri"/>
        <family val="2"/>
        <scheme val="minor"/>
      </rPr>
      <t>5 x 1</t>
    </r>
    <r>
      <rPr>
        <sz val="12"/>
        <rFont val="Calibri"/>
        <family val="2"/>
        <scheme val="minor"/>
      </rPr>
      <t xml:space="preserve"> </t>
    </r>
    <r>
      <rPr>
        <vertAlign val="subscript"/>
        <sz val="12"/>
        <rFont val="Calibri"/>
        <family val="2"/>
        <scheme val="minor"/>
      </rPr>
      <t>(corrugated steel pipe)</t>
    </r>
  </si>
  <si>
    <r>
      <rPr>
        <b/>
        <sz val="12"/>
        <rFont val="Calibri"/>
        <family val="2"/>
        <scheme val="minor"/>
      </rPr>
      <t xml:space="preserve">¾ x ¾ x 7½ </t>
    </r>
    <r>
      <rPr>
        <vertAlign val="subscript"/>
        <sz val="12"/>
        <rFont val="Calibri"/>
        <family val="2"/>
        <scheme val="minor"/>
      </rPr>
      <t>(spiral rib steel pipe)</t>
    </r>
  </si>
  <si>
    <r>
      <rPr>
        <b/>
        <sz val="12"/>
        <color rgb="FF000000"/>
        <rFont val="Calibri"/>
        <family val="2"/>
        <scheme val="minor"/>
      </rPr>
      <t>¾ x 1 x 11½</t>
    </r>
    <r>
      <rPr>
        <sz val="12"/>
        <color rgb="FF000000"/>
        <rFont val="Calibri"/>
        <family val="2"/>
        <scheme val="minor"/>
      </rPr>
      <t xml:space="preserve"> </t>
    </r>
    <r>
      <rPr>
        <vertAlign val="subscript"/>
        <sz val="12"/>
        <color rgb="FF000000"/>
        <rFont val="Calibri"/>
        <family val="2"/>
        <scheme val="minor"/>
      </rPr>
      <t>(spiral rib steel pipe)</t>
    </r>
  </si>
  <si>
    <r>
      <rPr>
        <b/>
        <sz val="12"/>
        <rFont val="Calibri"/>
        <family val="2"/>
        <scheme val="minor"/>
      </rPr>
      <t>6 x 2</t>
    </r>
    <r>
      <rPr>
        <sz val="12"/>
        <rFont val="Calibri"/>
        <family val="2"/>
        <scheme val="minor"/>
      </rPr>
      <t xml:space="preserve"> </t>
    </r>
    <r>
      <rPr>
        <vertAlign val="subscript"/>
        <sz val="12"/>
        <rFont val="Calibri"/>
        <family val="2"/>
        <scheme val="minor"/>
      </rPr>
      <t>(steel structural plate pipe)</t>
    </r>
  </si>
  <si>
    <r>
      <rPr>
        <b/>
        <sz val="12"/>
        <rFont val="Calibri"/>
        <family val="2"/>
        <scheme val="minor"/>
      </rPr>
      <t>1½ x ¼</t>
    </r>
    <r>
      <rPr>
        <sz val="12"/>
        <rFont val="Calibri"/>
        <family val="2"/>
        <scheme val="minor"/>
      </rPr>
      <t xml:space="preserve"> </t>
    </r>
    <r>
      <rPr>
        <vertAlign val="subscript"/>
        <sz val="12"/>
        <rFont val="Calibri"/>
        <family val="2"/>
        <scheme val="minor"/>
      </rPr>
      <t>(corrugated aluminum pipe)</t>
    </r>
  </si>
  <si>
    <r>
      <rPr>
        <b/>
        <sz val="12"/>
        <rFont val="Calibri"/>
        <family val="2"/>
        <scheme val="minor"/>
      </rPr>
      <t>2⅔ x ½</t>
    </r>
    <r>
      <rPr>
        <vertAlign val="subscript"/>
        <sz val="12"/>
        <rFont val="Calibri"/>
        <family val="2"/>
        <scheme val="minor"/>
      </rPr>
      <t xml:space="preserve"> (corrugated aluminum pipe)</t>
    </r>
  </si>
  <si>
    <r>
      <rPr>
        <b/>
        <sz val="12"/>
        <rFont val="Calibri"/>
        <family val="2"/>
        <scheme val="minor"/>
      </rPr>
      <t>3 x 1</t>
    </r>
    <r>
      <rPr>
        <sz val="12"/>
        <rFont val="Calibri"/>
        <family val="2"/>
        <scheme val="minor"/>
      </rPr>
      <t xml:space="preserve"> </t>
    </r>
    <r>
      <rPr>
        <vertAlign val="subscript"/>
        <sz val="12"/>
        <rFont val="Calibri"/>
        <family val="2"/>
        <scheme val="minor"/>
      </rPr>
      <t>(corrugated aluminum pipe)</t>
    </r>
  </si>
  <si>
    <r>
      <rPr>
        <b/>
        <sz val="12"/>
        <rFont val="Calibri"/>
        <family val="2"/>
        <scheme val="minor"/>
      </rPr>
      <t>6 x 1</t>
    </r>
    <r>
      <rPr>
        <sz val="12"/>
        <rFont val="Calibri"/>
        <family val="2"/>
        <scheme val="minor"/>
      </rPr>
      <t xml:space="preserve"> </t>
    </r>
    <r>
      <rPr>
        <vertAlign val="subscript"/>
        <sz val="12"/>
        <rFont val="Calibri"/>
        <family val="2"/>
        <scheme val="minor"/>
      </rPr>
      <t>(corrugated aluminum pipe)</t>
    </r>
  </si>
  <si>
    <r>
      <rPr>
        <b/>
        <sz val="12"/>
        <rFont val="Calibri"/>
        <family val="2"/>
        <scheme val="minor"/>
      </rPr>
      <t>¾ x ¾ x 7½</t>
    </r>
    <r>
      <rPr>
        <sz val="12"/>
        <rFont val="Calibri"/>
        <family val="2"/>
        <scheme val="minor"/>
      </rPr>
      <t xml:space="preserve"> </t>
    </r>
    <r>
      <rPr>
        <vertAlign val="subscript"/>
        <sz val="12"/>
        <rFont val="Calibri"/>
        <family val="2"/>
        <scheme val="minor"/>
      </rPr>
      <t>(aluminum spiral rib pipe)</t>
    </r>
  </si>
  <si>
    <r>
      <rPr>
        <b/>
        <sz val="12"/>
        <color rgb="FF000000"/>
        <rFont val="Calibri"/>
        <family val="2"/>
        <scheme val="minor"/>
      </rPr>
      <t>¾ x 1 x 11½</t>
    </r>
    <r>
      <rPr>
        <b/>
        <vertAlign val="subscript"/>
        <sz val="12"/>
        <color rgb="FF000000"/>
        <rFont val="Calibri"/>
        <family val="2"/>
        <scheme val="minor"/>
      </rPr>
      <t xml:space="preserve"> </t>
    </r>
    <r>
      <rPr>
        <vertAlign val="subscript"/>
        <sz val="12"/>
        <color rgb="FF000000"/>
        <rFont val="Calibri"/>
        <family val="2"/>
        <scheme val="minor"/>
      </rPr>
      <t>(aluminum spiral rib pipe)</t>
    </r>
  </si>
  <si>
    <r>
      <rPr>
        <b/>
        <sz val="12"/>
        <rFont val="Calibri"/>
        <family val="2"/>
        <scheme val="minor"/>
      </rPr>
      <t>9 x 2</t>
    </r>
    <r>
      <rPr>
        <b/>
        <sz val="12"/>
        <rFont val="Calibri"/>
        <family val="2"/>
      </rPr>
      <t>½</t>
    </r>
    <r>
      <rPr>
        <sz val="12"/>
        <rFont val="Calibri"/>
        <family val="2"/>
      </rPr>
      <t xml:space="preserve"> </t>
    </r>
    <r>
      <rPr>
        <vertAlign val="subscript"/>
        <sz val="12"/>
        <rFont val="Calibri"/>
        <family val="2"/>
      </rPr>
      <t>(aluminum structural plate pipe)</t>
    </r>
  </si>
  <si>
    <t>←</t>
  </si>
  <si>
    <r>
      <t>A</t>
    </r>
    <r>
      <rPr>
        <vertAlign val="subscript"/>
        <sz val="10"/>
        <rFont val="Calibri"/>
        <family val="2"/>
        <scheme val="minor"/>
      </rPr>
      <t>s</t>
    </r>
    <r>
      <rPr>
        <sz val="10"/>
        <rFont val="Calibri"/>
        <family val="2"/>
        <scheme val="minor"/>
      </rPr>
      <t xml:space="preserve"> (in</t>
    </r>
    <r>
      <rPr>
        <vertAlign val="superscript"/>
        <sz val="10"/>
        <rFont val="Calibri"/>
        <family val="2"/>
        <scheme val="minor"/>
      </rPr>
      <t>2</t>
    </r>
    <r>
      <rPr>
        <sz val="10"/>
        <rFont val="Calibri"/>
        <family val="2"/>
        <scheme val="minor"/>
      </rPr>
      <t>/ft) =</t>
    </r>
  </si>
  <si>
    <t>9 x 2½ (aluminum structural plate pipe)</t>
  </si>
  <si>
    <r>
      <rPr>
        <sz val="9"/>
        <rFont val="Calibri"/>
        <family val="2"/>
      </rPr>
      <t>←</t>
    </r>
    <r>
      <rPr>
        <sz val="9"/>
        <rFont val="Calibri"/>
        <family val="2"/>
        <scheme val="minor"/>
      </rPr>
      <t>from filed measurement</t>
    </r>
  </si>
  <si>
    <r>
      <t>A</t>
    </r>
    <r>
      <rPr>
        <vertAlign val="subscript"/>
        <sz val="8"/>
        <rFont val="Calibri"/>
        <family val="2"/>
        <scheme val="minor"/>
      </rPr>
      <t xml:space="preserve">s </t>
    </r>
    <r>
      <rPr>
        <sz val="8"/>
        <rFont val="Calibri"/>
        <family val="2"/>
        <scheme val="minor"/>
      </rPr>
      <t>(in</t>
    </r>
    <r>
      <rPr>
        <vertAlign val="superscript"/>
        <sz val="8"/>
        <rFont val="Calibri"/>
        <family val="2"/>
        <scheme val="minor"/>
      </rPr>
      <t>2</t>
    </r>
    <r>
      <rPr>
        <sz val="8"/>
        <rFont val="Calibri"/>
        <family val="2"/>
        <scheme val="minor"/>
      </rPr>
      <t>/ft)</t>
    </r>
  </si>
  <si>
    <r>
      <t>I x 10</t>
    </r>
    <r>
      <rPr>
        <vertAlign val="superscript"/>
        <sz val="8"/>
        <rFont val="Calibri"/>
        <family val="2"/>
        <scheme val="minor"/>
      </rPr>
      <t>-3</t>
    </r>
    <r>
      <rPr>
        <sz val="8"/>
        <rFont val="Calibri"/>
        <family val="2"/>
        <scheme val="minor"/>
      </rPr>
      <t>(in</t>
    </r>
    <r>
      <rPr>
        <vertAlign val="superscript"/>
        <sz val="8"/>
        <rFont val="Calibri"/>
        <family val="2"/>
        <scheme val="minor"/>
      </rPr>
      <t>4</t>
    </r>
    <r>
      <rPr>
        <sz val="8"/>
        <rFont val="Calibri"/>
        <family val="2"/>
        <scheme val="minor"/>
      </rPr>
      <t>/in)</t>
    </r>
  </si>
  <si>
    <r>
      <t>Effective A</t>
    </r>
    <r>
      <rPr>
        <vertAlign val="subscript"/>
        <sz val="8"/>
        <rFont val="Calibri"/>
        <family val="2"/>
        <scheme val="minor"/>
      </rPr>
      <t>s</t>
    </r>
  </si>
  <si>
    <t>Metal Type</t>
  </si>
  <si>
    <r>
      <t>E</t>
    </r>
    <r>
      <rPr>
        <vertAlign val="subscript"/>
        <sz val="10"/>
        <rFont val="Calibri"/>
        <family val="2"/>
        <scheme val="minor"/>
      </rPr>
      <t>m</t>
    </r>
    <r>
      <rPr>
        <sz val="10"/>
        <rFont val="Calibri"/>
        <family val="2"/>
        <scheme val="minor"/>
      </rPr>
      <t xml:space="preserve"> = Modulus of elasticity of metal</t>
    </r>
  </si>
  <si>
    <r>
      <t>F</t>
    </r>
    <r>
      <rPr>
        <vertAlign val="subscript"/>
        <sz val="10"/>
        <rFont val="Calibri"/>
        <family val="2"/>
      </rPr>
      <t>y</t>
    </r>
    <r>
      <rPr>
        <sz val="10"/>
        <rFont val="Calibri"/>
        <family val="2"/>
      </rPr>
      <t xml:space="preserve"> = Minimum Yield Point of the Metal</t>
    </r>
  </si>
  <si>
    <r>
      <t>F</t>
    </r>
    <r>
      <rPr>
        <vertAlign val="subscript"/>
        <sz val="10"/>
        <rFont val="Calibri"/>
        <family val="2"/>
      </rPr>
      <t>u</t>
    </r>
    <r>
      <rPr>
        <sz val="10"/>
        <rFont val="Calibri"/>
        <family val="2"/>
      </rPr>
      <t xml:space="preserve"> = Minimum Tensile Strength of the Metal</t>
    </r>
  </si>
  <si>
    <t>k = soil stiffness factor =</t>
  </si>
  <si>
    <r>
      <t xml:space="preserve">I </t>
    </r>
    <r>
      <rPr>
        <sz val="10"/>
        <rFont val="Calibri"/>
        <family val="2"/>
        <scheme val="minor"/>
      </rPr>
      <t>x 10</t>
    </r>
    <r>
      <rPr>
        <vertAlign val="superscript"/>
        <sz val="10"/>
        <rFont val="Calibri"/>
        <family val="2"/>
        <scheme val="minor"/>
      </rPr>
      <t>-3</t>
    </r>
    <r>
      <rPr>
        <sz val="10"/>
        <rFont val="Calibri"/>
        <family val="2"/>
        <scheme val="minor"/>
      </rPr>
      <t xml:space="preserve"> (in</t>
    </r>
    <r>
      <rPr>
        <vertAlign val="superscript"/>
        <sz val="10"/>
        <rFont val="Calibri"/>
        <family val="2"/>
        <scheme val="minor"/>
      </rPr>
      <t>4</t>
    </r>
    <r>
      <rPr>
        <sz val="10"/>
        <rFont val="Calibri"/>
        <family val="2"/>
        <scheme val="minor"/>
      </rPr>
      <t>/in) =</t>
    </r>
  </si>
  <si>
    <r>
      <t>Aluminum-structural plate (thickness 0.100</t>
    </r>
    <r>
      <rPr>
        <sz val="9"/>
        <rFont val="Calibri"/>
        <family val="2"/>
      </rPr>
      <t xml:space="preserve">" </t>
    </r>
    <r>
      <rPr>
        <sz val="9"/>
        <rFont val="Calibri"/>
        <family val="2"/>
        <scheme val="minor"/>
      </rPr>
      <t>- 0.175</t>
    </r>
    <r>
      <rPr>
        <sz val="9"/>
        <rFont val="Calibri"/>
        <family val="2"/>
      </rPr>
      <t>"</t>
    </r>
    <r>
      <rPr>
        <sz val="9"/>
        <rFont val="Calibri"/>
        <family val="2"/>
        <scheme val="minor"/>
      </rPr>
      <t>)</t>
    </r>
  </si>
  <si>
    <r>
      <t>Aluminum-structural plate (thickness 0.176</t>
    </r>
    <r>
      <rPr>
        <sz val="9"/>
        <rFont val="Calibri"/>
        <family val="2"/>
      </rPr>
      <t xml:space="preserve">" </t>
    </r>
    <r>
      <rPr>
        <sz val="9"/>
        <rFont val="Calibri"/>
        <family val="2"/>
        <scheme val="minor"/>
      </rPr>
      <t>- 0.250</t>
    </r>
    <r>
      <rPr>
        <sz val="9"/>
        <rFont val="Calibri"/>
        <family val="2"/>
      </rPr>
      <t>"</t>
    </r>
    <r>
      <rPr>
        <sz val="9"/>
        <rFont val="Calibri"/>
        <family val="2"/>
        <scheme val="minor"/>
      </rPr>
      <t>)</t>
    </r>
  </si>
  <si>
    <r>
      <rPr>
        <b/>
        <sz val="11"/>
        <rFont val="Calibri"/>
        <family val="2"/>
        <scheme val="minor"/>
      </rPr>
      <t>2⅔ x ½</t>
    </r>
    <r>
      <rPr>
        <b/>
        <sz val="9"/>
        <rFont val="Calibri"/>
        <family val="2"/>
        <scheme val="minor"/>
      </rPr>
      <t xml:space="preserve"> </t>
    </r>
    <r>
      <rPr>
        <sz val="9"/>
        <rFont val="Calibri"/>
        <family val="2"/>
        <scheme val="minor"/>
      </rPr>
      <t>(corrugated steel pipe)</t>
    </r>
  </si>
  <si>
    <r>
      <rPr>
        <b/>
        <sz val="11"/>
        <rFont val="Calibri"/>
        <family val="2"/>
        <scheme val="minor"/>
      </rPr>
      <t>1½ x ¼</t>
    </r>
    <r>
      <rPr>
        <b/>
        <sz val="9"/>
        <rFont val="Calibri"/>
        <family val="2"/>
        <scheme val="minor"/>
      </rPr>
      <t xml:space="preserve"> </t>
    </r>
    <r>
      <rPr>
        <sz val="9"/>
        <rFont val="Calibri"/>
        <family val="2"/>
        <scheme val="minor"/>
      </rPr>
      <t>(corrugated steel pipe)</t>
    </r>
  </si>
  <si>
    <r>
      <rPr>
        <b/>
        <sz val="11"/>
        <rFont val="Calibri"/>
        <family val="2"/>
        <scheme val="minor"/>
      </rPr>
      <t>3 x 1</t>
    </r>
    <r>
      <rPr>
        <b/>
        <sz val="9"/>
        <rFont val="Calibri"/>
        <family val="2"/>
        <scheme val="minor"/>
      </rPr>
      <t xml:space="preserve"> </t>
    </r>
    <r>
      <rPr>
        <sz val="9"/>
        <rFont val="Calibri"/>
        <family val="2"/>
        <scheme val="minor"/>
      </rPr>
      <t>(corrugated steel pipe)</t>
    </r>
  </si>
  <si>
    <r>
      <rPr>
        <b/>
        <sz val="11"/>
        <rFont val="Calibri"/>
        <family val="2"/>
        <scheme val="minor"/>
      </rPr>
      <t>5 x 1</t>
    </r>
    <r>
      <rPr>
        <b/>
        <sz val="9"/>
        <rFont val="Calibri"/>
        <family val="2"/>
        <scheme val="minor"/>
      </rPr>
      <t xml:space="preserve"> </t>
    </r>
    <r>
      <rPr>
        <sz val="9"/>
        <rFont val="Calibri"/>
        <family val="2"/>
        <scheme val="minor"/>
      </rPr>
      <t>(corrugated steel pipe)</t>
    </r>
  </si>
  <si>
    <r>
      <rPr>
        <b/>
        <sz val="11"/>
        <rFont val="Calibri"/>
        <family val="2"/>
        <scheme val="minor"/>
      </rPr>
      <t>¾ x ¾ x 7½</t>
    </r>
    <r>
      <rPr>
        <b/>
        <sz val="9"/>
        <rFont val="Calibri"/>
        <family val="2"/>
        <scheme val="minor"/>
      </rPr>
      <t xml:space="preserve"> </t>
    </r>
    <r>
      <rPr>
        <sz val="9"/>
        <rFont val="Calibri"/>
        <family val="2"/>
        <scheme val="minor"/>
      </rPr>
      <t>(spiral rib steel pipe)</t>
    </r>
  </si>
  <si>
    <r>
      <rPr>
        <b/>
        <sz val="11"/>
        <rFont val="Calibri"/>
        <family val="2"/>
        <scheme val="minor"/>
      </rPr>
      <t>¾ x 1 x 11½</t>
    </r>
    <r>
      <rPr>
        <sz val="9"/>
        <rFont val="Calibri"/>
        <family val="2"/>
        <scheme val="minor"/>
      </rPr>
      <t xml:space="preserve"> (spiral rib steel pipe)</t>
    </r>
  </si>
  <si>
    <r>
      <rPr>
        <b/>
        <sz val="11"/>
        <rFont val="Calibri"/>
        <family val="2"/>
        <scheme val="minor"/>
      </rPr>
      <t>6 x 2</t>
    </r>
    <r>
      <rPr>
        <sz val="9"/>
        <rFont val="Calibri"/>
        <family val="2"/>
        <scheme val="minor"/>
      </rPr>
      <t xml:space="preserve"> (steel structural plate pipe)</t>
    </r>
  </si>
  <si>
    <r>
      <rPr>
        <b/>
        <sz val="11"/>
        <rFont val="Calibri"/>
        <family val="2"/>
        <scheme val="minor"/>
      </rPr>
      <t>1½ x ¼</t>
    </r>
    <r>
      <rPr>
        <b/>
        <sz val="8"/>
        <rFont val="Calibri"/>
        <family val="2"/>
        <scheme val="minor"/>
      </rPr>
      <t xml:space="preserve"> </t>
    </r>
    <r>
      <rPr>
        <sz val="8"/>
        <rFont val="Calibri"/>
        <family val="2"/>
        <scheme val="minor"/>
      </rPr>
      <t>(corrugated aluminum pipe)</t>
    </r>
  </si>
  <si>
    <r>
      <rPr>
        <b/>
        <sz val="11"/>
        <rFont val="Calibri"/>
        <family val="2"/>
        <scheme val="minor"/>
      </rPr>
      <t>2⅔ x ½</t>
    </r>
    <r>
      <rPr>
        <sz val="8"/>
        <rFont val="Calibri"/>
        <family val="2"/>
        <scheme val="minor"/>
      </rPr>
      <t xml:space="preserve"> (corrugated aluminum pipe)</t>
    </r>
  </si>
  <si>
    <r>
      <rPr>
        <b/>
        <sz val="11"/>
        <rFont val="Calibri"/>
        <family val="2"/>
        <scheme val="minor"/>
      </rPr>
      <t>3 x 1</t>
    </r>
    <r>
      <rPr>
        <b/>
        <sz val="8"/>
        <rFont val="Calibri"/>
        <family val="2"/>
        <scheme val="minor"/>
      </rPr>
      <t xml:space="preserve"> </t>
    </r>
    <r>
      <rPr>
        <sz val="8"/>
        <rFont val="Calibri"/>
        <family val="2"/>
        <scheme val="minor"/>
      </rPr>
      <t>(corrugated aluminum pipe)</t>
    </r>
  </si>
  <si>
    <r>
      <rPr>
        <b/>
        <sz val="11"/>
        <rFont val="Calibri"/>
        <family val="2"/>
        <scheme val="minor"/>
      </rPr>
      <t>¾ x ¾ x 7½</t>
    </r>
    <r>
      <rPr>
        <b/>
        <sz val="9"/>
        <rFont val="Calibri"/>
        <family val="2"/>
        <scheme val="minor"/>
      </rPr>
      <t xml:space="preserve"> </t>
    </r>
    <r>
      <rPr>
        <sz val="9"/>
        <rFont val="Calibri"/>
        <family val="2"/>
        <scheme val="minor"/>
      </rPr>
      <t>(aluminum spiral rib pipe)</t>
    </r>
  </si>
  <si>
    <r>
      <rPr>
        <b/>
        <sz val="11"/>
        <rFont val="Calibri"/>
        <family val="2"/>
        <scheme val="minor"/>
      </rPr>
      <t>¾ x 1 x 11½</t>
    </r>
    <r>
      <rPr>
        <sz val="9"/>
        <rFont val="Calibri"/>
        <family val="2"/>
        <scheme val="minor"/>
      </rPr>
      <t xml:space="preserve"> (aluminum spiral rib pipe)</t>
    </r>
  </si>
  <si>
    <r>
      <rPr>
        <b/>
        <sz val="11"/>
        <rFont val="Calibri"/>
        <family val="2"/>
        <scheme val="minor"/>
      </rPr>
      <t>9 x 2½</t>
    </r>
    <r>
      <rPr>
        <sz val="11"/>
        <rFont val="Calibri"/>
        <family val="2"/>
        <scheme val="minor"/>
      </rPr>
      <t xml:space="preserve"> </t>
    </r>
    <r>
      <rPr>
        <sz val="9"/>
        <rFont val="Calibri"/>
        <family val="2"/>
        <scheme val="minor"/>
      </rPr>
      <t>(aluminum structural plate pipe)</t>
    </r>
  </si>
  <si>
    <r>
      <rPr>
        <b/>
        <sz val="11"/>
        <rFont val="Calibri"/>
        <family val="2"/>
        <scheme val="minor"/>
      </rPr>
      <t>6 x 1</t>
    </r>
    <r>
      <rPr>
        <b/>
        <sz val="8"/>
        <rFont val="Calibri"/>
        <family val="2"/>
        <scheme val="minor"/>
      </rPr>
      <t xml:space="preserve"> </t>
    </r>
    <r>
      <rPr>
        <sz val="8"/>
        <rFont val="Calibri"/>
        <family val="2"/>
        <scheme val="minor"/>
      </rPr>
      <t>(corrugated aluminum pipe)</t>
    </r>
  </si>
  <si>
    <t>Gage #</t>
  </si>
  <si>
    <r>
      <t>R</t>
    </r>
    <r>
      <rPr>
        <vertAlign val="subscript"/>
        <sz val="9"/>
        <rFont val="Calibri"/>
        <family val="2"/>
        <scheme val="minor"/>
      </rPr>
      <t>t</t>
    </r>
    <r>
      <rPr>
        <sz val="9"/>
        <rFont val="Calibri"/>
        <family val="2"/>
        <scheme val="minor"/>
      </rPr>
      <t xml:space="preserve"> = </t>
    </r>
  </si>
  <si>
    <r>
      <t>← R</t>
    </r>
    <r>
      <rPr>
        <b/>
        <vertAlign val="subscript"/>
        <sz val="9"/>
        <rFont val="Calibri"/>
        <family val="2"/>
      </rPr>
      <t>t</t>
    </r>
    <r>
      <rPr>
        <b/>
        <sz val="9"/>
        <rFont val="Calibri"/>
        <family val="2"/>
      </rPr>
      <t xml:space="preserve"> range</t>
    </r>
  </si>
  <si>
    <r>
      <t>F</t>
    </r>
    <r>
      <rPr>
        <b/>
        <vertAlign val="subscript"/>
        <sz val="9"/>
        <rFont val="Calibri"/>
        <family val="2"/>
        <scheme val="minor"/>
      </rPr>
      <t xml:space="preserve">u </t>
    </r>
    <r>
      <rPr>
        <b/>
        <sz val="9"/>
        <rFont val="Calibri"/>
        <family val="2"/>
        <scheme val="minor"/>
      </rPr>
      <t>(ksi)</t>
    </r>
  </si>
  <si>
    <r>
      <t>F</t>
    </r>
    <r>
      <rPr>
        <b/>
        <vertAlign val="subscript"/>
        <sz val="9"/>
        <rFont val="Calibri"/>
        <family val="2"/>
        <scheme val="minor"/>
      </rPr>
      <t xml:space="preserve">y </t>
    </r>
    <r>
      <rPr>
        <b/>
        <sz val="9"/>
        <rFont val="Calibri"/>
        <family val="2"/>
        <scheme val="minor"/>
      </rPr>
      <t>(ksi)</t>
    </r>
  </si>
  <si>
    <r>
      <rPr>
        <b/>
        <sz val="12"/>
        <rFont val="Calibri"/>
        <family val="2"/>
        <scheme val="minor"/>
      </rPr>
      <t>6 x 2</t>
    </r>
    <r>
      <rPr>
        <sz val="12"/>
        <rFont val="Calibri"/>
        <family val="2"/>
        <scheme val="minor"/>
      </rPr>
      <t xml:space="preserve"> corrugated steel plates</t>
    </r>
  </si>
  <si>
    <t>Min. =</t>
  </si>
  <si>
    <t>in</t>
  </si>
  <si>
    <r>
      <t xml:space="preserve">A.   Design </t>
    </r>
    <r>
      <rPr>
        <b/>
        <sz val="14"/>
        <color indexed="8"/>
        <rFont val="Calibri"/>
        <family val="2"/>
      </rPr>
      <t>Dimensions</t>
    </r>
  </si>
  <si>
    <r>
      <t xml:space="preserve">B.   Design </t>
    </r>
    <r>
      <rPr>
        <b/>
        <sz val="14"/>
        <color indexed="8"/>
        <rFont val="Calibri"/>
        <family val="2"/>
      </rPr>
      <t>Properties</t>
    </r>
  </si>
  <si>
    <t>C.   Design Calculations:</t>
  </si>
  <si>
    <t>Seam Type:</t>
  </si>
  <si>
    <t>Annular pipe w/ spot welded, riveted or bolted seam</t>
  </si>
  <si>
    <t>Helical pipe w/ lock seam or fully welded seam</t>
  </si>
  <si>
    <t>Structure Category:</t>
  </si>
  <si>
    <r>
      <rPr>
        <b/>
        <sz val="12"/>
        <rFont val="Calibri"/>
        <family val="2"/>
        <scheme val="minor"/>
      </rPr>
      <t>Structure Category</t>
    </r>
    <r>
      <rPr>
        <b/>
        <sz val="10"/>
        <rFont val="Calibri"/>
        <family val="2"/>
        <scheme val="minor"/>
      </rPr>
      <t>:</t>
    </r>
  </si>
  <si>
    <r>
      <rPr>
        <b/>
        <sz val="12"/>
        <color rgb="FFFF0000"/>
        <rFont val="Calibri"/>
        <family val="2"/>
        <scheme val="minor"/>
      </rPr>
      <t>*</t>
    </r>
    <r>
      <rPr>
        <sz val="9"/>
        <color rgb="FFFF0000"/>
        <rFont val="Calibri"/>
        <family val="2"/>
        <scheme val="minor"/>
      </rPr>
      <t xml:space="preserve"> </t>
    </r>
    <r>
      <rPr>
        <sz val="9"/>
        <rFont val="Calibri"/>
        <family val="2"/>
      </rPr>
      <t>For unsymmetrical structures, structures deflected more than 5% from design shape, or those that show localized distortions require that the actual maximum radius be determined in those distorted areas as show above. Use two times the actual maximum radius rather than the span in structural design checks. Typically this provides a conservative evaluation of the structure. Calculate maximum existing top radius by taking measurements around the upper periphery of the culvert using a ruler of length "P" to obtain values of "M". This should be done at selected stations along length of culvert, particularly at locations with noticeable sag.</t>
    </r>
  </si>
  <si>
    <t>Typical (NCSPA design data sheet No. 19, II. A. 1.)</t>
  </si>
  <si>
    <t>Unsymmetrical  or deflect over 5% (NCSPA design data sheet No. 19, II. A. 2.)</t>
  </si>
  <si>
    <t>Long span (NCSPA design data sheet No. 19, II. A. 3.)</t>
  </si>
  <si>
    <r>
      <rPr>
        <sz val="10"/>
        <rFont val="Calibri"/>
        <family val="2"/>
      </rPr>
      <t>Longitudinal Length of Structure "L" (ft) =</t>
    </r>
  </si>
  <si>
    <t>if:</t>
  </si>
  <si>
    <t>Compare:</t>
  </si>
  <si>
    <t>S (in) =</t>
  </si>
  <si>
    <r>
      <t>T</t>
    </r>
    <r>
      <rPr>
        <vertAlign val="subscript"/>
        <sz val="10"/>
        <rFont val="Calibri"/>
        <family val="2"/>
        <scheme val="minor"/>
      </rPr>
      <t>cap</t>
    </r>
    <r>
      <rPr>
        <sz val="10"/>
        <rFont val="Calibri"/>
        <family val="2"/>
        <scheme val="minor"/>
      </rPr>
      <t xml:space="preserve"> = less of:</t>
    </r>
  </si>
  <si>
    <t>Diameter      (in)</t>
  </si>
  <si>
    <t>4 Bolts/ft (k/ft)</t>
  </si>
  <si>
    <t>6 Bolts/ft (k/ft)</t>
  </si>
  <si>
    <t>8 Bolts/ft (k/ft)</t>
  </si>
  <si>
    <t>Minimum Longitudinal Seam Strength</t>
  </si>
  <si>
    <t>Rivet Size                   (in)</t>
  </si>
  <si>
    <t>Single Rivets (k/ft)</t>
  </si>
  <si>
    <t>Double Rivets (k/ft)</t>
  </si>
  <si>
    <t>¾</t>
  </si>
  <si>
    <t>⅞</t>
  </si>
  <si>
    <t>⅜</t>
  </si>
  <si>
    <r>
      <rPr>
        <b/>
        <sz val="11"/>
        <rFont val="Calibri"/>
        <family val="2"/>
        <scheme val="minor"/>
      </rPr>
      <t>3 x 1</t>
    </r>
    <r>
      <rPr>
        <b/>
        <sz val="9"/>
        <rFont val="Calibri"/>
        <family val="2"/>
        <scheme val="minor"/>
      </rPr>
      <t xml:space="preserve"> </t>
    </r>
    <r>
      <rPr>
        <sz val="9"/>
        <rFont val="Calibri"/>
        <family val="2"/>
        <scheme val="minor"/>
      </rPr>
      <t>(corrugated steel pipe) - Riveted or Spot Welded</t>
    </r>
  </si>
  <si>
    <r>
      <rPr>
        <b/>
        <sz val="12"/>
        <rFont val="Calibri"/>
        <family val="2"/>
        <scheme val="minor"/>
      </rPr>
      <t xml:space="preserve">2 x </t>
    </r>
    <r>
      <rPr>
        <b/>
        <sz val="12"/>
        <rFont val="Calibri"/>
        <family val="2"/>
      </rPr>
      <t>½</t>
    </r>
    <r>
      <rPr>
        <b/>
        <sz val="11"/>
        <rFont val="Calibri"/>
        <family val="2"/>
        <scheme val="minor"/>
      </rPr>
      <t xml:space="preserve"> </t>
    </r>
    <r>
      <rPr>
        <sz val="8"/>
        <rFont val="Calibri"/>
        <family val="2"/>
        <scheme val="minor"/>
      </rPr>
      <t>&amp;</t>
    </r>
    <r>
      <rPr>
        <b/>
        <sz val="12"/>
        <rFont val="Calibri"/>
        <family val="2"/>
        <scheme val="minor"/>
      </rPr>
      <t xml:space="preserve"> 2⅔ x ½</t>
    </r>
    <r>
      <rPr>
        <b/>
        <sz val="11"/>
        <rFont val="Calibri"/>
        <family val="2"/>
        <scheme val="minor"/>
      </rPr>
      <t xml:space="preserve"> </t>
    </r>
    <r>
      <rPr>
        <b/>
        <sz val="9"/>
        <rFont val="Calibri"/>
        <family val="2"/>
        <scheme val="minor"/>
      </rPr>
      <t xml:space="preserve"> </t>
    </r>
    <r>
      <rPr>
        <sz val="9"/>
        <rFont val="Calibri"/>
        <family val="2"/>
        <scheme val="minor"/>
      </rPr>
      <t>(corrugated steel pipe) - Riveted or Spot Welded</t>
    </r>
  </si>
  <si>
    <r>
      <rPr>
        <b/>
        <sz val="12"/>
        <rFont val="Calibri"/>
        <family val="2"/>
        <scheme val="minor"/>
      </rPr>
      <t xml:space="preserve">2 x </t>
    </r>
    <r>
      <rPr>
        <b/>
        <sz val="12"/>
        <rFont val="Calibri"/>
        <family val="2"/>
      </rPr>
      <t>½</t>
    </r>
    <r>
      <rPr>
        <b/>
        <sz val="11"/>
        <rFont val="Calibri"/>
        <family val="2"/>
        <scheme val="minor"/>
      </rPr>
      <t xml:space="preserve"> </t>
    </r>
    <r>
      <rPr>
        <sz val="8"/>
        <rFont val="Calibri"/>
        <family val="2"/>
        <scheme val="minor"/>
      </rPr>
      <t>&amp;</t>
    </r>
    <r>
      <rPr>
        <b/>
        <sz val="12"/>
        <rFont val="Calibri"/>
        <family val="2"/>
        <scheme val="minor"/>
      </rPr>
      <t xml:space="preserve"> 2⅔ x ½</t>
    </r>
    <r>
      <rPr>
        <b/>
        <sz val="11"/>
        <rFont val="Calibri"/>
        <family val="2"/>
        <scheme val="minor"/>
      </rPr>
      <t xml:space="preserve"> </t>
    </r>
    <r>
      <rPr>
        <b/>
        <sz val="9"/>
        <rFont val="Calibri"/>
        <family val="2"/>
        <scheme val="minor"/>
      </rPr>
      <t xml:space="preserve"> </t>
    </r>
    <r>
      <rPr>
        <sz val="9"/>
        <rFont val="Calibri"/>
        <family val="2"/>
        <scheme val="minor"/>
      </rPr>
      <t>(corrugated aluminum pipe) - Riveted</t>
    </r>
  </si>
  <si>
    <r>
      <rPr>
        <b/>
        <sz val="11"/>
        <rFont val="Calibri"/>
        <family val="2"/>
        <scheme val="minor"/>
      </rPr>
      <t>3 x 1</t>
    </r>
    <r>
      <rPr>
        <b/>
        <sz val="9"/>
        <rFont val="Calibri"/>
        <family val="2"/>
        <scheme val="minor"/>
      </rPr>
      <t xml:space="preserve"> </t>
    </r>
    <r>
      <rPr>
        <sz val="9"/>
        <rFont val="Calibri"/>
        <family val="2"/>
        <scheme val="minor"/>
      </rPr>
      <t>(corrugated aluminum pipe) - Riveted</t>
    </r>
  </si>
  <si>
    <r>
      <rPr>
        <b/>
        <sz val="11"/>
        <rFont val="Calibri"/>
        <family val="2"/>
        <scheme val="minor"/>
      </rPr>
      <t>6 x 1</t>
    </r>
    <r>
      <rPr>
        <b/>
        <sz val="9"/>
        <rFont val="Calibri"/>
        <family val="2"/>
        <scheme val="minor"/>
      </rPr>
      <t xml:space="preserve"> </t>
    </r>
    <r>
      <rPr>
        <sz val="9"/>
        <rFont val="Calibri"/>
        <family val="2"/>
        <scheme val="minor"/>
      </rPr>
      <t>(corrugated aluminum pipe) - Riveted</t>
    </r>
  </si>
  <si>
    <t>steel bolts</t>
  </si>
  <si>
    <t>aluminum bolts</t>
  </si>
  <si>
    <r>
      <rPr>
        <sz val="10"/>
        <rFont val="Calibri"/>
        <family val="2"/>
        <scheme val="minor"/>
      </rPr>
      <t>5</t>
    </r>
    <r>
      <rPr>
        <sz val="10"/>
        <rFont val="Calibri"/>
        <family val="2"/>
      </rPr>
      <t>⅓</t>
    </r>
    <r>
      <rPr>
        <sz val="8"/>
        <rFont val="Calibri"/>
        <family val="2"/>
        <scheme val="minor"/>
      </rPr>
      <t xml:space="preserve"> Bolts/ft (k/ft)</t>
    </r>
  </si>
  <si>
    <t>Diameter                    (in)</t>
  </si>
  <si>
    <r>
      <rPr>
        <sz val="10"/>
        <rFont val="Calibri"/>
        <family val="2"/>
        <scheme val="minor"/>
      </rPr>
      <t>5</t>
    </r>
    <r>
      <rPr>
        <sz val="10"/>
        <rFont val="Calibri"/>
        <family val="2"/>
      </rPr>
      <t>⅓</t>
    </r>
    <r>
      <rPr>
        <sz val="8"/>
        <rFont val="Calibri"/>
        <family val="2"/>
        <scheme val="minor"/>
      </rPr>
      <t xml:space="preserve"> Bolts/ft               (k/ft)</t>
    </r>
  </si>
  <si>
    <t>Double Rivets                (k/ft)</t>
  </si>
  <si>
    <t>Double Rivets             (k/ft)</t>
  </si>
  <si>
    <r>
      <t xml:space="preserve">3.  seam strength = </t>
    </r>
    <r>
      <rPr>
        <sz val="10"/>
        <rFont val="Calibri"/>
        <family val="2"/>
      </rPr>
      <t>φ</t>
    </r>
    <r>
      <rPr>
        <vertAlign val="subscript"/>
        <sz val="10"/>
        <rFont val="Calibri"/>
        <family val="2"/>
      </rPr>
      <t>2</t>
    </r>
    <r>
      <rPr>
        <sz val="10"/>
        <rFont val="Calibri"/>
        <family val="2"/>
      </rPr>
      <t xml:space="preserve"> x (seam strength) =</t>
    </r>
  </si>
  <si>
    <t>k/ft</t>
  </si>
  <si>
    <r>
      <t>T</t>
    </r>
    <r>
      <rPr>
        <vertAlign val="subscript"/>
        <sz val="10"/>
        <rFont val="Calibri"/>
        <family val="2"/>
        <scheme val="minor"/>
      </rPr>
      <t>E</t>
    </r>
    <r>
      <rPr>
        <sz val="10"/>
        <rFont val="Calibri"/>
        <family val="2"/>
        <scheme val="minor"/>
      </rPr>
      <t xml:space="preserve"> = higher value of :</t>
    </r>
  </si>
  <si>
    <r>
      <t xml:space="preserve">1.   </t>
    </r>
    <r>
      <rPr>
        <sz val="10"/>
        <rFont val="Calibri"/>
        <family val="2"/>
      </rPr>
      <t>δ H (S/2) =</t>
    </r>
  </si>
  <si>
    <r>
      <t xml:space="preserve">2.   </t>
    </r>
    <r>
      <rPr>
        <sz val="10"/>
        <rFont val="Calibri"/>
        <family val="2"/>
      </rPr>
      <t>δ H R</t>
    </r>
    <r>
      <rPr>
        <vertAlign val="subscript"/>
        <sz val="10"/>
        <rFont val="Calibri"/>
        <family val="2"/>
      </rPr>
      <t>t</t>
    </r>
    <r>
      <rPr>
        <sz val="10"/>
        <rFont val="Calibri"/>
        <family val="2"/>
      </rPr>
      <t xml:space="preserve"> =</t>
    </r>
  </si>
  <si>
    <t>3F1</t>
  </si>
  <si>
    <t>4F1</t>
  </si>
  <si>
    <t>5C1</t>
  </si>
  <si>
    <t>wheel spacing on axle</t>
  </si>
  <si>
    <r>
      <t>W</t>
    </r>
    <r>
      <rPr>
        <b/>
        <vertAlign val="subscript"/>
        <sz val="9"/>
        <rFont val="Calibri"/>
        <family val="2"/>
        <scheme val="minor"/>
      </rPr>
      <t xml:space="preserve">D (total) </t>
    </r>
    <r>
      <rPr>
        <b/>
        <sz val="9"/>
        <rFont val="Calibri"/>
        <family val="2"/>
        <scheme val="minor"/>
      </rPr>
      <t xml:space="preserve">= </t>
    </r>
  </si>
  <si>
    <t xml:space="preserve">ft </t>
  </si>
  <si>
    <t>Structure Total Length, L =</t>
  </si>
  <si>
    <r>
      <t>W</t>
    </r>
    <r>
      <rPr>
        <b/>
        <vertAlign val="subscript"/>
        <sz val="9"/>
        <rFont val="Calibri"/>
        <family val="2"/>
        <scheme val="minor"/>
      </rPr>
      <t xml:space="preserve">D </t>
    </r>
    <r>
      <rPr>
        <sz val="8"/>
        <rFont val="Calibri"/>
        <family val="2"/>
        <scheme val="minor"/>
      </rPr>
      <t>(ft)</t>
    </r>
    <r>
      <rPr>
        <b/>
        <vertAlign val="subscript"/>
        <sz val="9"/>
        <rFont val="Calibri"/>
        <family val="2"/>
        <scheme val="minor"/>
      </rPr>
      <t xml:space="preserve"> </t>
    </r>
    <r>
      <rPr>
        <b/>
        <sz val="9"/>
        <rFont val="Calibri"/>
        <family val="2"/>
        <scheme val="minor"/>
      </rPr>
      <t>=</t>
    </r>
  </si>
  <si>
    <r>
      <rPr>
        <b/>
        <sz val="10"/>
        <rFont val="Calibri"/>
        <family val="2"/>
        <scheme val="minor"/>
      </rPr>
      <t>L</t>
    </r>
    <r>
      <rPr>
        <b/>
        <vertAlign val="subscript"/>
        <sz val="10"/>
        <rFont val="Calibri"/>
        <family val="2"/>
        <scheme val="minor"/>
      </rPr>
      <t>D</t>
    </r>
    <r>
      <rPr>
        <b/>
        <vertAlign val="subscript"/>
        <sz val="9"/>
        <rFont val="Calibri"/>
        <family val="2"/>
        <scheme val="minor"/>
      </rPr>
      <t xml:space="preserve"> (total)</t>
    </r>
    <r>
      <rPr>
        <b/>
        <sz val="9"/>
        <rFont val="Calibri"/>
        <family val="2"/>
        <scheme val="minor"/>
      </rPr>
      <t xml:space="preserve"> =</t>
    </r>
  </si>
  <si>
    <r>
      <rPr>
        <b/>
        <sz val="10"/>
        <rFont val="Calibri"/>
        <family val="2"/>
        <scheme val="minor"/>
      </rPr>
      <t>L</t>
    </r>
    <r>
      <rPr>
        <b/>
        <vertAlign val="subscript"/>
        <sz val="10"/>
        <rFont val="Calibri"/>
        <family val="2"/>
        <scheme val="minor"/>
      </rPr>
      <t>D</t>
    </r>
    <r>
      <rPr>
        <b/>
        <sz val="8"/>
        <rFont val="Calibri"/>
        <family val="2"/>
        <scheme val="minor"/>
      </rPr>
      <t xml:space="preserve"> </t>
    </r>
    <r>
      <rPr>
        <sz val="8"/>
        <rFont val="Calibri"/>
        <family val="2"/>
        <scheme val="minor"/>
      </rPr>
      <t>(ft)</t>
    </r>
    <r>
      <rPr>
        <vertAlign val="subscript"/>
        <sz val="9"/>
        <rFont val="Calibri"/>
        <family val="2"/>
        <scheme val="minor"/>
      </rPr>
      <t xml:space="preserve"> </t>
    </r>
    <r>
      <rPr>
        <b/>
        <sz val="9"/>
        <rFont val="Calibri"/>
        <family val="2"/>
        <scheme val="minor"/>
      </rPr>
      <t>=</t>
    </r>
  </si>
  <si>
    <r>
      <t xml:space="preserve">               a. </t>
    </r>
    <r>
      <rPr>
        <sz val="11"/>
        <rFont val="Calibri"/>
        <family val="2"/>
        <scheme val="minor"/>
      </rPr>
      <t>RF</t>
    </r>
    <r>
      <rPr>
        <vertAlign val="subscript"/>
        <sz val="11"/>
        <rFont val="Calibri"/>
        <family val="2"/>
        <scheme val="minor"/>
      </rPr>
      <t>O</t>
    </r>
    <r>
      <rPr>
        <sz val="11"/>
        <rFont val="Calibri"/>
        <family val="2"/>
        <scheme val="minor"/>
      </rPr>
      <t xml:space="preserve"> based on wall strength</t>
    </r>
  </si>
  <si>
    <r>
      <t>T</t>
    </r>
    <r>
      <rPr>
        <b/>
        <vertAlign val="subscript"/>
        <sz val="10"/>
        <rFont val="Calibri"/>
        <family val="2"/>
        <scheme val="minor"/>
      </rPr>
      <t>cap</t>
    </r>
  </si>
  <si>
    <r>
      <t>T</t>
    </r>
    <r>
      <rPr>
        <b/>
        <vertAlign val="subscript"/>
        <sz val="10"/>
        <rFont val="Calibri"/>
        <family val="2"/>
        <scheme val="minor"/>
      </rPr>
      <t>E</t>
    </r>
    <r>
      <rPr>
        <b/>
        <sz val="10"/>
        <rFont val="Calibri"/>
        <family val="2"/>
        <scheme val="minor"/>
      </rPr>
      <t xml:space="preserve"> </t>
    </r>
  </si>
  <si>
    <r>
      <t>RF</t>
    </r>
    <r>
      <rPr>
        <b/>
        <vertAlign val="subscript"/>
        <sz val="10"/>
        <rFont val="Calibri"/>
        <family val="2"/>
        <scheme val="minor"/>
      </rPr>
      <t>O-W</t>
    </r>
  </si>
  <si>
    <t>Inventory</t>
  </si>
  <si>
    <t>Operating</t>
  </si>
  <si>
    <r>
      <t xml:space="preserve">               b. </t>
    </r>
    <r>
      <rPr>
        <sz val="11"/>
        <rFont val="Calibri"/>
        <family val="2"/>
        <scheme val="minor"/>
      </rPr>
      <t>RF</t>
    </r>
    <r>
      <rPr>
        <vertAlign val="subscript"/>
        <sz val="11"/>
        <rFont val="Calibri"/>
        <family val="2"/>
        <scheme val="minor"/>
      </rPr>
      <t>O</t>
    </r>
    <r>
      <rPr>
        <sz val="11"/>
        <rFont val="Calibri"/>
        <family val="2"/>
        <scheme val="minor"/>
      </rPr>
      <t xml:space="preserve"> based on minimum cover requirements</t>
    </r>
  </si>
  <si>
    <r>
      <t xml:space="preserve">      1.  Operating</t>
    </r>
    <r>
      <rPr>
        <sz val="12"/>
        <rFont val="Calibri"/>
        <family val="2"/>
        <scheme val="minor"/>
      </rPr>
      <t xml:space="preserve"> Load Rating Factor (RF</t>
    </r>
    <r>
      <rPr>
        <vertAlign val="subscript"/>
        <sz val="12"/>
        <rFont val="Calibri"/>
        <family val="2"/>
        <scheme val="minor"/>
      </rPr>
      <t>O</t>
    </r>
    <r>
      <rPr>
        <sz val="12"/>
        <rFont val="Calibri"/>
        <family val="2"/>
        <scheme val="minor"/>
      </rPr>
      <t>):</t>
    </r>
  </si>
  <si>
    <r>
      <t>So,   RF</t>
    </r>
    <r>
      <rPr>
        <i/>
        <vertAlign val="subscript"/>
        <sz val="10"/>
        <rFont val="Times New Roman"/>
        <family val="1"/>
      </rPr>
      <t>O-C</t>
    </r>
    <r>
      <rPr>
        <i/>
        <sz val="10"/>
        <rFont val="Times New Roman"/>
        <family val="1"/>
      </rPr>
      <t xml:space="preserve"> =</t>
    </r>
  </si>
  <si>
    <r>
      <t>RF</t>
    </r>
    <r>
      <rPr>
        <b/>
        <vertAlign val="subscript"/>
        <sz val="10"/>
        <rFont val="Calibri"/>
        <family val="2"/>
        <scheme val="minor"/>
      </rPr>
      <t>O-C</t>
    </r>
  </si>
  <si>
    <r>
      <t>RF</t>
    </r>
    <r>
      <rPr>
        <b/>
        <vertAlign val="subscript"/>
        <sz val="10"/>
        <rFont val="Calibri"/>
        <family val="2"/>
        <scheme val="minor"/>
      </rPr>
      <t>O</t>
    </r>
  </si>
  <si>
    <r>
      <t xml:space="preserve">      2.  Inventory</t>
    </r>
    <r>
      <rPr>
        <sz val="12"/>
        <rFont val="Calibri"/>
        <family val="2"/>
        <scheme val="minor"/>
      </rPr>
      <t xml:space="preserve"> Load Rating Factor (RF</t>
    </r>
    <r>
      <rPr>
        <vertAlign val="subscript"/>
        <sz val="12"/>
        <rFont val="Calibri"/>
        <family val="2"/>
        <scheme val="minor"/>
      </rPr>
      <t>i</t>
    </r>
    <r>
      <rPr>
        <sz val="12"/>
        <rFont val="Calibri"/>
        <family val="2"/>
        <scheme val="minor"/>
      </rPr>
      <t>):</t>
    </r>
  </si>
  <si>
    <r>
      <t xml:space="preserve">               a. </t>
    </r>
    <r>
      <rPr>
        <sz val="11"/>
        <rFont val="Calibri"/>
        <family val="2"/>
        <scheme val="minor"/>
      </rPr>
      <t>RF</t>
    </r>
    <r>
      <rPr>
        <vertAlign val="subscript"/>
        <sz val="11"/>
        <rFont val="Calibri"/>
        <family val="2"/>
        <scheme val="minor"/>
      </rPr>
      <t>i</t>
    </r>
    <r>
      <rPr>
        <sz val="11"/>
        <rFont val="Calibri"/>
        <family val="2"/>
        <scheme val="minor"/>
      </rPr>
      <t xml:space="preserve"> based on wall strength</t>
    </r>
  </si>
  <si>
    <r>
      <t>RF</t>
    </r>
    <r>
      <rPr>
        <b/>
        <vertAlign val="subscript"/>
        <sz val="10"/>
        <rFont val="Calibri"/>
        <family val="2"/>
        <scheme val="minor"/>
      </rPr>
      <t>i-w</t>
    </r>
  </si>
  <si>
    <r>
      <t>RF</t>
    </r>
    <r>
      <rPr>
        <b/>
        <vertAlign val="subscript"/>
        <sz val="10"/>
        <rFont val="Calibri"/>
        <family val="2"/>
        <scheme val="minor"/>
      </rPr>
      <t>i-c</t>
    </r>
  </si>
  <si>
    <r>
      <t>RF</t>
    </r>
    <r>
      <rPr>
        <b/>
        <vertAlign val="subscript"/>
        <sz val="10"/>
        <rFont val="Calibri"/>
        <family val="2"/>
        <scheme val="minor"/>
      </rPr>
      <t>i</t>
    </r>
  </si>
  <si>
    <r>
      <t xml:space="preserve">Operating Load Rating Factors, </t>
    </r>
    <r>
      <rPr>
        <b/>
        <i/>
        <sz val="12"/>
        <rFont val="Calibri"/>
        <family val="2"/>
        <scheme val="minor"/>
      </rPr>
      <t>RF</t>
    </r>
    <r>
      <rPr>
        <b/>
        <i/>
        <vertAlign val="subscript"/>
        <sz val="12"/>
        <rFont val="Calibri"/>
        <family val="2"/>
        <scheme val="minor"/>
      </rPr>
      <t>O</t>
    </r>
  </si>
  <si>
    <r>
      <t xml:space="preserve">Inventory Load Rating Factor, </t>
    </r>
    <r>
      <rPr>
        <b/>
        <i/>
        <sz val="12"/>
        <rFont val="Calibri"/>
        <family val="2"/>
        <scheme val="minor"/>
      </rPr>
      <t>RF</t>
    </r>
    <r>
      <rPr>
        <b/>
        <i/>
        <vertAlign val="subscript"/>
        <sz val="12"/>
        <rFont val="Calibri"/>
        <family val="2"/>
        <scheme val="minor"/>
      </rPr>
      <t>i</t>
    </r>
  </si>
  <si>
    <t>yellow shaded areas are required input.</t>
  </si>
  <si>
    <t>Cross-Section Properties</t>
  </si>
  <si>
    <t xml:space="preserve">  </t>
  </si>
  <si>
    <t>For typical structures :</t>
  </si>
  <si>
    <t>For unsymmetrical or deflect more than 5% structures:</t>
  </si>
  <si>
    <t>long span structures:</t>
  </si>
  <si>
    <t>input a value or choose a option from a drop-down list</t>
  </si>
  <si>
    <r>
      <t>[ if W</t>
    </r>
    <r>
      <rPr>
        <vertAlign val="subscript"/>
        <sz val="10"/>
        <rFont val="Calibri"/>
        <family val="2"/>
        <scheme val="minor"/>
      </rPr>
      <t>D (total)</t>
    </r>
    <r>
      <rPr>
        <sz val="10"/>
        <rFont val="Calibri"/>
        <family val="2"/>
        <scheme val="minor"/>
      </rPr>
      <t xml:space="preserve"> &gt; L, use L = W</t>
    </r>
    <r>
      <rPr>
        <vertAlign val="subscript"/>
        <sz val="10"/>
        <rFont val="Calibri"/>
        <family val="2"/>
        <scheme val="minor"/>
      </rPr>
      <t xml:space="preserve">D (total) </t>
    </r>
    <r>
      <rPr>
        <sz val="10"/>
        <rFont val="Calibri"/>
        <family val="2"/>
        <scheme val="minor"/>
      </rPr>
      <t>in the calculations ]</t>
    </r>
  </si>
  <si>
    <r>
      <t xml:space="preserve">  (</t>
    </r>
    <r>
      <rPr>
        <b/>
        <sz val="10"/>
        <rFont val="Calibri"/>
        <family val="2"/>
        <scheme val="minor"/>
      </rPr>
      <t>"←" :</t>
    </r>
    <r>
      <rPr>
        <sz val="10"/>
        <rFont val="Calibri"/>
        <family val="2"/>
        <scheme val="minor"/>
      </rPr>
      <t xml:space="preserve"> choose from a drop-down list)</t>
    </r>
  </si>
  <si>
    <t>Gage Number:</t>
  </si>
  <si>
    <r>
      <t>t</t>
    </r>
    <r>
      <rPr>
        <sz val="10"/>
        <rFont val="Calibri"/>
        <family val="2"/>
        <scheme val="minor"/>
      </rPr>
      <t xml:space="preserve"> (in) =</t>
    </r>
  </si>
  <si>
    <t>Seam Strength (k/ft) =</t>
  </si>
  <si>
    <r>
      <t xml:space="preserve">1.  wall yield strength = </t>
    </r>
    <r>
      <rPr>
        <sz val="10"/>
        <rFont val="Calibri"/>
        <family val="2"/>
      </rPr>
      <t>φ</t>
    </r>
    <r>
      <rPr>
        <vertAlign val="subscript"/>
        <sz val="10"/>
        <rFont val="Calibri"/>
        <family val="2"/>
      </rPr>
      <t xml:space="preserve">1 </t>
    </r>
    <r>
      <rPr>
        <sz val="10"/>
        <rFont val="Calibri"/>
        <family val="2"/>
      </rPr>
      <t>φ</t>
    </r>
    <r>
      <rPr>
        <vertAlign val="subscript"/>
        <sz val="10"/>
        <rFont val="Calibri"/>
        <family val="2"/>
      </rPr>
      <t>loss</t>
    </r>
    <r>
      <rPr>
        <sz val="10"/>
        <rFont val="Calibri"/>
        <family val="2"/>
      </rPr>
      <t xml:space="preserve"> </t>
    </r>
    <r>
      <rPr>
        <sz val="10"/>
        <rFont val="Calibri"/>
        <family val="2"/>
        <scheme val="minor"/>
      </rPr>
      <t>F</t>
    </r>
    <r>
      <rPr>
        <vertAlign val="subscript"/>
        <sz val="10"/>
        <rFont val="Calibri"/>
        <family val="2"/>
        <scheme val="minor"/>
      </rPr>
      <t>y</t>
    </r>
    <r>
      <rPr>
        <sz val="10"/>
        <rFont val="Calibri"/>
        <family val="2"/>
        <scheme val="minor"/>
      </rPr>
      <t xml:space="preserve"> A =</t>
    </r>
  </si>
  <si>
    <t>Fill depth, H =</t>
  </si>
  <si>
    <t>HL-93</t>
  </si>
  <si>
    <r>
      <rPr>
        <sz val="10"/>
        <rFont val="Calibri"/>
        <family val="2"/>
      </rPr>
      <t>←</t>
    </r>
    <r>
      <rPr>
        <sz val="10"/>
        <rFont val="Calibri"/>
        <family val="2"/>
        <scheme val="minor"/>
      </rPr>
      <t>AASHTO DEFINED MINIMUM COVER</t>
    </r>
    <r>
      <rPr>
        <b/>
        <sz val="10"/>
        <rFont val="Calibri"/>
        <family val="2"/>
        <scheme val="minor"/>
      </rPr>
      <t xml:space="preserve"> (AASHTO LRFD table 12.6.6.3-1 &amp; table 12.8.3.1.1-1 for long-span)</t>
    </r>
  </si>
  <si>
    <t>Spiral Rib Steel Pipe</t>
  </si>
  <si>
    <t>Spiral Rib Aluminum Pipe</t>
  </si>
  <si>
    <t>Structural Plate Pipe</t>
  </si>
  <si>
    <t>Long Span Structural Plate</t>
  </si>
  <si>
    <r>
      <rPr>
        <b/>
        <sz val="10"/>
        <color rgb="FFFF0000"/>
        <rFont val="Calibri"/>
        <family val="2"/>
        <scheme val="minor"/>
      </rPr>
      <t>Long Span Structural Plate Structures</t>
    </r>
    <r>
      <rPr>
        <b/>
        <sz val="10"/>
        <color indexed="8"/>
        <rFont val="Calibri"/>
        <family val="2"/>
        <scheme val="minor"/>
      </rPr>
      <t xml:space="preserve"> Minimum Top Arc Thickness Chart (in) (AASHTO LRFD Table 12.8.3.1.1-1)</t>
    </r>
  </si>
  <si>
    <r>
      <rPr>
        <b/>
        <sz val="10"/>
        <color rgb="FFFF0000"/>
        <rFont val="Calibri"/>
        <family val="2"/>
        <scheme val="minor"/>
      </rPr>
      <t>Long Span Structural Plate Structures</t>
    </r>
    <r>
      <rPr>
        <b/>
        <sz val="10"/>
        <color indexed="8"/>
        <rFont val="Calibri"/>
        <family val="2"/>
        <scheme val="minor"/>
      </rPr>
      <t xml:space="preserve"> Minimum Cover Chart (ft.) (AASHTO LRFD Table 12.8.3.1.1-1)</t>
    </r>
  </si>
  <si>
    <r>
      <rPr>
        <sz val="16"/>
        <rFont val="Arial"/>
        <family val="2"/>
      </rPr>
      <t>From</t>
    </r>
    <r>
      <rPr>
        <sz val="16"/>
        <color rgb="FFFF0000"/>
        <rFont val="Arial"/>
        <family val="2"/>
      </rPr>
      <t xml:space="preserve"> AASHTO LRFD SECTION 12, APPENDIX A12</t>
    </r>
  </si>
  <si>
    <t>From AASHTO LRFD SECTION 12, APPENDIX A12</t>
  </si>
  <si>
    <r>
      <t xml:space="preserve">2.  wall buckling strength = f </t>
    </r>
    <r>
      <rPr>
        <sz val="10"/>
        <rFont val="Calibri"/>
        <family val="2"/>
      </rPr>
      <t>φ</t>
    </r>
    <r>
      <rPr>
        <vertAlign val="subscript"/>
        <sz val="10"/>
        <rFont val="Calibri"/>
        <family val="2"/>
      </rPr>
      <t xml:space="preserve">1 </t>
    </r>
    <r>
      <rPr>
        <sz val="10"/>
        <rFont val="Calibri"/>
        <family val="2"/>
      </rPr>
      <t>φ</t>
    </r>
    <r>
      <rPr>
        <vertAlign val="subscript"/>
        <sz val="10"/>
        <rFont val="Calibri"/>
        <family val="2"/>
      </rPr>
      <t>loss</t>
    </r>
    <r>
      <rPr>
        <sz val="10"/>
        <rFont val="Calibri"/>
        <family val="2"/>
      </rPr>
      <t xml:space="preserve"> </t>
    </r>
    <r>
      <rPr>
        <sz val="10"/>
        <rFont val="Calibri"/>
        <family val="2"/>
        <scheme val="minor"/>
      </rPr>
      <t>f</t>
    </r>
    <r>
      <rPr>
        <vertAlign val="subscript"/>
        <sz val="10"/>
        <rFont val="Calibri"/>
        <family val="2"/>
        <scheme val="minor"/>
      </rPr>
      <t>cr</t>
    </r>
    <r>
      <rPr>
        <sz val="10"/>
        <rFont val="Calibri"/>
        <family val="2"/>
        <scheme val="minor"/>
      </rPr>
      <t xml:space="preserve"> A =</t>
    </r>
  </si>
  <si>
    <t>IM =</t>
  </si>
  <si>
    <r>
      <t xml:space="preserve">Based on </t>
    </r>
    <r>
      <rPr>
        <b/>
        <sz val="10"/>
        <rFont val="Calibri"/>
        <family val="2"/>
        <scheme val="minor"/>
      </rPr>
      <t>AASHTO LRFD 3.6.2.2:</t>
    </r>
  </si>
  <si>
    <r>
      <t>33(1.0-0.125 D</t>
    </r>
    <r>
      <rPr>
        <vertAlign val="subscript"/>
        <sz val="10"/>
        <rFont val="Calibri"/>
        <family val="2"/>
        <scheme val="minor"/>
      </rPr>
      <t>E</t>
    </r>
    <r>
      <rPr>
        <sz val="10"/>
        <rFont val="Calibri"/>
        <family val="2"/>
        <scheme val="minor"/>
      </rPr>
      <t xml:space="preserve">) </t>
    </r>
    <r>
      <rPr>
        <sz val="10"/>
        <rFont val="Calibri"/>
        <family val="2"/>
      </rPr>
      <t>≥ 0%</t>
    </r>
  </si>
  <si>
    <r>
      <t>D</t>
    </r>
    <r>
      <rPr>
        <vertAlign val="subscript"/>
        <sz val="10"/>
        <rFont val="Calibri"/>
        <family val="2"/>
        <scheme val="minor"/>
      </rPr>
      <t>E</t>
    </r>
    <r>
      <rPr>
        <sz val="10"/>
        <rFont val="Calibri"/>
        <family val="2"/>
        <scheme val="minor"/>
      </rPr>
      <t xml:space="preserve"> = the minimum depth of earth cover above the structure (ft)</t>
    </r>
  </si>
  <si>
    <t>where,</t>
  </si>
  <si>
    <r>
      <t xml:space="preserve">Live load Dynamic Load Allowance,   </t>
    </r>
    <r>
      <rPr>
        <b/>
        <sz val="10"/>
        <rFont val="Calibri"/>
        <family val="2"/>
        <scheme val="minor"/>
      </rPr>
      <t>IM</t>
    </r>
    <r>
      <rPr>
        <sz val="10"/>
        <rFont val="Calibri"/>
        <family val="2"/>
        <scheme val="minor"/>
      </rPr>
      <t xml:space="preserve"> =</t>
    </r>
  </si>
  <si>
    <r>
      <rPr>
        <sz val="10"/>
        <rFont val="Times New Roman"/>
        <family val="1"/>
      </rPr>
      <t>(1+</t>
    </r>
    <r>
      <rPr>
        <b/>
        <sz val="10"/>
        <rFont val="Times New Roman"/>
        <family val="1"/>
      </rPr>
      <t>IM</t>
    </r>
    <r>
      <rPr>
        <sz val="10"/>
        <rFont val="Times New Roman"/>
        <family val="1"/>
      </rPr>
      <t>) =</t>
    </r>
  </si>
  <si>
    <r>
      <t>T</t>
    </r>
    <r>
      <rPr>
        <b/>
        <vertAlign val="subscript"/>
        <sz val="10"/>
        <rFont val="Calibri"/>
        <family val="2"/>
        <scheme val="minor"/>
      </rPr>
      <t>(L+IM)</t>
    </r>
  </si>
  <si>
    <r>
      <rPr>
        <b/>
        <sz val="10"/>
        <rFont val="Calibri"/>
        <family val="2"/>
        <scheme val="minor"/>
      </rPr>
      <t>ρ</t>
    </r>
    <r>
      <rPr>
        <b/>
        <sz val="9"/>
        <rFont val="Calibri"/>
        <family val="2"/>
        <scheme val="minor"/>
      </rPr>
      <t xml:space="preserve"> </t>
    </r>
    <r>
      <rPr>
        <b/>
        <vertAlign val="subscript"/>
        <sz val="9"/>
        <rFont val="Calibri"/>
        <family val="2"/>
        <scheme val="minor"/>
      </rPr>
      <t xml:space="preserve">(L+IM) </t>
    </r>
    <r>
      <rPr>
        <b/>
        <sz val="9"/>
        <rFont val="Calibri"/>
        <family val="2"/>
        <scheme val="minor"/>
      </rPr>
      <t>= P</t>
    </r>
    <r>
      <rPr>
        <b/>
        <vertAlign val="subscript"/>
        <sz val="9"/>
        <rFont val="Calibri"/>
        <family val="2"/>
        <scheme val="minor"/>
      </rPr>
      <t>D</t>
    </r>
    <r>
      <rPr>
        <b/>
        <sz val="9"/>
        <rFont val="Calibri"/>
        <family val="2"/>
        <scheme val="minor"/>
      </rPr>
      <t>/A</t>
    </r>
    <r>
      <rPr>
        <b/>
        <vertAlign val="subscript"/>
        <sz val="9"/>
        <rFont val="Calibri"/>
        <family val="2"/>
        <scheme val="minor"/>
      </rPr>
      <t xml:space="preserve">D </t>
    </r>
    <r>
      <rPr>
        <b/>
        <sz val="9"/>
        <rFont val="Calibri"/>
        <family val="2"/>
        <scheme val="minor"/>
      </rPr>
      <t>=</t>
    </r>
  </si>
  <si>
    <r>
      <t xml:space="preserve">1.   </t>
    </r>
    <r>
      <rPr>
        <sz val="10"/>
        <rFont val="Calibri"/>
        <family val="2"/>
      </rPr>
      <t xml:space="preserve">ρ </t>
    </r>
    <r>
      <rPr>
        <vertAlign val="subscript"/>
        <sz val="10"/>
        <rFont val="Calibri"/>
        <family val="2"/>
      </rPr>
      <t>(L+IM)</t>
    </r>
    <r>
      <rPr>
        <sz val="10"/>
        <rFont val="Calibri"/>
        <family val="2"/>
      </rPr>
      <t xml:space="preserve">  (S/2) =</t>
    </r>
  </si>
  <si>
    <r>
      <t xml:space="preserve">2.   </t>
    </r>
    <r>
      <rPr>
        <sz val="10"/>
        <rFont val="Calibri"/>
        <family val="2"/>
      </rPr>
      <t xml:space="preserve">ρ </t>
    </r>
    <r>
      <rPr>
        <vertAlign val="subscript"/>
        <sz val="10"/>
        <rFont val="Calibri"/>
        <family val="2"/>
      </rPr>
      <t>(L+IM)</t>
    </r>
    <r>
      <rPr>
        <sz val="10"/>
        <rFont val="Calibri"/>
        <family val="2"/>
      </rPr>
      <t xml:space="preserve">  R</t>
    </r>
    <r>
      <rPr>
        <vertAlign val="subscript"/>
        <sz val="10"/>
        <rFont val="Calibri"/>
        <family val="2"/>
      </rPr>
      <t>t</t>
    </r>
    <r>
      <rPr>
        <sz val="10"/>
        <rFont val="Calibri"/>
        <family val="2"/>
      </rPr>
      <t xml:space="preserve"> =</t>
    </r>
  </si>
  <si>
    <r>
      <t xml:space="preserve">The surface tire contact area for HL-93 loading </t>
    </r>
    <r>
      <rPr>
        <sz val="10"/>
        <rFont val="Calibri"/>
        <family val="2"/>
        <scheme val="minor"/>
      </rPr>
      <t>(per AASHTO LRFD 3.6.1.2.5)</t>
    </r>
    <r>
      <rPr>
        <b/>
        <sz val="10"/>
        <rFont val="Calibri"/>
        <family val="2"/>
        <scheme val="minor"/>
      </rPr>
      <t>:</t>
    </r>
  </si>
  <si>
    <r>
      <t xml:space="preserve">The surface tire contact area for Ohio Legal Trucks </t>
    </r>
    <r>
      <rPr>
        <sz val="10"/>
        <rFont val="Calibri"/>
        <family val="2"/>
        <scheme val="minor"/>
      </rPr>
      <t xml:space="preserve"> (per AASHTO LRFD C3.6.1.2.5 Guideline):</t>
    </r>
  </si>
  <si>
    <t>Distribution of wheel loads through earth fills (per AASHTO LRFD 3.6.1.2.6):</t>
  </si>
  <si>
    <r>
      <t xml:space="preserve">for </t>
    </r>
    <r>
      <rPr>
        <b/>
        <sz val="11"/>
        <rFont val="Calibri"/>
        <family val="2"/>
        <scheme val="minor"/>
      </rPr>
      <t>HL-93</t>
    </r>
    <r>
      <rPr>
        <sz val="11"/>
        <rFont val="Calibri"/>
        <family val="2"/>
        <scheme val="minor"/>
      </rPr>
      <t xml:space="preserve"> Design Truck:</t>
    </r>
  </si>
  <si>
    <r>
      <t xml:space="preserve">for </t>
    </r>
    <r>
      <rPr>
        <b/>
        <sz val="11"/>
        <rFont val="Calibri"/>
        <family val="2"/>
        <scheme val="minor"/>
      </rPr>
      <t>Ohio Legal</t>
    </r>
    <r>
      <rPr>
        <sz val="11"/>
        <rFont val="Calibri"/>
        <family val="2"/>
        <scheme val="minor"/>
      </rPr>
      <t xml:space="preserve"> Trucks:</t>
    </r>
  </si>
  <si>
    <t>IM = dynamic load allowance percent</t>
  </si>
  <si>
    <t>So,</t>
  </si>
  <si>
    <t>6 x 2 (steel structural plate pipe)</t>
  </si>
  <si>
    <r>
      <rPr>
        <b/>
        <sz val="10"/>
        <rFont val="Calibri"/>
        <family val="2"/>
        <scheme val="minor"/>
      </rPr>
      <t>Where</t>
    </r>
    <r>
      <rPr>
        <sz val="10"/>
        <rFont val="Calibri"/>
        <family val="2"/>
        <scheme val="minor"/>
      </rPr>
      <t xml:space="preserve">, </t>
    </r>
    <r>
      <rPr>
        <b/>
        <sz val="10"/>
        <rFont val="Calibri"/>
        <family val="2"/>
        <scheme val="minor"/>
      </rPr>
      <t>W</t>
    </r>
    <r>
      <rPr>
        <b/>
        <vertAlign val="subscript"/>
        <sz val="10"/>
        <rFont val="Calibri"/>
        <family val="2"/>
        <scheme val="minor"/>
      </rPr>
      <t>T</t>
    </r>
    <r>
      <rPr>
        <sz val="10"/>
        <rFont val="Calibri"/>
        <family val="2"/>
        <scheme val="minor"/>
      </rPr>
      <t xml:space="preserve"> = Tire contact width, </t>
    </r>
    <r>
      <rPr>
        <b/>
        <sz val="10"/>
        <rFont val="Calibri"/>
        <family val="2"/>
        <scheme val="minor"/>
      </rPr>
      <t>L</t>
    </r>
    <r>
      <rPr>
        <b/>
        <vertAlign val="subscript"/>
        <sz val="10"/>
        <rFont val="Calibri"/>
        <family val="2"/>
        <scheme val="minor"/>
      </rPr>
      <t>T</t>
    </r>
    <r>
      <rPr>
        <sz val="10"/>
        <rFont val="Calibri"/>
        <family val="2"/>
        <scheme val="minor"/>
      </rPr>
      <t xml:space="preserve"> = Tire contact length, </t>
    </r>
    <r>
      <rPr>
        <b/>
        <sz val="10"/>
        <rFont val="Calibri"/>
        <family val="2"/>
        <scheme val="minor"/>
      </rPr>
      <t>W</t>
    </r>
    <r>
      <rPr>
        <b/>
        <vertAlign val="subscript"/>
        <sz val="10"/>
        <rFont val="Calibri"/>
        <family val="2"/>
        <scheme val="minor"/>
      </rPr>
      <t>D</t>
    </r>
    <r>
      <rPr>
        <sz val="10"/>
        <rFont val="Calibri"/>
        <family val="2"/>
        <scheme val="minor"/>
      </rPr>
      <t xml:space="preserve"> = Distributed load width, </t>
    </r>
    <r>
      <rPr>
        <b/>
        <sz val="10"/>
        <rFont val="Calibri"/>
        <family val="2"/>
        <scheme val="minor"/>
      </rPr>
      <t>L</t>
    </r>
    <r>
      <rPr>
        <b/>
        <vertAlign val="subscript"/>
        <sz val="10"/>
        <rFont val="Calibri"/>
        <family val="2"/>
        <scheme val="minor"/>
      </rPr>
      <t>D</t>
    </r>
    <r>
      <rPr>
        <sz val="10"/>
        <rFont val="Calibri"/>
        <family val="2"/>
        <scheme val="minor"/>
      </rPr>
      <t xml:space="preserve"> = Distributed load length</t>
    </r>
  </si>
  <si>
    <r>
      <t>W</t>
    </r>
    <r>
      <rPr>
        <vertAlign val="subscript"/>
        <sz val="10"/>
        <rFont val="Calibri"/>
        <family val="2"/>
        <scheme val="minor"/>
      </rPr>
      <t xml:space="preserve">T </t>
    </r>
    <r>
      <rPr>
        <sz val="10"/>
        <rFont val="Calibri"/>
        <family val="2"/>
        <scheme val="minor"/>
      </rPr>
      <t>(ft)</t>
    </r>
    <r>
      <rPr>
        <vertAlign val="subscript"/>
        <sz val="10"/>
        <rFont val="Calibri"/>
        <family val="2"/>
        <scheme val="minor"/>
      </rPr>
      <t xml:space="preserve"> </t>
    </r>
    <r>
      <rPr>
        <sz val="10"/>
        <rFont val="Calibri"/>
        <family val="2"/>
        <scheme val="minor"/>
      </rPr>
      <t>=</t>
    </r>
  </si>
  <si>
    <r>
      <t>L</t>
    </r>
    <r>
      <rPr>
        <vertAlign val="subscript"/>
        <sz val="10"/>
        <rFont val="Calibri"/>
        <family val="2"/>
        <scheme val="minor"/>
      </rPr>
      <t>T</t>
    </r>
    <r>
      <rPr>
        <sz val="10"/>
        <rFont val="Calibri"/>
        <family val="2"/>
        <scheme val="minor"/>
      </rPr>
      <t xml:space="preserve"> (ft)</t>
    </r>
    <r>
      <rPr>
        <vertAlign val="subscript"/>
        <sz val="10"/>
        <rFont val="Calibri"/>
        <family val="2"/>
        <scheme val="minor"/>
      </rPr>
      <t xml:space="preserve"> </t>
    </r>
    <r>
      <rPr>
        <sz val="10"/>
        <rFont val="Calibri"/>
        <family val="2"/>
        <scheme val="minor"/>
      </rPr>
      <t>=</t>
    </r>
  </si>
  <si>
    <r>
      <t>W</t>
    </r>
    <r>
      <rPr>
        <vertAlign val="subscript"/>
        <sz val="10"/>
        <rFont val="Calibri"/>
        <family val="2"/>
        <scheme val="minor"/>
      </rPr>
      <t>D</t>
    </r>
    <r>
      <rPr>
        <sz val="10"/>
        <rFont val="Calibri"/>
        <family val="2"/>
        <scheme val="minor"/>
      </rPr>
      <t xml:space="preserve"> = 1.67+</t>
    </r>
    <r>
      <rPr>
        <sz val="10"/>
        <rFont val="Calibri"/>
        <family val="2"/>
      </rPr>
      <t>φ</t>
    </r>
    <r>
      <rPr>
        <vertAlign val="subscript"/>
        <sz val="10"/>
        <rFont val="Calibri"/>
        <family val="2"/>
      </rPr>
      <t>E</t>
    </r>
    <r>
      <rPr>
        <sz val="10"/>
        <rFont val="Calibri"/>
        <family val="2"/>
        <scheme val="minor"/>
      </rPr>
      <t>H=</t>
    </r>
  </si>
  <si>
    <t>p = wheel load (kips)</t>
  </si>
  <si>
    <r>
      <t>L</t>
    </r>
    <r>
      <rPr>
        <vertAlign val="subscript"/>
        <sz val="10"/>
        <rFont val="Calibri"/>
        <family val="2"/>
        <scheme val="minor"/>
      </rPr>
      <t>D</t>
    </r>
    <r>
      <rPr>
        <sz val="10"/>
        <rFont val="Calibri"/>
        <family val="2"/>
        <scheme val="minor"/>
      </rPr>
      <t xml:space="preserve"> = 0.83 + φ</t>
    </r>
    <r>
      <rPr>
        <vertAlign val="subscript"/>
        <sz val="10"/>
        <rFont val="Calibri"/>
        <family val="2"/>
        <scheme val="minor"/>
      </rPr>
      <t>E</t>
    </r>
    <r>
      <rPr>
        <sz val="10"/>
        <rFont val="Calibri"/>
        <family val="2"/>
        <scheme val="minor"/>
      </rPr>
      <t>H =</t>
    </r>
  </si>
  <si>
    <r>
      <t>φ</t>
    </r>
    <r>
      <rPr>
        <vertAlign val="subscript"/>
        <sz val="10"/>
        <rFont val="Calibri"/>
        <family val="2"/>
        <scheme val="minor"/>
      </rPr>
      <t>E</t>
    </r>
    <r>
      <rPr>
        <sz val="10"/>
        <rFont val="Calibri"/>
        <family val="2"/>
        <scheme val="minor"/>
      </rPr>
      <t xml:space="preserve"> = Factor for Distribution of Live Load with Depth of Fill based on Backfill Type</t>
    </r>
    <r>
      <rPr>
        <sz val="9"/>
        <rFont val="Calibri"/>
        <family val="2"/>
        <scheme val="minor"/>
      </rPr>
      <t xml:space="preserve"> (per AASHTO LRFD 3.6.1.2.6)=</t>
    </r>
  </si>
  <si>
    <r>
      <t xml:space="preserve">Calculations will be based on </t>
    </r>
    <r>
      <rPr>
        <b/>
        <sz val="10"/>
        <rFont val="Calibri"/>
        <family val="2"/>
        <scheme val="minor"/>
      </rPr>
      <t>AASHTO LRFD 3.6.1.2.5 &amp; 6</t>
    </r>
    <r>
      <rPr>
        <sz val="10"/>
        <rFont val="Calibri"/>
        <family val="2"/>
        <scheme val="minor"/>
      </rPr>
      <t>:</t>
    </r>
  </si>
  <si>
    <r>
      <rPr>
        <b/>
        <sz val="10"/>
        <rFont val="Calibri"/>
        <family val="2"/>
        <scheme val="minor"/>
      </rPr>
      <t>W</t>
    </r>
    <r>
      <rPr>
        <b/>
        <vertAlign val="subscript"/>
        <sz val="10"/>
        <rFont val="Calibri"/>
        <family val="2"/>
        <scheme val="minor"/>
      </rPr>
      <t>T</t>
    </r>
    <r>
      <rPr>
        <b/>
        <sz val="10"/>
        <rFont val="Calibri"/>
        <family val="2"/>
        <scheme val="minor"/>
      </rPr>
      <t xml:space="preserve"> </t>
    </r>
    <r>
      <rPr>
        <sz val="10"/>
        <rFont val="Calibri"/>
        <family val="2"/>
        <scheme val="minor"/>
      </rPr>
      <t>(in)</t>
    </r>
    <r>
      <rPr>
        <b/>
        <sz val="10"/>
        <rFont val="Calibri"/>
        <family val="2"/>
        <scheme val="minor"/>
      </rPr>
      <t xml:space="preserve"> </t>
    </r>
    <r>
      <rPr>
        <sz val="10"/>
        <rFont val="Calibri"/>
        <family val="2"/>
        <scheme val="minor"/>
      </rPr>
      <t>=</t>
    </r>
  </si>
  <si>
    <r>
      <rPr>
        <b/>
        <sz val="10"/>
        <rFont val="Calibri"/>
        <family val="2"/>
        <scheme val="minor"/>
      </rPr>
      <t>L</t>
    </r>
    <r>
      <rPr>
        <b/>
        <vertAlign val="subscript"/>
        <sz val="10"/>
        <rFont val="Calibri"/>
        <family val="2"/>
        <scheme val="minor"/>
      </rPr>
      <t>T</t>
    </r>
    <r>
      <rPr>
        <b/>
        <sz val="10"/>
        <rFont val="Calibri"/>
        <family val="2"/>
        <scheme val="minor"/>
      </rPr>
      <t xml:space="preserve"> </t>
    </r>
    <r>
      <rPr>
        <sz val="10"/>
        <rFont val="Calibri"/>
        <family val="2"/>
        <scheme val="minor"/>
      </rPr>
      <t>(in)</t>
    </r>
    <r>
      <rPr>
        <b/>
        <sz val="10"/>
        <rFont val="Calibri"/>
        <family val="2"/>
        <scheme val="minor"/>
      </rPr>
      <t xml:space="preserve"> </t>
    </r>
    <r>
      <rPr>
        <sz val="10"/>
        <rFont val="Calibri"/>
        <family val="2"/>
        <scheme val="minor"/>
      </rPr>
      <t>=</t>
    </r>
  </si>
  <si>
    <t xml:space="preserve">P/0.8  </t>
  </si>
  <si>
    <r>
      <rPr>
        <b/>
        <sz val="10"/>
        <rFont val="Calibri"/>
        <family val="2"/>
        <scheme val="minor"/>
      </rPr>
      <t>W</t>
    </r>
    <r>
      <rPr>
        <b/>
        <vertAlign val="subscript"/>
        <sz val="10"/>
        <rFont val="Calibri"/>
        <family val="2"/>
        <scheme val="minor"/>
      </rPr>
      <t>T</t>
    </r>
    <r>
      <rPr>
        <sz val="10"/>
        <rFont val="Calibri"/>
        <family val="2"/>
        <scheme val="minor"/>
      </rPr>
      <t xml:space="preserve"> = 20" =</t>
    </r>
  </si>
  <si>
    <r>
      <rPr>
        <b/>
        <sz val="10"/>
        <rFont val="Calibri"/>
        <family val="2"/>
        <scheme val="minor"/>
      </rPr>
      <t>L</t>
    </r>
    <r>
      <rPr>
        <b/>
        <vertAlign val="subscript"/>
        <sz val="10"/>
        <rFont val="Calibri"/>
        <family val="2"/>
        <scheme val="minor"/>
      </rPr>
      <t>T</t>
    </r>
    <r>
      <rPr>
        <sz val="10"/>
        <rFont val="Calibri"/>
        <family val="2"/>
        <scheme val="minor"/>
      </rPr>
      <t xml:space="preserve"> = 10" =</t>
    </r>
  </si>
  <si>
    <t>Strength I</t>
  </si>
  <si>
    <t>Bridge Type</t>
  </si>
  <si>
    <t>Limit State</t>
  </si>
  <si>
    <r>
      <t>6.4</t>
    </r>
    <r>
      <rPr>
        <sz val="10"/>
        <rFont val="Symbol"/>
        <family val="1"/>
        <charset val="2"/>
      </rPr>
      <t>g</t>
    </r>
    <r>
      <rPr>
        <sz val="10"/>
        <rFont val="Calibri"/>
        <family val="2"/>
      </rPr>
      <t xml:space="preserve">(1+IM/100) </t>
    </r>
  </si>
  <si>
    <r>
      <rPr>
        <sz val="10"/>
        <rFont val="Symbol"/>
        <family val="1"/>
        <charset val="2"/>
      </rPr>
      <t>g</t>
    </r>
    <r>
      <rPr>
        <sz val="10"/>
        <rFont val="Calibri"/>
        <family val="2"/>
      </rPr>
      <t xml:space="preserve"> </t>
    </r>
    <r>
      <rPr>
        <sz val="10"/>
        <rFont val="Calibri"/>
        <family val="2"/>
        <scheme val="minor"/>
      </rPr>
      <t>= Load Factor for Ohio Legal Loads</t>
    </r>
    <r>
      <rPr>
        <sz val="10"/>
        <rFont val="Calibri"/>
        <family val="2"/>
      </rPr>
      <t xml:space="preserve"> </t>
    </r>
    <r>
      <rPr>
        <sz val="10"/>
        <rFont val="Symbol"/>
        <family val="1"/>
        <charset val="2"/>
      </rPr>
      <t>g</t>
    </r>
    <r>
      <rPr>
        <sz val="10"/>
        <rFont val="Calibri"/>
        <family val="2"/>
      </rPr>
      <t xml:space="preserve"> </t>
    </r>
    <r>
      <rPr>
        <vertAlign val="subscript"/>
        <sz val="10"/>
        <rFont val="Calibri"/>
        <family val="2"/>
        <scheme val="minor"/>
      </rPr>
      <t>LL</t>
    </r>
    <r>
      <rPr>
        <sz val="10"/>
        <rFont val="Calibri"/>
        <family val="2"/>
      </rPr>
      <t xml:space="preserve"> =</t>
    </r>
  </si>
  <si>
    <t>(AASHTO LRFD 12.7.2.4)</t>
  </si>
  <si>
    <r>
      <t>T</t>
    </r>
    <r>
      <rPr>
        <vertAlign val="subscript"/>
        <sz val="10"/>
        <rFont val="Calibri"/>
        <family val="2"/>
        <scheme val="minor"/>
      </rPr>
      <t>(L+IM)</t>
    </r>
    <r>
      <rPr>
        <sz val="10"/>
        <rFont val="Calibri"/>
        <family val="2"/>
        <scheme val="minor"/>
      </rPr>
      <t xml:space="preserve"> = higher value of :</t>
    </r>
  </si>
  <si>
    <t>HL-93 Loading</t>
  </si>
  <si>
    <t>LRFR Load Factors</t>
  </si>
  <si>
    <t>Load Rating Input Sheet</t>
  </si>
  <si>
    <t>Pipe Seam Strength</t>
  </si>
  <si>
    <t>Load Factors</t>
  </si>
  <si>
    <t>Span Length "S" (ft) =</t>
  </si>
  <si>
    <t>Rise "R" (ft) =</t>
  </si>
  <si>
    <t>Longitudinal Length of Structure "L" (ft) =</t>
  </si>
  <si>
    <t>t (in) =</t>
  </si>
  <si>
    <t>Corrugation (if known)</t>
  </si>
  <si>
    <t>Gage number (if known)</t>
  </si>
  <si>
    <r>
      <t xml:space="preserve">Pipe Crown Deflection </t>
    </r>
    <r>
      <rPr>
        <b/>
        <sz val="11"/>
        <color rgb="FFFF0000"/>
        <rFont val="Calibri"/>
        <family val="2"/>
        <scheme val="minor"/>
      </rPr>
      <t>**</t>
    </r>
    <r>
      <rPr>
        <sz val="11"/>
        <rFont val="Calibri"/>
        <family val="2"/>
        <scheme val="minor"/>
      </rPr>
      <t xml:space="preserve"> (if any) =</t>
    </r>
  </si>
  <si>
    <t>Metal Loss based on materials field evaluation (if any) =</t>
  </si>
  <si>
    <r>
      <rPr>
        <b/>
        <sz val="11"/>
        <color rgb="FFFF0000"/>
        <rFont val="Calibri"/>
        <family val="2"/>
        <scheme val="minor"/>
      </rPr>
      <t>**</t>
    </r>
    <r>
      <rPr>
        <b/>
        <sz val="11"/>
        <color rgb="FF000000"/>
        <rFont val="Calibri"/>
        <family val="2"/>
        <scheme val="minor"/>
      </rPr>
      <t xml:space="preserve"> </t>
    </r>
    <r>
      <rPr>
        <sz val="11"/>
        <color rgb="FF000000"/>
        <rFont val="Calibri"/>
        <family val="2"/>
        <scheme val="minor"/>
      </rPr>
      <t>reduction in rise divided by the span length from design shape in the unit of percentage</t>
    </r>
  </si>
  <si>
    <r>
      <rPr>
        <b/>
        <sz val="9"/>
        <rFont val="Calibri"/>
        <family val="2"/>
        <scheme val="minor"/>
      </rPr>
      <t>Note</t>
    </r>
    <r>
      <rPr>
        <sz val="9"/>
        <rFont val="Calibri"/>
        <family val="2"/>
        <scheme val="minor"/>
      </rPr>
      <t>: if corrugation &amp; gage number are known, leave the input cells for "c", "d" &amp; "t" blank; if corrugation &amp; gage number are unknown, field measurements of "c", "d" &amp; "t" are required.</t>
    </r>
  </si>
  <si>
    <r>
      <t>Structure Information</t>
    </r>
    <r>
      <rPr>
        <sz val="16"/>
        <rFont val="Calibri"/>
        <family val="2"/>
        <scheme val="minor"/>
      </rPr>
      <t xml:space="preserve"> </t>
    </r>
    <r>
      <rPr>
        <sz val="14"/>
        <rFont val="Calibri"/>
        <family val="2"/>
        <scheme val="minor"/>
      </rPr>
      <t>(from existing bridge plans &amp; field measurements):</t>
    </r>
  </si>
  <si>
    <t>Backfill</t>
  </si>
  <si>
    <t>Pipe Cross-Section Properties</t>
  </si>
  <si>
    <t>Loaded Rated By:</t>
  </si>
  <si>
    <r>
      <rPr>
        <sz val="12"/>
        <rFont val="Calibri"/>
        <family val="2"/>
        <scheme val="minor"/>
      </rPr>
      <t>r</t>
    </r>
    <r>
      <rPr>
        <sz val="12"/>
        <rFont val="Calibri"/>
        <family val="2"/>
        <scheme val="minor"/>
      </rPr>
      <t xml:space="preserve"> </t>
    </r>
    <r>
      <rPr>
        <sz val="10"/>
        <rFont val="Calibri"/>
        <family val="2"/>
        <scheme val="minor"/>
      </rPr>
      <t>(in) =</t>
    </r>
  </si>
  <si>
    <r>
      <t>A</t>
    </r>
    <r>
      <rPr>
        <vertAlign val="subscript"/>
        <sz val="11"/>
        <rFont val="Calibri"/>
        <family val="2"/>
        <scheme val="minor"/>
      </rPr>
      <t>s</t>
    </r>
    <r>
      <rPr>
        <sz val="11"/>
        <rFont val="Calibri"/>
        <family val="2"/>
        <scheme val="minor"/>
      </rPr>
      <t xml:space="preserve"> (in</t>
    </r>
    <r>
      <rPr>
        <vertAlign val="superscript"/>
        <sz val="11"/>
        <rFont val="Calibri"/>
        <family val="2"/>
        <scheme val="minor"/>
      </rPr>
      <t>2</t>
    </r>
    <r>
      <rPr>
        <sz val="11"/>
        <rFont val="Calibri"/>
        <family val="2"/>
        <scheme val="minor"/>
      </rPr>
      <t>/ft) =</t>
    </r>
  </si>
  <si>
    <r>
      <t xml:space="preserve">I </t>
    </r>
    <r>
      <rPr>
        <sz val="11"/>
        <rFont val="Calibri"/>
        <family val="2"/>
        <scheme val="minor"/>
      </rPr>
      <t>x 10</t>
    </r>
    <r>
      <rPr>
        <vertAlign val="superscript"/>
        <sz val="11"/>
        <rFont val="Calibri"/>
        <family val="2"/>
        <scheme val="minor"/>
      </rPr>
      <t>-3</t>
    </r>
    <r>
      <rPr>
        <sz val="11"/>
        <rFont val="Calibri"/>
        <family val="2"/>
        <scheme val="minor"/>
      </rPr>
      <t xml:space="preserve"> (in</t>
    </r>
    <r>
      <rPr>
        <vertAlign val="superscript"/>
        <sz val="11"/>
        <rFont val="Calibri"/>
        <family val="2"/>
        <scheme val="minor"/>
      </rPr>
      <t>4</t>
    </r>
    <r>
      <rPr>
        <sz val="11"/>
        <rFont val="Calibri"/>
        <family val="2"/>
        <scheme val="minor"/>
      </rPr>
      <t>/in) =</t>
    </r>
  </si>
  <si>
    <r>
      <t>δ = Soil density (k/ft</t>
    </r>
    <r>
      <rPr>
        <vertAlign val="superscript"/>
        <sz val="11"/>
        <rFont val="Calibri"/>
        <family val="2"/>
      </rPr>
      <t>3</t>
    </r>
    <r>
      <rPr>
        <sz val="11"/>
        <rFont val="Calibri"/>
        <family val="2"/>
      </rPr>
      <t>) =</t>
    </r>
  </si>
  <si>
    <t>(do not use this spreadsheet to load rate Structural Plate Box Culverts)</t>
  </si>
  <si>
    <r>
      <t xml:space="preserve">Based on </t>
    </r>
    <r>
      <rPr>
        <b/>
        <sz val="11"/>
        <rFont val="Calibri"/>
        <family val="2"/>
        <scheme val="minor"/>
      </rPr>
      <t>AASHTO LRFD</t>
    </r>
    <r>
      <rPr>
        <sz val="11"/>
        <rFont val="Calibri"/>
        <family val="2"/>
        <scheme val="minor"/>
      </rPr>
      <t xml:space="preserve"> Bridge Design Specifications, Section 3, 4 &amp; 12 &amp; </t>
    </r>
    <r>
      <rPr>
        <b/>
        <sz val="11"/>
        <rFont val="Calibri"/>
        <family val="2"/>
        <scheme val="minor"/>
      </rPr>
      <t>NCSPA</t>
    </r>
    <r>
      <rPr>
        <sz val="11"/>
        <rFont val="Calibri"/>
        <family val="2"/>
        <scheme val="minor"/>
      </rPr>
      <t xml:space="preserve"> Design Data Sheet No. 19 &amp; </t>
    </r>
    <r>
      <rPr>
        <b/>
        <sz val="11"/>
        <rFont val="Calibri"/>
        <family val="2"/>
        <scheme val="minor"/>
      </rPr>
      <t>ODOT</t>
    </r>
    <r>
      <rPr>
        <sz val="11"/>
        <rFont val="Calibri"/>
        <family val="2"/>
        <scheme val="minor"/>
      </rPr>
      <t xml:space="preserve"> </t>
    </r>
    <r>
      <rPr>
        <b/>
        <sz val="11"/>
        <rFont val="Calibri"/>
        <family val="2"/>
        <scheme val="minor"/>
      </rPr>
      <t>Bridge Design Manual</t>
    </r>
    <r>
      <rPr>
        <sz val="11"/>
        <rFont val="Calibri"/>
        <family val="2"/>
        <scheme val="minor"/>
      </rPr>
      <t xml:space="preserve"> 2004 (effective 10-15-2010), Section 900</t>
    </r>
  </si>
  <si>
    <t xml:space="preserve">CORRUGATED METAL STRUCTURE (CIRCULAR &amp; PIPE ARCH) &amp; ARCHES </t>
  </si>
  <si>
    <r>
      <t xml:space="preserve">       </t>
    </r>
    <r>
      <rPr>
        <b/>
        <sz val="10"/>
        <rFont val="Calibri"/>
        <family val="2"/>
      </rPr>
      <t>a.</t>
    </r>
    <r>
      <rPr>
        <sz val="10"/>
        <rFont val="Calibri"/>
        <family val="2"/>
      </rPr>
      <t xml:space="preserve"> use 2 x the top radius (2 R</t>
    </r>
    <r>
      <rPr>
        <vertAlign val="subscript"/>
        <sz val="10"/>
        <rFont val="Calibri"/>
        <family val="2"/>
      </rPr>
      <t>t</t>
    </r>
    <r>
      <rPr>
        <sz val="10"/>
        <rFont val="Calibri"/>
        <family val="2"/>
      </rPr>
      <t>) in lieu of span for calculations.</t>
    </r>
  </si>
  <si>
    <r>
      <t>φ</t>
    </r>
    <r>
      <rPr>
        <vertAlign val="subscript"/>
        <sz val="10"/>
        <rFont val="Calibri"/>
        <family val="2"/>
        <scheme val="minor"/>
      </rPr>
      <t>E</t>
    </r>
    <r>
      <rPr>
        <sz val="10"/>
        <rFont val="Calibri"/>
        <family val="2"/>
        <scheme val="minor"/>
      </rPr>
      <t xml:space="preserve"> = Factor for Distribution of Live Load with Depth of Fill based on Backfill Type (per AASHTO LRFD 3.6.1.2.6) </t>
    </r>
  </si>
  <si>
    <r>
      <rPr>
        <b/>
        <sz val="10"/>
        <color rgb="FFFF0000"/>
        <rFont val="Calibri"/>
        <family val="2"/>
        <scheme val="minor"/>
      </rPr>
      <t>*</t>
    </r>
    <r>
      <rPr>
        <sz val="10"/>
        <color rgb="FFFF0000"/>
        <rFont val="Calibri"/>
        <family val="2"/>
        <scheme val="minor"/>
      </rPr>
      <t xml:space="preserve"> </t>
    </r>
    <r>
      <rPr>
        <sz val="10"/>
        <rFont val="Calibri"/>
        <family val="2"/>
        <scheme val="minor"/>
      </rPr>
      <t xml:space="preserve">reduction factor </t>
    </r>
    <r>
      <rPr>
        <b/>
        <sz val="10"/>
        <rFont val="Calibri"/>
        <family val="2"/>
        <scheme val="minor"/>
      </rPr>
      <t>f</t>
    </r>
    <r>
      <rPr>
        <b/>
        <sz val="10"/>
        <color rgb="FFFF0000"/>
        <rFont val="Calibri"/>
        <family val="2"/>
        <scheme val="minor"/>
      </rPr>
      <t xml:space="preserve"> </t>
    </r>
    <r>
      <rPr>
        <sz val="10"/>
        <rFont val="Calibri"/>
        <family val="2"/>
        <scheme val="minor"/>
      </rPr>
      <t>is based on NCSPA Design Data Sheet No 19, II Structural Evaluation A.2.b &amp; Appendix B.1, Figure B.1.1 for Unsymmetrical structures or structures deflected over 5% only.</t>
    </r>
  </si>
  <si>
    <r>
      <t>Calculate the f</t>
    </r>
    <r>
      <rPr>
        <b/>
        <vertAlign val="subscript"/>
        <sz val="11"/>
        <rFont val="Calibri"/>
        <family val="2"/>
        <scheme val="minor"/>
      </rPr>
      <t>cr</t>
    </r>
    <r>
      <rPr>
        <b/>
        <sz val="11"/>
        <rFont val="Calibri"/>
        <family val="2"/>
        <scheme val="minor"/>
      </rPr>
      <t xml:space="preserve"> (critical buckling stress) :</t>
    </r>
  </si>
  <si>
    <r>
      <t>f</t>
    </r>
    <r>
      <rPr>
        <b/>
        <vertAlign val="subscript"/>
        <sz val="12"/>
        <rFont val="Calibri"/>
        <family val="2"/>
        <scheme val="minor"/>
      </rPr>
      <t>cr</t>
    </r>
    <r>
      <rPr>
        <b/>
        <sz val="12"/>
        <rFont val="Calibri"/>
        <family val="2"/>
        <scheme val="minor"/>
      </rPr>
      <t xml:space="preserve"> </t>
    </r>
    <r>
      <rPr>
        <sz val="10"/>
        <rFont val="Calibri"/>
        <family val="2"/>
        <scheme val="minor"/>
      </rPr>
      <t>=</t>
    </r>
  </si>
  <si>
    <r>
      <t>Calculate the T</t>
    </r>
    <r>
      <rPr>
        <b/>
        <vertAlign val="subscript"/>
        <sz val="11"/>
        <rFont val="Calibri"/>
        <family val="2"/>
        <scheme val="minor"/>
      </rPr>
      <t>cap</t>
    </r>
    <r>
      <rPr>
        <b/>
        <sz val="11"/>
        <rFont val="Calibri"/>
        <family val="2"/>
        <scheme val="minor"/>
      </rPr>
      <t xml:space="preserve"> (thrust capacity of the wall) :</t>
    </r>
  </si>
  <si>
    <r>
      <rPr>
        <b/>
        <sz val="12"/>
        <rFont val="Calibri"/>
        <family val="2"/>
        <scheme val="minor"/>
      </rPr>
      <t>T</t>
    </r>
    <r>
      <rPr>
        <b/>
        <vertAlign val="subscript"/>
        <sz val="12"/>
        <rFont val="Calibri"/>
        <family val="2"/>
        <scheme val="minor"/>
      </rPr>
      <t>cap</t>
    </r>
    <r>
      <rPr>
        <sz val="12"/>
        <rFont val="Calibri"/>
        <family val="2"/>
        <scheme val="minor"/>
      </rPr>
      <t xml:space="preserve"> = </t>
    </r>
  </si>
  <si>
    <r>
      <t>Calculate the T</t>
    </r>
    <r>
      <rPr>
        <b/>
        <vertAlign val="subscript"/>
        <sz val="11"/>
        <rFont val="Calibri"/>
        <family val="2"/>
        <scheme val="minor"/>
      </rPr>
      <t>E</t>
    </r>
    <r>
      <rPr>
        <b/>
        <sz val="11"/>
        <rFont val="Calibri"/>
        <family val="2"/>
        <scheme val="minor"/>
      </rPr>
      <t xml:space="preserve"> (pipe wall thrust due to earth cover) :</t>
    </r>
  </si>
  <si>
    <r>
      <rPr>
        <b/>
        <sz val="12"/>
        <rFont val="Calibri"/>
        <family val="2"/>
        <scheme val="minor"/>
      </rPr>
      <t>T</t>
    </r>
    <r>
      <rPr>
        <b/>
        <vertAlign val="subscript"/>
        <sz val="12"/>
        <rFont val="Calibri"/>
        <family val="2"/>
        <scheme val="minor"/>
      </rPr>
      <t>E</t>
    </r>
    <r>
      <rPr>
        <sz val="12"/>
        <rFont val="Calibri"/>
        <family val="2"/>
        <scheme val="minor"/>
      </rPr>
      <t xml:space="preserve"> = </t>
    </r>
  </si>
  <si>
    <r>
      <rPr>
        <b/>
        <sz val="12"/>
        <rFont val="Calibri"/>
        <family val="2"/>
        <scheme val="minor"/>
      </rPr>
      <t>T</t>
    </r>
    <r>
      <rPr>
        <b/>
        <vertAlign val="subscript"/>
        <sz val="12"/>
        <rFont val="Calibri"/>
        <family val="2"/>
        <scheme val="minor"/>
      </rPr>
      <t>(L+IM)</t>
    </r>
    <r>
      <rPr>
        <b/>
        <vertAlign val="subscript"/>
        <sz val="10"/>
        <rFont val="Calibri"/>
        <family val="2"/>
        <scheme val="minor"/>
      </rPr>
      <t xml:space="preserve"> </t>
    </r>
    <r>
      <rPr>
        <sz val="8"/>
        <rFont val="Calibri"/>
        <family val="2"/>
        <scheme val="minor"/>
      </rPr>
      <t>(k/ft)</t>
    </r>
    <r>
      <rPr>
        <sz val="9"/>
        <rFont val="Calibri"/>
        <family val="2"/>
        <scheme val="minor"/>
      </rPr>
      <t xml:space="preserve"> </t>
    </r>
    <r>
      <rPr>
        <b/>
        <sz val="9"/>
        <rFont val="Calibri"/>
        <family val="2"/>
        <scheme val="minor"/>
      </rPr>
      <t>=</t>
    </r>
  </si>
  <si>
    <r>
      <t>1.15 used here for select granular backfill, change the factor φ</t>
    </r>
    <r>
      <rPr>
        <vertAlign val="subscript"/>
        <sz val="11"/>
        <rFont val="Calibri"/>
        <family val="2"/>
        <scheme val="minor"/>
      </rPr>
      <t>E</t>
    </r>
    <r>
      <rPr>
        <sz val="11"/>
        <rFont val="Calibri"/>
        <family val="2"/>
        <scheme val="minor"/>
      </rPr>
      <t xml:space="preserve"> to 1.0 for all other cases.</t>
    </r>
  </si>
  <si>
    <r>
      <rPr>
        <b/>
        <sz val="11"/>
        <rFont val="Symbol"/>
        <family val="1"/>
        <charset val="2"/>
      </rPr>
      <t>g</t>
    </r>
    <r>
      <rPr>
        <b/>
        <vertAlign val="subscript"/>
        <sz val="11"/>
        <rFont val="Calibri"/>
        <family val="2"/>
        <scheme val="minor"/>
      </rPr>
      <t xml:space="preserve">LL  </t>
    </r>
    <r>
      <rPr>
        <vertAlign val="subscript"/>
        <sz val="11"/>
        <rFont val="Calibri"/>
        <family val="2"/>
        <scheme val="minor"/>
      </rPr>
      <t xml:space="preserve"> (HL-93 Loading - Inventory)</t>
    </r>
    <r>
      <rPr>
        <b/>
        <vertAlign val="subscript"/>
        <sz val="11"/>
        <rFont val="Calibri"/>
        <family val="2"/>
        <scheme val="minor"/>
      </rPr>
      <t xml:space="preserve">  </t>
    </r>
    <r>
      <rPr>
        <sz val="11"/>
        <rFont val="Calibri"/>
        <family val="2"/>
        <scheme val="minor"/>
      </rPr>
      <t>=</t>
    </r>
  </si>
  <si>
    <r>
      <rPr>
        <b/>
        <sz val="11"/>
        <rFont val="Symbol"/>
        <family val="1"/>
        <charset val="2"/>
      </rPr>
      <t>g</t>
    </r>
    <r>
      <rPr>
        <b/>
        <vertAlign val="subscript"/>
        <sz val="11"/>
        <rFont val="Calibri"/>
        <family val="2"/>
        <scheme val="minor"/>
      </rPr>
      <t xml:space="preserve">LL   </t>
    </r>
    <r>
      <rPr>
        <vertAlign val="subscript"/>
        <sz val="11"/>
        <rFont val="Calibri"/>
        <family val="2"/>
        <scheme val="minor"/>
      </rPr>
      <t xml:space="preserve">(HL-93 Loading - Operating)  </t>
    </r>
    <r>
      <rPr>
        <sz val="11"/>
        <rFont val="Calibri"/>
        <family val="2"/>
        <scheme val="minor"/>
      </rPr>
      <t>=</t>
    </r>
  </si>
  <si>
    <r>
      <t xml:space="preserve">Dead Load </t>
    </r>
    <r>
      <rPr>
        <b/>
        <sz val="9"/>
        <rFont val="Symbol"/>
        <family val="1"/>
        <charset val="2"/>
      </rPr>
      <t>g</t>
    </r>
    <r>
      <rPr>
        <b/>
        <vertAlign val="subscript"/>
        <sz val="9"/>
        <rFont val="Calibri"/>
        <family val="2"/>
        <scheme val="minor"/>
      </rPr>
      <t>DC</t>
    </r>
  </si>
  <si>
    <r>
      <t xml:space="preserve">Inventory </t>
    </r>
    <r>
      <rPr>
        <b/>
        <sz val="9"/>
        <rFont val="Symbol"/>
        <family val="1"/>
        <charset val="2"/>
      </rPr>
      <t>g</t>
    </r>
    <r>
      <rPr>
        <b/>
        <vertAlign val="subscript"/>
        <sz val="9"/>
        <rFont val="Calibri"/>
        <family val="2"/>
        <scheme val="minor"/>
      </rPr>
      <t>LL</t>
    </r>
  </si>
  <si>
    <r>
      <t xml:space="preserve">Operating </t>
    </r>
    <r>
      <rPr>
        <b/>
        <sz val="9"/>
        <rFont val="Symbol"/>
        <family val="1"/>
        <charset val="2"/>
      </rPr>
      <t>g</t>
    </r>
    <r>
      <rPr>
        <b/>
        <vertAlign val="subscript"/>
        <sz val="9"/>
        <rFont val="Calibri"/>
        <family val="2"/>
        <scheme val="minor"/>
      </rPr>
      <t>LL</t>
    </r>
  </si>
  <si>
    <r>
      <rPr>
        <b/>
        <sz val="11"/>
        <rFont val="Calibri"/>
        <family val="2"/>
        <scheme val="minor"/>
      </rPr>
      <t>Structure Type</t>
    </r>
    <r>
      <rPr>
        <sz val="11"/>
        <rFont val="Calibri"/>
        <family val="2"/>
        <scheme val="minor"/>
      </rPr>
      <t xml:space="preserve"> (to determine Minimum Cover):</t>
    </r>
  </si>
  <si>
    <r>
      <rPr>
        <b/>
        <sz val="11"/>
        <rFont val="Calibri"/>
        <family val="2"/>
        <scheme val="minor"/>
      </rPr>
      <t>Seam Type</t>
    </r>
    <r>
      <rPr>
        <sz val="11"/>
        <rFont val="Calibri"/>
        <family val="2"/>
        <scheme val="minor"/>
      </rPr>
      <t xml:space="preserve"> (to determine Seam Strength):</t>
    </r>
  </si>
  <si>
    <r>
      <t>Structure Category</t>
    </r>
    <r>
      <rPr>
        <sz val="10"/>
        <rFont val="Calibri"/>
        <family val="2"/>
        <scheme val="minor"/>
      </rPr>
      <t xml:space="preserve"> </t>
    </r>
    <r>
      <rPr>
        <sz val="8"/>
        <rFont val="Calibri"/>
        <family val="2"/>
        <scheme val="minor"/>
      </rPr>
      <t>(based on NCSPA Design Data Sheet No. 19)</t>
    </r>
  </si>
  <si>
    <r>
      <rPr>
        <b/>
        <sz val="10"/>
        <rFont val="Calibri"/>
        <family val="2"/>
      </rPr>
      <t xml:space="preserve">   1.</t>
    </r>
    <r>
      <rPr>
        <sz val="10"/>
        <rFont val="Calibri"/>
        <family val="2"/>
      </rPr>
      <t xml:space="preserve">  For</t>
    </r>
    <r>
      <rPr>
        <b/>
        <sz val="10"/>
        <rFont val="Calibri"/>
        <family val="2"/>
      </rPr>
      <t xml:space="preserve"> typical structures</t>
    </r>
    <r>
      <rPr>
        <sz val="10"/>
        <rFont val="Calibri"/>
        <family val="2"/>
      </rPr>
      <t>, use the actual field measured span for calculations.</t>
    </r>
  </si>
  <si>
    <r>
      <t xml:space="preserve">   </t>
    </r>
    <r>
      <rPr>
        <b/>
        <sz val="10"/>
        <rFont val="Calibri"/>
        <family val="2"/>
      </rPr>
      <t>2.</t>
    </r>
    <r>
      <rPr>
        <sz val="10"/>
        <rFont val="Calibri"/>
        <family val="2"/>
      </rPr>
      <t xml:space="preserve">  For </t>
    </r>
    <r>
      <rPr>
        <b/>
        <sz val="10"/>
        <rFont val="Calibri"/>
        <family val="2"/>
      </rPr>
      <t>unsymmetrical structures or those deflected over 5%</t>
    </r>
    <r>
      <rPr>
        <sz val="10"/>
        <rFont val="Calibri"/>
        <family val="2"/>
      </rPr>
      <t>:</t>
    </r>
  </si>
  <si>
    <r>
      <t>input the load factors based on the "</t>
    </r>
    <r>
      <rPr>
        <b/>
        <sz val="11"/>
        <rFont val="Calibri"/>
        <family val="2"/>
        <scheme val="minor"/>
      </rPr>
      <t>LRFR Load Factors</t>
    </r>
    <r>
      <rPr>
        <sz val="11"/>
        <rFont val="Calibri"/>
        <family val="2"/>
        <scheme val="minor"/>
      </rPr>
      <t>" table on the right</t>
    </r>
  </si>
  <si>
    <r>
      <t>input these values based on metal type, corrugation, gage number or pipe wall thickness, see tables in worksheet "</t>
    </r>
    <r>
      <rPr>
        <b/>
        <sz val="11"/>
        <rFont val="Calibri"/>
        <family val="2"/>
        <scheme val="minor"/>
      </rPr>
      <t>section property tables</t>
    </r>
    <r>
      <rPr>
        <sz val="11"/>
        <rFont val="Calibri"/>
        <family val="2"/>
        <scheme val="minor"/>
      </rPr>
      <t xml:space="preserve">". </t>
    </r>
  </si>
  <si>
    <r>
      <t>input the seam strength value based on metal type, corrugation, gage number or pipe wall thickness, see tables in worksheet "</t>
    </r>
    <r>
      <rPr>
        <b/>
        <sz val="11"/>
        <rFont val="Calibri"/>
        <family val="2"/>
        <scheme val="minor"/>
      </rPr>
      <t>seam strength tables</t>
    </r>
    <r>
      <rPr>
        <sz val="11"/>
        <rFont val="Calibri"/>
        <family val="2"/>
        <scheme val="minor"/>
      </rPr>
      <t>"</t>
    </r>
  </si>
  <si>
    <r>
      <t>r</t>
    </r>
    <r>
      <rPr>
        <sz val="11"/>
        <rFont val="Calibri"/>
        <family val="2"/>
        <scheme val="minor"/>
      </rPr>
      <t xml:space="preserve"> (in) =</t>
    </r>
  </si>
  <si>
    <t>Therefore,</t>
  </si>
  <si>
    <r>
      <t>For this structure: Depth of Fill, D</t>
    </r>
    <r>
      <rPr>
        <vertAlign val="subscript"/>
        <sz val="10"/>
        <rFont val="Calibri"/>
        <family val="2"/>
        <scheme val="minor"/>
      </rPr>
      <t>E</t>
    </r>
    <r>
      <rPr>
        <sz val="10"/>
        <rFont val="Calibri"/>
        <family val="2"/>
        <scheme val="minor"/>
      </rPr>
      <t xml:space="preserve"> = </t>
    </r>
    <r>
      <rPr>
        <b/>
        <sz val="10"/>
        <rFont val="Calibri"/>
        <family val="2"/>
        <scheme val="minor"/>
      </rPr>
      <t>H</t>
    </r>
    <r>
      <rPr>
        <sz val="10"/>
        <rFont val="Calibri"/>
        <family val="2"/>
        <scheme val="minor"/>
      </rPr>
      <t>=</t>
    </r>
  </si>
  <si>
    <r>
      <rPr>
        <b/>
        <sz val="10"/>
        <rFont val="Symbol"/>
        <family val="1"/>
        <charset val="2"/>
      </rPr>
      <t>g</t>
    </r>
    <r>
      <rPr>
        <b/>
        <vertAlign val="subscript"/>
        <sz val="10"/>
        <rFont val="Calibri"/>
        <family val="2"/>
        <scheme val="minor"/>
      </rPr>
      <t xml:space="preserve">LL </t>
    </r>
  </si>
  <si>
    <r>
      <t>Determine Actual Top Radius "R</t>
    </r>
    <r>
      <rPr>
        <vertAlign val="subscript"/>
        <sz val="11"/>
        <rFont val="Calibri"/>
        <family val="2"/>
        <scheme val="minor"/>
      </rPr>
      <t>t</t>
    </r>
    <r>
      <rPr>
        <sz val="11"/>
        <rFont val="Calibri"/>
        <family val="2"/>
        <scheme val="minor"/>
      </rPr>
      <t xml:space="preserve">" (ft) =                                  </t>
    </r>
    <r>
      <rPr>
        <sz val="9"/>
        <rFont val="Calibri"/>
        <family val="2"/>
        <scheme val="minor"/>
      </rPr>
      <t>(can be determined by field measurements or hand calculations)</t>
    </r>
  </si>
  <si>
    <t xml:space="preserve">LRFR of In-Service, Corrugated Metal Pipe Structures                                     </t>
  </si>
  <si>
    <r>
      <rPr>
        <sz val="10"/>
        <rFont val="Calibri"/>
        <family val="2"/>
      </rPr>
      <t>φ</t>
    </r>
    <r>
      <rPr>
        <vertAlign val="subscript"/>
        <sz val="10"/>
        <rFont val="Calibri"/>
        <family val="2"/>
      </rPr>
      <t>loss</t>
    </r>
    <r>
      <rPr>
        <sz val="10"/>
        <rFont val="Calibri"/>
        <family val="2"/>
      </rPr>
      <t xml:space="preserve"> = </t>
    </r>
    <r>
      <rPr>
        <sz val="10"/>
        <rFont val="Calibri"/>
        <family val="2"/>
        <scheme val="minor"/>
      </rPr>
      <t xml:space="preserve">Section Properties reduction factor on the basis of metal loss from the materials field evaluation =    </t>
    </r>
  </si>
  <si>
    <t>CW</t>
  </si>
  <si>
    <r>
      <t xml:space="preserve">       </t>
    </r>
    <r>
      <rPr>
        <b/>
        <sz val="10"/>
        <rFont val="Calibri"/>
        <family val="2"/>
      </rPr>
      <t>b.</t>
    </r>
    <r>
      <rPr>
        <sz val="10"/>
        <rFont val="Calibri"/>
        <family val="2"/>
      </rPr>
      <t xml:space="preserve"> base critical buckling stress calculations on the theoretical design span, reducing the resulting allowable buckling stress by the appropriate multiplier to account for deflection " f " (NCSPA Design Data Sheet No. 19, Figure B.1.1).</t>
    </r>
  </si>
  <si>
    <r>
      <t xml:space="preserve">   </t>
    </r>
    <r>
      <rPr>
        <b/>
        <sz val="10"/>
        <rFont val="Calibri"/>
        <family val="2"/>
      </rPr>
      <t>3.</t>
    </r>
    <r>
      <rPr>
        <sz val="10"/>
        <rFont val="Calibri"/>
        <family val="2"/>
      </rPr>
      <t xml:space="preserve">  For all</t>
    </r>
    <r>
      <rPr>
        <b/>
        <sz val="10"/>
        <rFont val="Calibri"/>
        <family val="2"/>
      </rPr>
      <t xml:space="preserve"> long span structures </t>
    </r>
    <r>
      <rPr>
        <sz val="10"/>
        <rFont val="Calibri"/>
        <family val="2"/>
      </rPr>
      <t>(horizontal ellipse, low and high profile arches, inverted pear shapes and pear arches), as well as other horizontal ellipses, use 2 x actual top radius (2Rt) in all cases.</t>
    </r>
  </si>
  <si>
    <r>
      <rPr>
        <b/>
        <sz val="11"/>
        <rFont val="Symbol"/>
        <family val="1"/>
        <charset val="2"/>
      </rPr>
      <t>g</t>
    </r>
    <r>
      <rPr>
        <b/>
        <vertAlign val="subscript"/>
        <sz val="11"/>
        <rFont val="Calibri"/>
        <family val="2"/>
        <scheme val="minor"/>
      </rPr>
      <t>EV</t>
    </r>
    <r>
      <rPr>
        <vertAlign val="subscript"/>
        <sz val="11"/>
        <rFont val="Calibri"/>
        <family val="2"/>
        <scheme val="minor"/>
      </rPr>
      <t xml:space="preserve"> (Vertical Earth Pressure for CMPs)</t>
    </r>
    <r>
      <rPr>
        <b/>
        <vertAlign val="subscript"/>
        <sz val="11"/>
        <rFont val="Calibri"/>
        <family val="2"/>
        <scheme val="minor"/>
      </rPr>
      <t xml:space="preserve"> </t>
    </r>
    <r>
      <rPr>
        <b/>
        <sz val="11"/>
        <rFont val="Calibri"/>
        <family val="2"/>
        <scheme val="minor"/>
      </rPr>
      <t xml:space="preserve"> </t>
    </r>
    <r>
      <rPr>
        <sz val="11"/>
        <rFont val="Calibri"/>
        <family val="2"/>
        <scheme val="minor"/>
      </rPr>
      <t>=</t>
    </r>
  </si>
  <si>
    <t>Vertical Earth Pressure EV for CMPs</t>
  </si>
  <si>
    <r>
      <rPr>
        <b/>
        <sz val="10"/>
        <rFont val="Symbol"/>
        <family val="1"/>
        <charset val="2"/>
      </rPr>
      <t>g</t>
    </r>
    <r>
      <rPr>
        <b/>
        <vertAlign val="subscript"/>
        <sz val="10"/>
        <rFont val="Calibri"/>
        <family val="2"/>
        <scheme val="minor"/>
      </rPr>
      <t xml:space="preserve">EV </t>
    </r>
  </si>
  <si>
    <r>
      <t xml:space="preserve">t </t>
    </r>
    <r>
      <rPr>
        <vertAlign val="subscript"/>
        <sz val="10"/>
        <rFont val="Calibri"/>
        <family val="2"/>
        <scheme val="minor"/>
      </rPr>
      <t>(min)</t>
    </r>
    <r>
      <rPr>
        <sz val="10"/>
        <color rgb="FFFF0000"/>
        <rFont val="Calibri"/>
        <family val="2"/>
        <scheme val="minor"/>
      </rPr>
      <t>**</t>
    </r>
    <r>
      <rPr>
        <sz val="10"/>
        <rFont val="Calibri"/>
        <family val="2"/>
        <scheme val="minor"/>
      </rPr>
      <t xml:space="preserve"> (in) =</t>
    </r>
  </si>
  <si>
    <r>
      <rPr>
        <sz val="10"/>
        <color rgb="FFFF0000"/>
        <rFont val="Calibri"/>
        <family val="2"/>
        <scheme val="minor"/>
      </rPr>
      <t>**</t>
    </r>
    <r>
      <rPr>
        <sz val="10"/>
        <rFont val="Calibri"/>
        <family val="2"/>
        <scheme val="minor"/>
      </rPr>
      <t xml:space="preserve"> Required Minimum Top Arc Thickness if Long Span Structural Plate Structures Selected</t>
    </r>
  </si>
  <si>
    <r>
      <rPr>
        <sz val="10"/>
        <color rgb="FFFF0000"/>
        <rFont val="Calibri"/>
        <family val="2"/>
        <scheme val="minor"/>
      </rPr>
      <t>*</t>
    </r>
    <r>
      <rPr>
        <sz val="10"/>
        <rFont val="Calibri"/>
        <family val="2"/>
        <scheme val="minor"/>
      </rPr>
      <t xml:space="preserve"> Maximum Plate Radius allowed if Long Span Structural Plate Structures Selected</t>
    </r>
  </si>
  <si>
    <r>
      <rPr>
        <b/>
        <sz val="10"/>
        <rFont val="Calibri"/>
        <family val="2"/>
        <scheme val="minor"/>
      </rPr>
      <t>R</t>
    </r>
    <r>
      <rPr>
        <vertAlign val="subscript"/>
        <sz val="10"/>
        <rFont val="Calibri"/>
        <family val="2"/>
        <scheme val="minor"/>
      </rPr>
      <t>t (max)</t>
    </r>
    <r>
      <rPr>
        <sz val="10"/>
        <rFont val="Calibri"/>
        <family val="2"/>
        <scheme val="minor"/>
      </rPr>
      <t xml:space="preserve"> </t>
    </r>
    <r>
      <rPr>
        <sz val="10"/>
        <color rgb="FFFF0000"/>
        <rFont val="Calibri"/>
        <family val="2"/>
        <scheme val="minor"/>
      </rPr>
      <t>*</t>
    </r>
    <r>
      <rPr>
        <sz val="10"/>
        <rFont val="Calibri"/>
        <family val="2"/>
        <scheme val="minor"/>
      </rPr>
      <t xml:space="preserve"> (ft) =</t>
    </r>
  </si>
  <si>
    <r>
      <t xml:space="preserve">Then, </t>
    </r>
    <r>
      <rPr>
        <b/>
        <sz val="10"/>
        <rFont val="Calibri"/>
        <family val="2"/>
        <scheme val="minor"/>
      </rPr>
      <t>R</t>
    </r>
    <r>
      <rPr>
        <b/>
        <vertAlign val="subscript"/>
        <sz val="10"/>
        <rFont val="Calibri"/>
        <family val="2"/>
        <scheme val="minor"/>
      </rPr>
      <t>t</t>
    </r>
    <r>
      <rPr>
        <sz val="10"/>
        <rFont val="Calibri"/>
        <family val="2"/>
        <scheme val="minor"/>
      </rPr>
      <t xml:space="preserve"> used in Load Rating Calculation (ft)=</t>
    </r>
  </si>
  <si>
    <r>
      <t xml:space="preserve">Then, </t>
    </r>
    <r>
      <rPr>
        <b/>
        <sz val="10"/>
        <rFont val="Calibri"/>
        <family val="2"/>
        <scheme val="minor"/>
      </rPr>
      <t>Span Length</t>
    </r>
    <r>
      <rPr>
        <sz val="10"/>
        <rFont val="Calibri"/>
        <family val="2"/>
        <scheme val="minor"/>
      </rPr>
      <t xml:space="preserve"> used in Load Rating Calculation (ft)=</t>
    </r>
  </si>
  <si>
    <r>
      <rPr>
        <sz val="11"/>
        <rFont val="Calibri"/>
        <family val="2"/>
      </rPr>
      <t>ƞ</t>
    </r>
    <r>
      <rPr>
        <vertAlign val="subscript"/>
        <sz val="11"/>
        <rFont val="Calibri"/>
        <family val="2"/>
      </rPr>
      <t>R</t>
    </r>
    <r>
      <rPr>
        <sz val="11"/>
        <rFont val="Calibri"/>
        <family val="2"/>
        <scheme val="minor"/>
      </rPr>
      <t xml:space="preserve"> </t>
    </r>
    <r>
      <rPr>
        <vertAlign val="subscript"/>
        <sz val="11"/>
        <rFont val="Calibri"/>
        <family val="2"/>
        <scheme val="minor"/>
      </rPr>
      <t>(for nonredundant members)</t>
    </r>
    <r>
      <rPr>
        <sz val="11"/>
        <rFont val="Calibri"/>
        <family val="2"/>
        <scheme val="minor"/>
      </rPr>
      <t xml:space="preserve"> =</t>
    </r>
  </si>
  <si>
    <r>
      <t>ƞ</t>
    </r>
    <r>
      <rPr>
        <b/>
        <vertAlign val="subscript"/>
        <sz val="10"/>
        <rFont val="Calibri"/>
        <family val="2"/>
        <scheme val="minor"/>
      </rPr>
      <t>R</t>
    </r>
  </si>
  <si>
    <t>MAD-323-0613</t>
  </si>
  <si>
    <r>
      <rPr>
        <sz val="10"/>
        <rFont val="Calibri"/>
        <family val="2"/>
        <scheme val="minor"/>
      </rPr>
      <t>φ</t>
    </r>
    <r>
      <rPr>
        <vertAlign val="subscript"/>
        <sz val="10"/>
        <rFont val="Calibri"/>
        <family val="2"/>
        <scheme val="minor"/>
      </rPr>
      <t>1</t>
    </r>
    <r>
      <rPr>
        <sz val="9"/>
        <rFont val="Calibri"/>
        <family val="2"/>
        <scheme val="minor"/>
      </rPr>
      <t xml:space="preserve"> = Resistance Factor for </t>
    </r>
    <r>
      <rPr>
        <b/>
        <sz val="10"/>
        <rFont val="Calibri"/>
        <family val="2"/>
      </rPr>
      <t>wall area and buckling</t>
    </r>
    <r>
      <rPr>
        <b/>
        <sz val="9"/>
        <rFont val="Calibri"/>
        <family val="2"/>
      </rPr>
      <t xml:space="preserve"> </t>
    </r>
    <r>
      <rPr>
        <sz val="9"/>
        <rFont val="Calibri"/>
        <family val="2"/>
      </rPr>
      <t>(Table 12.5.5-1)</t>
    </r>
  </si>
  <si>
    <t>HL-93 Tandem</t>
  </si>
  <si>
    <t>HL-93 Truck</t>
  </si>
  <si>
    <t>WJB</t>
  </si>
  <si>
    <r>
      <t>Axle 2 Load</t>
    </r>
    <r>
      <rPr>
        <sz val="9"/>
        <rFont val="Calibri"/>
        <family val="2"/>
        <scheme val="minor"/>
      </rPr>
      <t xml:space="preserve"> (kips)</t>
    </r>
  </si>
  <si>
    <r>
      <t>Axle 3 Load</t>
    </r>
    <r>
      <rPr>
        <sz val="9"/>
        <rFont val="Calibri"/>
        <family val="2"/>
        <scheme val="minor"/>
      </rPr>
      <t xml:space="preserve"> (kips)</t>
    </r>
  </si>
  <si>
    <r>
      <rPr>
        <b/>
        <sz val="10"/>
        <rFont val="Calibri"/>
        <family val="2"/>
        <scheme val="minor"/>
      </rPr>
      <t xml:space="preserve"> S</t>
    </r>
    <r>
      <rPr>
        <b/>
        <vertAlign val="subscript"/>
        <sz val="10"/>
        <rFont val="Calibri"/>
        <family val="2"/>
        <scheme val="minor"/>
      </rPr>
      <t>axle 1</t>
    </r>
    <r>
      <rPr>
        <b/>
        <sz val="8"/>
        <rFont val="Calibri"/>
        <family val="2"/>
        <scheme val="minor"/>
      </rPr>
      <t xml:space="preserve"> </t>
    </r>
    <r>
      <rPr>
        <sz val="8"/>
        <rFont val="Calibri"/>
        <family val="2"/>
        <scheme val="minor"/>
      </rPr>
      <t>(ft)</t>
    </r>
    <r>
      <rPr>
        <b/>
        <sz val="12"/>
        <color rgb="FFFF0000"/>
        <rFont val="Calibri"/>
        <family val="2"/>
        <scheme val="minor"/>
      </rPr>
      <t xml:space="preserve"> </t>
    </r>
    <r>
      <rPr>
        <sz val="10"/>
        <rFont val="Calibri"/>
        <family val="2"/>
        <scheme val="minor"/>
      </rPr>
      <t>=</t>
    </r>
  </si>
  <si>
    <r>
      <rPr>
        <b/>
        <sz val="10"/>
        <rFont val="Calibri"/>
        <family val="2"/>
        <scheme val="minor"/>
      </rPr>
      <t xml:space="preserve"> S</t>
    </r>
    <r>
      <rPr>
        <b/>
        <vertAlign val="subscript"/>
        <sz val="10"/>
        <rFont val="Calibri"/>
        <family val="2"/>
        <scheme val="minor"/>
      </rPr>
      <t>axle 2</t>
    </r>
    <r>
      <rPr>
        <b/>
        <sz val="8"/>
        <rFont val="Calibri"/>
        <family val="2"/>
        <scheme val="minor"/>
      </rPr>
      <t xml:space="preserve"> </t>
    </r>
    <r>
      <rPr>
        <sz val="8"/>
        <rFont val="Calibri"/>
        <family val="2"/>
        <scheme val="minor"/>
      </rPr>
      <t>(ft)</t>
    </r>
    <r>
      <rPr>
        <b/>
        <sz val="12"/>
        <color rgb="FFFF0000"/>
        <rFont val="Calibri"/>
        <family val="2"/>
        <scheme val="minor"/>
      </rPr>
      <t xml:space="preserve"> </t>
    </r>
    <r>
      <rPr>
        <sz val="10"/>
        <rFont val="Calibri"/>
        <family val="2"/>
        <scheme val="minor"/>
      </rPr>
      <t>=</t>
    </r>
  </si>
  <si>
    <r>
      <t xml:space="preserve"> P</t>
    </r>
    <r>
      <rPr>
        <b/>
        <vertAlign val="subscript"/>
        <sz val="9"/>
        <rFont val="Calibri"/>
        <family val="2"/>
        <scheme val="minor"/>
      </rPr>
      <t>D</t>
    </r>
    <r>
      <rPr>
        <b/>
        <sz val="9"/>
        <rFont val="Calibri"/>
        <family val="2"/>
        <scheme val="minor"/>
      </rPr>
      <t xml:space="preserve"> </t>
    </r>
    <r>
      <rPr>
        <sz val="9"/>
        <rFont val="Calibri"/>
        <family val="2"/>
        <scheme val="minor"/>
      </rPr>
      <t>(kips) =</t>
    </r>
  </si>
  <si>
    <r>
      <rPr>
        <b/>
        <sz val="10"/>
        <color rgb="FFFF0000"/>
        <rFont val="Calibri"/>
        <family val="2"/>
        <scheme val="minor"/>
      </rPr>
      <t xml:space="preserve">  </t>
    </r>
    <r>
      <rPr>
        <b/>
        <sz val="10"/>
        <rFont val="Calibri"/>
        <family val="2"/>
        <scheme val="minor"/>
      </rPr>
      <t>A</t>
    </r>
    <r>
      <rPr>
        <b/>
        <vertAlign val="subscript"/>
        <sz val="10"/>
        <rFont val="Calibri"/>
        <family val="2"/>
        <scheme val="minor"/>
      </rPr>
      <t>D</t>
    </r>
    <r>
      <rPr>
        <b/>
        <sz val="10"/>
        <rFont val="Calibri"/>
        <family val="2"/>
        <scheme val="minor"/>
      </rPr>
      <t xml:space="preserve"> </t>
    </r>
    <r>
      <rPr>
        <sz val="10"/>
        <rFont val="Calibri"/>
        <family val="2"/>
        <scheme val="minor"/>
      </rPr>
      <t xml:space="preserve">= Total Load Distributed Area </t>
    </r>
  </si>
  <si>
    <r>
      <t xml:space="preserve">  P</t>
    </r>
    <r>
      <rPr>
        <b/>
        <vertAlign val="subscript"/>
        <sz val="10"/>
        <rFont val="Calibri"/>
        <family val="2"/>
        <scheme val="minor"/>
      </rPr>
      <t>D</t>
    </r>
    <r>
      <rPr>
        <b/>
        <sz val="10"/>
        <rFont val="Calibri"/>
        <family val="2"/>
        <scheme val="minor"/>
      </rPr>
      <t xml:space="preserve"> </t>
    </r>
    <r>
      <rPr>
        <sz val="10"/>
        <rFont val="Calibri"/>
        <family val="2"/>
        <scheme val="minor"/>
      </rPr>
      <t>= Total Load being Distributed</t>
    </r>
  </si>
  <si>
    <r>
      <t>Calculate the T</t>
    </r>
    <r>
      <rPr>
        <b/>
        <vertAlign val="subscript"/>
        <sz val="11"/>
        <rFont val="Calibri"/>
        <family val="2"/>
        <scheme val="minor"/>
      </rPr>
      <t>(L+I)</t>
    </r>
    <r>
      <rPr>
        <b/>
        <sz val="11"/>
        <rFont val="Calibri"/>
        <family val="2"/>
        <scheme val="minor"/>
      </rPr>
      <t xml:space="preserve"> (pipe wall thrust due to live load plus dynamic load allowance) :</t>
    </r>
  </si>
  <si>
    <r>
      <t xml:space="preserve"> ρ</t>
    </r>
    <r>
      <rPr>
        <vertAlign val="subscript"/>
        <sz val="10"/>
        <rFont val="Calibri"/>
        <family val="2"/>
        <scheme val="minor"/>
      </rPr>
      <t xml:space="preserve"> (L+IM)</t>
    </r>
    <r>
      <rPr>
        <sz val="10"/>
        <rFont val="Calibri"/>
        <family val="2"/>
        <scheme val="minor"/>
      </rPr>
      <t xml:space="preserve"> : pressure at crown due to live load plus dynamic load allowance</t>
    </r>
  </si>
  <si>
    <r>
      <rPr>
        <b/>
        <sz val="10"/>
        <rFont val="Calibri"/>
        <family val="2"/>
        <scheme val="minor"/>
      </rPr>
      <t xml:space="preserve">  ρ </t>
    </r>
    <r>
      <rPr>
        <b/>
        <vertAlign val="subscript"/>
        <sz val="10"/>
        <rFont val="Calibri"/>
        <family val="2"/>
        <scheme val="minor"/>
      </rPr>
      <t>(L+IM)</t>
    </r>
    <r>
      <rPr>
        <sz val="10"/>
        <rFont val="Calibri"/>
        <family val="2"/>
        <scheme val="minor"/>
      </rPr>
      <t xml:space="preserve"> = pressure at crown due to live load plus dynamic load allowance</t>
    </r>
  </si>
  <si>
    <r>
      <t xml:space="preserve"> A</t>
    </r>
    <r>
      <rPr>
        <b/>
        <vertAlign val="subscript"/>
        <sz val="9"/>
        <rFont val="Calibri"/>
        <family val="2"/>
        <scheme val="minor"/>
      </rPr>
      <t>D</t>
    </r>
    <r>
      <rPr>
        <b/>
        <sz val="9"/>
        <rFont val="Calibri"/>
        <family val="2"/>
        <scheme val="minor"/>
      </rPr>
      <t xml:space="preserve"> </t>
    </r>
    <r>
      <rPr>
        <sz val="9"/>
        <rFont val="Calibri"/>
        <family val="2"/>
        <scheme val="minor"/>
      </rPr>
      <t>= W</t>
    </r>
    <r>
      <rPr>
        <vertAlign val="subscript"/>
        <sz val="9"/>
        <rFont val="Calibri"/>
        <family val="2"/>
        <scheme val="minor"/>
      </rPr>
      <t>D(total)</t>
    </r>
    <r>
      <rPr>
        <sz val="9"/>
        <rFont val="Calibri"/>
        <family val="2"/>
        <scheme val="minor"/>
      </rPr>
      <t xml:space="preserve"> x L</t>
    </r>
    <r>
      <rPr>
        <vertAlign val="subscript"/>
        <sz val="9"/>
        <rFont val="Calibri"/>
        <family val="2"/>
        <scheme val="minor"/>
      </rPr>
      <t>D(total)</t>
    </r>
    <r>
      <rPr>
        <sz val="9"/>
        <rFont val="Calibri"/>
        <family val="2"/>
        <scheme val="minor"/>
      </rPr>
      <t xml:space="preserve"> =</t>
    </r>
  </si>
  <si>
    <r>
      <rPr>
        <b/>
        <sz val="10"/>
        <rFont val="Calibri"/>
        <family val="2"/>
        <scheme val="minor"/>
      </rPr>
      <t xml:space="preserve">  Axle 2 Load</t>
    </r>
    <r>
      <rPr>
        <sz val="10"/>
        <rFont val="Calibri"/>
        <family val="2"/>
        <scheme val="minor"/>
      </rPr>
      <t xml:space="preserve"> = 1</t>
    </r>
    <r>
      <rPr>
        <vertAlign val="superscript"/>
        <sz val="10"/>
        <rFont val="Calibri"/>
        <family val="2"/>
        <scheme val="minor"/>
      </rPr>
      <t>st</t>
    </r>
    <r>
      <rPr>
        <sz val="10"/>
        <rFont val="Calibri"/>
        <family val="2"/>
        <scheme val="minor"/>
      </rPr>
      <t xml:space="preserve"> adjacent axle load to the heavy axle, if the S</t>
    </r>
    <r>
      <rPr>
        <vertAlign val="subscript"/>
        <sz val="10"/>
        <rFont val="Calibri"/>
        <family val="2"/>
        <scheme val="minor"/>
      </rPr>
      <t>axle 1</t>
    </r>
    <r>
      <rPr>
        <sz val="10"/>
        <rFont val="Calibri"/>
        <family val="2"/>
        <scheme val="minor"/>
      </rPr>
      <t xml:space="preserve"> &gt; 4', input Axle 2 load = 0.  </t>
    </r>
  </si>
  <si>
    <r>
      <rPr>
        <b/>
        <sz val="10"/>
        <rFont val="Calibri"/>
        <family val="2"/>
        <scheme val="minor"/>
      </rPr>
      <t xml:space="preserve">  S</t>
    </r>
    <r>
      <rPr>
        <b/>
        <vertAlign val="subscript"/>
        <sz val="10"/>
        <rFont val="Calibri"/>
        <family val="2"/>
        <scheme val="minor"/>
      </rPr>
      <t>axle 1</t>
    </r>
    <r>
      <rPr>
        <b/>
        <sz val="12"/>
        <rFont val="Calibri"/>
        <family val="2"/>
        <scheme val="minor"/>
      </rPr>
      <t xml:space="preserve"> </t>
    </r>
    <r>
      <rPr>
        <sz val="12"/>
        <rFont val="Calibri"/>
        <family val="2"/>
        <scheme val="minor"/>
      </rPr>
      <t>=</t>
    </r>
    <r>
      <rPr>
        <b/>
        <sz val="12"/>
        <rFont val="Calibri"/>
        <family val="2"/>
        <scheme val="minor"/>
      </rPr>
      <t xml:space="preserve"> </t>
    </r>
    <r>
      <rPr>
        <sz val="10"/>
        <rFont val="Calibri"/>
        <family val="2"/>
        <scheme val="minor"/>
      </rPr>
      <t>distance from the heavy axle to the 1</t>
    </r>
    <r>
      <rPr>
        <vertAlign val="superscript"/>
        <sz val="10"/>
        <rFont val="Calibri"/>
        <family val="2"/>
        <scheme val="minor"/>
      </rPr>
      <t>st</t>
    </r>
    <r>
      <rPr>
        <sz val="10"/>
        <rFont val="Calibri"/>
        <family val="2"/>
        <scheme val="minor"/>
      </rPr>
      <t xml:space="preserve"> adjacent axle, if the spacing is &gt; 4', input S</t>
    </r>
    <r>
      <rPr>
        <vertAlign val="subscript"/>
        <sz val="10"/>
        <rFont val="Calibri"/>
        <family val="2"/>
        <scheme val="minor"/>
      </rPr>
      <t xml:space="preserve">axle1 </t>
    </r>
    <r>
      <rPr>
        <sz val="10"/>
        <rFont val="Calibri"/>
        <family val="2"/>
        <scheme val="minor"/>
      </rPr>
      <t xml:space="preserve">= 0.  </t>
    </r>
  </si>
  <si>
    <r>
      <rPr>
        <b/>
        <sz val="10"/>
        <rFont val="Calibri"/>
        <family val="2"/>
        <scheme val="minor"/>
      </rPr>
      <t xml:space="preserve">  Axle 3 Load</t>
    </r>
    <r>
      <rPr>
        <sz val="10"/>
        <rFont val="Calibri"/>
        <family val="2"/>
        <scheme val="minor"/>
      </rPr>
      <t xml:space="preserve"> = 2</t>
    </r>
    <r>
      <rPr>
        <vertAlign val="superscript"/>
        <sz val="10"/>
        <rFont val="Calibri"/>
        <family val="2"/>
        <scheme val="minor"/>
      </rPr>
      <t>nd</t>
    </r>
    <r>
      <rPr>
        <sz val="10"/>
        <rFont val="Calibri"/>
        <family val="2"/>
        <scheme val="minor"/>
      </rPr>
      <t xml:space="preserve"> adjacent axle load to the heavy axle, if the S</t>
    </r>
    <r>
      <rPr>
        <vertAlign val="subscript"/>
        <sz val="10"/>
        <rFont val="Calibri"/>
        <family val="2"/>
        <scheme val="minor"/>
      </rPr>
      <t>axle 2</t>
    </r>
    <r>
      <rPr>
        <sz val="10"/>
        <rFont val="Calibri"/>
        <family val="2"/>
        <scheme val="minor"/>
      </rPr>
      <t xml:space="preserve"> &gt; 4', input Axle 3 load = 0.  </t>
    </r>
  </si>
  <si>
    <r>
      <t xml:space="preserve">  </t>
    </r>
    <r>
      <rPr>
        <b/>
        <sz val="10"/>
        <rFont val="Calibri"/>
        <family val="2"/>
        <scheme val="minor"/>
      </rPr>
      <t>S</t>
    </r>
    <r>
      <rPr>
        <b/>
        <vertAlign val="subscript"/>
        <sz val="10"/>
        <rFont val="Calibri"/>
        <family val="2"/>
        <scheme val="minor"/>
      </rPr>
      <t>axle 2</t>
    </r>
    <r>
      <rPr>
        <b/>
        <sz val="12"/>
        <rFont val="Calibri"/>
        <family val="2"/>
        <scheme val="minor"/>
      </rPr>
      <t xml:space="preserve"> </t>
    </r>
    <r>
      <rPr>
        <sz val="10"/>
        <rFont val="Calibri"/>
        <family val="2"/>
        <scheme val="minor"/>
      </rPr>
      <t>= distance from the 1</t>
    </r>
    <r>
      <rPr>
        <vertAlign val="superscript"/>
        <sz val="10"/>
        <rFont val="Calibri"/>
        <family val="2"/>
        <scheme val="minor"/>
      </rPr>
      <t>st</t>
    </r>
    <r>
      <rPr>
        <sz val="10"/>
        <rFont val="Calibri"/>
        <family val="2"/>
        <scheme val="minor"/>
      </rPr>
      <t xml:space="preserve"> adjacent axle to the 2</t>
    </r>
    <r>
      <rPr>
        <vertAlign val="superscript"/>
        <sz val="10"/>
        <rFont val="Calibri"/>
        <family val="2"/>
        <scheme val="minor"/>
      </rPr>
      <t>nd</t>
    </r>
    <r>
      <rPr>
        <sz val="10"/>
        <rFont val="Calibri"/>
        <family val="2"/>
        <scheme val="minor"/>
      </rPr>
      <t xml:space="preserve"> adjacent axle, if the spacing is &gt; 4', input S</t>
    </r>
    <r>
      <rPr>
        <vertAlign val="subscript"/>
        <sz val="10"/>
        <rFont val="Calibri"/>
        <family val="2"/>
        <scheme val="minor"/>
      </rPr>
      <t>axle2</t>
    </r>
    <r>
      <rPr>
        <sz val="10"/>
        <rFont val="Calibri"/>
        <family val="2"/>
        <scheme val="minor"/>
      </rPr>
      <t xml:space="preserve"> = 0.  </t>
    </r>
  </si>
  <si>
    <r>
      <rPr>
        <b/>
        <sz val="12"/>
        <rFont val="Calibri"/>
        <family val="2"/>
        <scheme val="minor"/>
      </rPr>
      <t>Note</t>
    </r>
    <r>
      <rPr>
        <sz val="10"/>
        <rFont val="Calibri"/>
        <family val="2"/>
        <scheme val="minor"/>
      </rPr>
      <t>: The minimum cover dimension is not to be confused with the fill height used for calculation purposes, which shall be from the top of the pipe to the top of the surface, regardless of the pipe type or pavement type.</t>
    </r>
  </si>
  <si>
    <t>AASHTO minimum cover, "h" (ft) =</t>
  </si>
  <si>
    <r>
      <rPr>
        <b/>
        <sz val="10"/>
        <color rgb="FFFF0000"/>
        <rFont val="Calibri"/>
        <family val="2"/>
        <scheme val="minor"/>
      </rPr>
      <t>*</t>
    </r>
    <r>
      <rPr>
        <sz val="11"/>
        <rFont val="Calibri"/>
        <family val="2"/>
        <scheme val="minor"/>
      </rPr>
      <t xml:space="preserve"> Depth of Fill "H" (ft) =</t>
    </r>
    <r>
      <rPr>
        <sz val="8"/>
        <rFont val="Calibri"/>
        <family val="2"/>
        <scheme val="minor"/>
      </rPr>
      <t xml:space="preserve">                                                                                      </t>
    </r>
    <r>
      <rPr>
        <sz val="10"/>
        <rFont val="Calibri"/>
        <family val="2"/>
        <scheme val="minor"/>
      </rPr>
      <t xml:space="preserve"> (fill depth used for dead load calculations)</t>
    </r>
  </si>
  <si>
    <r>
      <t>Depth of cover used to check AASHTO minimum cover requirment "H</t>
    </r>
    <r>
      <rPr>
        <vertAlign val="subscript"/>
        <sz val="10"/>
        <rFont val="Calibri"/>
        <family val="2"/>
        <scheme val="minor"/>
      </rPr>
      <t>min</t>
    </r>
    <r>
      <rPr>
        <sz val="10"/>
        <rFont val="Calibri"/>
        <family val="2"/>
        <scheme val="minor"/>
      </rPr>
      <t xml:space="preserve">" (ft) =    </t>
    </r>
  </si>
  <si>
    <r>
      <rPr>
        <b/>
        <sz val="12"/>
        <color rgb="FFFF0000"/>
        <rFont val="Calibri"/>
        <family val="2"/>
        <scheme val="minor"/>
      </rPr>
      <t>*</t>
    </r>
    <r>
      <rPr>
        <b/>
        <sz val="12"/>
        <rFont val="Calibri"/>
        <family val="2"/>
        <scheme val="minor"/>
      </rPr>
      <t xml:space="preserve"> AASHTO LRFD C 12.6.6.3: </t>
    </r>
    <r>
      <rPr>
        <b/>
        <u/>
        <sz val="12"/>
        <rFont val="Calibri"/>
        <family val="2"/>
        <scheme val="minor"/>
      </rPr>
      <t>Minimum Cover Orientation</t>
    </r>
  </si>
  <si>
    <t>Critical Load Parameter for Arch</t>
  </si>
  <si>
    <r>
      <t>R= rise, S= span;                                                                                                        q</t>
    </r>
    <r>
      <rPr>
        <vertAlign val="subscript"/>
        <sz val="11"/>
        <rFont val="Calibri"/>
        <family val="2"/>
        <scheme val="minor"/>
      </rPr>
      <t>cr</t>
    </r>
    <r>
      <rPr>
        <sz val="11"/>
        <rFont val="Calibri"/>
        <family val="2"/>
        <scheme val="minor"/>
      </rPr>
      <t xml:space="preserve"> = critical intensity of distributed load</t>
    </r>
  </si>
  <si>
    <t>Guide to Stability Design Criteria for Metal Structures, 5th Edition</t>
  </si>
  <si>
    <t>by Theodore V. Galambos</t>
  </si>
  <si>
    <t>Note:</t>
  </si>
  <si>
    <t>h/L= R/S = rise to span ratio</t>
  </si>
  <si>
    <r>
      <t>q = q</t>
    </r>
    <r>
      <rPr>
        <i/>
        <vertAlign val="subscript"/>
        <sz val="12"/>
        <rFont val="Calibri"/>
        <family val="2"/>
        <scheme val="minor"/>
      </rPr>
      <t>cr</t>
    </r>
    <r>
      <rPr>
        <i/>
        <sz val="12"/>
        <rFont val="Calibri"/>
        <family val="2"/>
        <scheme val="minor"/>
      </rPr>
      <t xml:space="preserve"> = critical intensity of distributed load</t>
    </r>
  </si>
  <si>
    <r>
      <t>To be conservative, Critical Load Parameter values (</t>
    </r>
    <r>
      <rPr>
        <b/>
        <i/>
        <sz val="12"/>
        <rFont val="Calibri"/>
        <family val="2"/>
      </rPr>
      <t>Ƴ</t>
    </r>
    <r>
      <rPr>
        <b/>
        <i/>
        <vertAlign val="subscript"/>
        <sz val="12"/>
        <rFont val="Calibri"/>
        <family val="2"/>
      </rPr>
      <t>4</t>
    </r>
    <r>
      <rPr>
        <b/>
        <i/>
        <sz val="12"/>
        <rFont val="Calibri"/>
        <family val="2"/>
      </rPr>
      <t xml:space="preserve">) for </t>
    </r>
    <r>
      <rPr>
        <b/>
        <i/>
        <sz val="12"/>
        <rFont val="Calibri"/>
        <family val="2"/>
        <scheme val="minor"/>
      </rPr>
      <t>circular arches with three-hinged Support type are recommended to be used.</t>
    </r>
  </si>
  <si>
    <r>
      <rPr>
        <b/>
        <sz val="10"/>
        <color rgb="FFFF0000"/>
        <rFont val="Calibri"/>
        <family val="2"/>
        <scheme val="minor"/>
      </rPr>
      <t>*</t>
    </r>
    <r>
      <rPr>
        <sz val="11"/>
        <rFont val="Calibri"/>
        <family val="2"/>
        <scheme val="minor"/>
      </rPr>
      <t xml:space="preserve"> Minimum Cover Depth "H</t>
    </r>
    <r>
      <rPr>
        <vertAlign val="subscript"/>
        <sz val="11"/>
        <rFont val="Calibri"/>
        <family val="2"/>
        <scheme val="minor"/>
      </rPr>
      <t>min</t>
    </r>
    <r>
      <rPr>
        <sz val="11"/>
        <rFont val="Calibri"/>
        <family val="2"/>
        <scheme val="minor"/>
      </rPr>
      <t>" (ft) =</t>
    </r>
    <r>
      <rPr>
        <sz val="8"/>
        <rFont val="Calibri"/>
        <family val="2"/>
        <scheme val="minor"/>
      </rPr>
      <t xml:space="preserve">                                                                                      </t>
    </r>
    <r>
      <rPr>
        <sz val="10"/>
        <rFont val="Calibri"/>
        <family val="2"/>
        <scheme val="minor"/>
      </rPr>
      <t xml:space="preserve"> (fill depth used to check minimum cover requirement)</t>
    </r>
  </si>
  <si>
    <t>E.   Load Rating Factors for Ring Compression Structures:</t>
  </si>
  <si>
    <t>D.   Check Minimum Earth Cover</t>
  </si>
  <si>
    <r>
      <t xml:space="preserve">Calculate The Critical Intensity of Distributed Load </t>
    </r>
    <r>
      <rPr>
        <b/>
        <i/>
        <sz val="12"/>
        <color indexed="8"/>
        <rFont val="Calibri"/>
        <family val="2"/>
        <scheme val="minor"/>
      </rPr>
      <t>q</t>
    </r>
    <r>
      <rPr>
        <b/>
        <i/>
        <vertAlign val="subscript"/>
        <sz val="12"/>
        <color indexed="8"/>
        <rFont val="Calibri"/>
        <family val="2"/>
        <scheme val="minor"/>
      </rPr>
      <t>cr</t>
    </r>
    <r>
      <rPr>
        <b/>
        <i/>
        <vertAlign val="subscript"/>
        <sz val="9"/>
        <color indexed="8"/>
        <rFont val="Calibri"/>
        <family val="2"/>
        <scheme val="minor"/>
      </rPr>
      <t xml:space="preserve"> </t>
    </r>
  </si>
  <si>
    <r>
      <rPr>
        <b/>
        <vertAlign val="subscript"/>
        <sz val="9"/>
        <color indexed="8"/>
        <rFont val="Calibri"/>
        <family val="2"/>
        <scheme val="minor"/>
      </rPr>
      <t xml:space="preserve"> </t>
    </r>
    <r>
      <rPr>
        <b/>
        <sz val="9"/>
        <color indexed="8"/>
        <rFont val="Calibri"/>
        <family val="2"/>
        <scheme val="minor"/>
      </rPr>
      <t>(Based on "Theory of Elasticity by Timoshenko" &amp; "Guide to Stability Design Criteria for Metal Structures, 5th Edition")</t>
    </r>
  </si>
  <si>
    <t>Where,                                 E =</t>
  </si>
  <si>
    <t>I =</t>
  </si>
  <si>
    <r>
      <t>in</t>
    </r>
    <r>
      <rPr>
        <vertAlign val="superscript"/>
        <sz val="10"/>
        <rFont val="Calibri"/>
        <family val="2"/>
        <scheme val="minor"/>
      </rPr>
      <t>4</t>
    </r>
    <r>
      <rPr>
        <sz val="10"/>
        <rFont val="Calibri"/>
        <family val="2"/>
        <scheme val="minor"/>
      </rPr>
      <t>/in</t>
    </r>
  </si>
  <si>
    <r>
      <t>S</t>
    </r>
    <r>
      <rPr>
        <vertAlign val="subscript"/>
        <sz val="10"/>
        <rFont val="Calibri"/>
        <family val="2"/>
        <scheme val="minor"/>
      </rPr>
      <t>c</t>
    </r>
    <r>
      <rPr>
        <sz val="10"/>
        <rFont val="Calibri"/>
        <family val="2"/>
        <scheme val="minor"/>
      </rPr>
      <t xml:space="preserve"> (span length) =</t>
    </r>
  </si>
  <si>
    <r>
      <t xml:space="preserve">So, </t>
    </r>
    <r>
      <rPr>
        <b/>
        <i/>
        <sz val="10"/>
        <rFont val="Calibri"/>
        <family val="2"/>
      </rPr>
      <t>q</t>
    </r>
    <r>
      <rPr>
        <b/>
        <i/>
        <vertAlign val="subscript"/>
        <sz val="10"/>
        <rFont val="Calibri"/>
        <family val="2"/>
      </rPr>
      <t>cr</t>
    </r>
    <r>
      <rPr>
        <i/>
        <sz val="10"/>
        <rFont val="Calibri"/>
        <family val="2"/>
      </rPr>
      <t xml:space="preserve"> =</t>
    </r>
  </si>
  <si>
    <r>
      <t xml:space="preserve">Calculate Maxmium Distributed Load </t>
    </r>
    <r>
      <rPr>
        <b/>
        <i/>
        <sz val="12"/>
        <color indexed="8"/>
        <rFont val="Calibri"/>
        <family val="2"/>
        <scheme val="minor"/>
      </rPr>
      <t>q</t>
    </r>
    <r>
      <rPr>
        <b/>
        <i/>
        <vertAlign val="subscript"/>
        <sz val="12"/>
        <color indexed="8"/>
        <rFont val="Calibri"/>
        <family val="2"/>
        <scheme val="minor"/>
      </rPr>
      <t>max</t>
    </r>
  </si>
  <si>
    <r>
      <t>Compare</t>
    </r>
    <r>
      <rPr>
        <b/>
        <i/>
        <sz val="12"/>
        <rFont val="Calibri"/>
        <family val="2"/>
      </rPr>
      <t xml:space="preserve"> q</t>
    </r>
    <r>
      <rPr>
        <b/>
        <i/>
        <vertAlign val="subscript"/>
        <sz val="12"/>
        <rFont val="Calibri"/>
        <family val="2"/>
      </rPr>
      <t>cr</t>
    </r>
    <r>
      <rPr>
        <b/>
        <sz val="12"/>
        <rFont val="Calibri"/>
        <family val="2"/>
      </rPr>
      <t xml:space="preserve"> and </t>
    </r>
    <r>
      <rPr>
        <b/>
        <i/>
        <sz val="12"/>
        <rFont val="Calibri"/>
        <family val="2"/>
      </rPr>
      <t>q</t>
    </r>
    <r>
      <rPr>
        <b/>
        <i/>
        <vertAlign val="subscript"/>
        <sz val="12"/>
        <rFont val="Calibri"/>
        <family val="2"/>
      </rPr>
      <t>max</t>
    </r>
    <r>
      <rPr>
        <b/>
        <sz val="12"/>
        <rFont val="Calibri"/>
        <family val="2"/>
      </rPr>
      <t>:</t>
    </r>
  </si>
  <si>
    <r>
      <t>q</t>
    </r>
    <r>
      <rPr>
        <b/>
        <i/>
        <vertAlign val="subscript"/>
        <sz val="11"/>
        <rFont val="Calibri"/>
        <family val="2"/>
        <scheme val="minor"/>
      </rPr>
      <t>max</t>
    </r>
  </si>
  <si>
    <r>
      <t>q</t>
    </r>
    <r>
      <rPr>
        <b/>
        <i/>
        <vertAlign val="subscript"/>
        <sz val="11"/>
        <rFont val="Calibri"/>
        <family val="2"/>
        <scheme val="minor"/>
      </rPr>
      <t>cr</t>
    </r>
  </si>
  <si>
    <r>
      <t>AASHTO minimum cover, h</t>
    </r>
    <r>
      <rPr>
        <sz val="10"/>
        <color indexed="8"/>
        <rFont val="Calibri"/>
        <family val="2"/>
        <scheme val="minor"/>
      </rPr>
      <t xml:space="preserve"> (ft) =</t>
    </r>
  </si>
  <si>
    <r>
      <t>Modified minimum cover, h</t>
    </r>
    <r>
      <rPr>
        <b/>
        <vertAlign val="subscript"/>
        <sz val="10"/>
        <rFont val="Calibri"/>
        <family val="2"/>
        <scheme val="minor"/>
      </rPr>
      <t>mod</t>
    </r>
    <r>
      <rPr>
        <b/>
        <sz val="10"/>
        <rFont val="Calibri"/>
        <family val="2"/>
        <scheme val="minor"/>
      </rPr>
      <t xml:space="preserve"> (ft) =</t>
    </r>
  </si>
  <si>
    <r>
      <t>H</t>
    </r>
    <r>
      <rPr>
        <vertAlign val="subscript"/>
        <sz val="10"/>
        <rFont val="Calibri"/>
        <family val="2"/>
        <scheme val="minor"/>
      </rPr>
      <t>min</t>
    </r>
    <r>
      <rPr>
        <sz val="10"/>
        <rFont val="Calibri"/>
        <family val="2"/>
        <scheme val="minor"/>
      </rPr>
      <t xml:space="preserve"> (ft) =    </t>
    </r>
  </si>
  <si>
    <t>Condition Factor</t>
  </si>
  <si>
    <r>
      <rPr>
        <sz val="11"/>
        <rFont val="Calibri"/>
        <family val="2"/>
      </rPr>
      <t>ϕ</t>
    </r>
    <r>
      <rPr>
        <vertAlign val="subscript"/>
        <sz val="11"/>
        <rFont val="Calibri"/>
        <family val="2"/>
      </rPr>
      <t>c</t>
    </r>
    <r>
      <rPr>
        <sz val="11"/>
        <rFont val="Calibri"/>
        <family val="2"/>
        <scheme val="minor"/>
      </rPr>
      <t xml:space="preserve"> =</t>
    </r>
  </si>
  <si>
    <t>AASHTO MBE 2nd Edition Table 6A.4.2.3-1 &amp; C6A.4.2.3-1</t>
  </si>
  <si>
    <t>System Factor</t>
  </si>
  <si>
    <r>
      <rPr>
        <sz val="11"/>
        <rFont val="Calibri"/>
        <family val="2"/>
      </rPr>
      <t>ϕ</t>
    </r>
    <r>
      <rPr>
        <vertAlign val="subscript"/>
        <sz val="11"/>
        <rFont val="Calibri"/>
        <family val="2"/>
      </rPr>
      <t>s</t>
    </r>
    <r>
      <rPr>
        <sz val="11"/>
        <rFont val="Calibri"/>
        <family val="2"/>
        <scheme val="minor"/>
      </rPr>
      <t xml:space="preserve"> =</t>
    </r>
  </si>
  <si>
    <t>AASHTO MBE 2nd Edition Table 6A.4.2.4-1</t>
  </si>
  <si>
    <r>
      <t>ϕ</t>
    </r>
    <r>
      <rPr>
        <vertAlign val="subscript"/>
        <sz val="12"/>
        <rFont val="Calibri"/>
        <family val="2"/>
      </rPr>
      <t>c</t>
    </r>
    <r>
      <rPr>
        <sz val="12"/>
        <rFont val="Calibri"/>
        <family val="2"/>
      </rPr>
      <t xml:space="preserve"> ϕ</t>
    </r>
    <r>
      <rPr>
        <vertAlign val="subscript"/>
        <sz val="12"/>
        <rFont val="Calibri"/>
        <family val="2"/>
      </rPr>
      <t xml:space="preserve">s </t>
    </r>
    <r>
      <rPr>
        <sz val="12"/>
        <rFont val="Calibri"/>
        <family val="2"/>
      </rPr>
      <t>≥ 0.85</t>
    </r>
    <r>
      <rPr>
        <vertAlign val="subscript"/>
        <sz val="12"/>
        <rFont val="Calibri"/>
        <family val="2"/>
      </rPr>
      <t xml:space="preserve"> </t>
    </r>
    <r>
      <rPr>
        <sz val="12"/>
        <rFont val="Calibri"/>
        <family val="2"/>
      </rPr>
      <t>=</t>
    </r>
  </si>
  <si>
    <t>Condition Factor (AASHTO MBE 2nd Edition Table 6A.4.2.3-1 &amp; C6A.4.2.3-1)</t>
  </si>
  <si>
    <t>Structural Condition of Member</t>
  </si>
  <si>
    <t>Superstructure Condition Rating                 (SI&amp;A Item 59)</t>
  </si>
  <si>
    <r>
      <t>Condition Factor, ϕ</t>
    </r>
    <r>
      <rPr>
        <b/>
        <vertAlign val="subscript"/>
        <sz val="10"/>
        <rFont val="Calibri"/>
        <family val="2"/>
        <scheme val="minor"/>
      </rPr>
      <t>c</t>
    </r>
    <r>
      <rPr>
        <b/>
        <sz val="10"/>
        <rFont val="Calibri"/>
        <family val="2"/>
        <scheme val="minor"/>
      </rPr>
      <t xml:space="preserve"> =</t>
    </r>
  </si>
  <si>
    <t>Good or Satisfactory</t>
  </si>
  <si>
    <t>6 or Higher</t>
  </si>
  <si>
    <t>Fair</t>
  </si>
  <si>
    <t>Poor</t>
  </si>
  <si>
    <t>4 or Lower</t>
  </si>
  <si>
    <t>System Factor for Flexural and Axial Effects (AASHTO MBE 2nd Edition Table 6A.4.2.4-1)</t>
  </si>
  <si>
    <t>Superstructure Type</t>
  </si>
  <si>
    <r>
      <t>System Factor, ϕ</t>
    </r>
    <r>
      <rPr>
        <b/>
        <vertAlign val="subscript"/>
        <sz val="10"/>
        <rFont val="Calibri"/>
        <family val="2"/>
        <scheme val="minor"/>
      </rPr>
      <t>s</t>
    </r>
    <r>
      <rPr>
        <b/>
        <sz val="10"/>
        <rFont val="Calibri"/>
        <family val="2"/>
        <scheme val="minor"/>
      </rPr>
      <t xml:space="preserve"> =</t>
    </r>
  </si>
  <si>
    <t>Welded Members in Two-Girder/Truss/Arch Bridges</t>
  </si>
  <si>
    <t>Riveted Members in Two-Girder/Truss/Arch Bridges</t>
  </si>
  <si>
    <t>Multiple Eyebar Members in Truss Bridges</t>
  </si>
  <si>
    <r>
      <t xml:space="preserve">Three-Girder Bridges with Girder Spacing </t>
    </r>
    <r>
      <rPr>
        <sz val="10"/>
        <rFont val="Calibri"/>
        <family val="2"/>
      </rPr>
      <t xml:space="preserve">≤ </t>
    </r>
    <r>
      <rPr>
        <sz val="10"/>
        <rFont val="Arial"/>
        <family val="2"/>
      </rPr>
      <t>6 ft</t>
    </r>
  </si>
  <si>
    <r>
      <t xml:space="preserve">Four-Girder Bridges with Girder Spacing </t>
    </r>
    <r>
      <rPr>
        <sz val="10"/>
        <rFont val="Calibri"/>
        <family val="2"/>
      </rPr>
      <t>≤</t>
    </r>
    <r>
      <rPr>
        <sz val="9"/>
        <rFont val="Arial"/>
        <family val="2"/>
      </rPr>
      <t xml:space="preserve"> 4 ft</t>
    </r>
  </si>
  <si>
    <t>All Other Girder Bridges and Slab Bridges</t>
  </si>
  <si>
    <t>Floorbeams with Spacing &gt; 12 ft and Noncontinuous Struingers</t>
  </si>
  <si>
    <t>Redundant Stringer Subsystems between Floorbeams</t>
  </si>
  <si>
    <t>AASHTO LRFD 12.5.4. &amp; 1.3.4</t>
  </si>
  <si>
    <r>
      <t>ϕ</t>
    </r>
    <r>
      <rPr>
        <b/>
        <vertAlign val="subscript"/>
        <sz val="10"/>
        <rFont val="Calibri"/>
        <family val="2"/>
        <scheme val="minor"/>
      </rPr>
      <t>c</t>
    </r>
    <r>
      <rPr>
        <b/>
        <sz val="10"/>
        <rFont val="Calibri"/>
        <family val="2"/>
        <scheme val="minor"/>
      </rPr>
      <t xml:space="preserve"> ϕ</t>
    </r>
    <r>
      <rPr>
        <b/>
        <vertAlign val="subscript"/>
        <sz val="10"/>
        <rFont val="Calibri"/>
        <family val="2"/>
        <scheme val="minor"/>
      </rPr>
      <t xml:space="preserve">s </t>
    </r>
  </si>
  <si>
    <t>Traffic Volume (one direction)</t>
  </si>
  <si>
    <t>Load Factor</t>
  </si>
  <si>
    <t>Unknown</t>
  </si>
  <si>
    <r>
      <t xml:space="preserve">Recent ADTT </t>
    </r>
    <r>
      <rPr>
        <b/>
        <sz val="8"/>
        <rFont val="Calibri"/>
        <family val="2"/>
      </rPr>
      <t>≥ 5000</t>
    </r>
  </si>
  <si>
    <r>
      <t xml:space="preserve">Recent ADTT </t>
    </r>
    <r>
      <rPr>
        <b/>
        <sz val="8"/>
        <rFont val="Calibri"/>
        <family val="2"/>
      </rPr>
      <t>≤ 1000</t>
    </r>
  </si>
  <si>
    <r>
      <t>interpret or use the bigger value when 1000 &lt;</t>
    </r>
    <r>
      <rPr>
        <sz val="8"/>
        <rFont val="Calibri"/>
        <family val="2"/>
      </rPr>
      <t xml:space="preserve"> </t>
    </r>
    <r>
      <rPr>
        <sz val="8"/>
        <rFont val="Calibri"/>
        <family val="2"/>
        <scheme val="minor"/>
      </rPr>
      <t xml:space="preserve">ADTT </t>
    </r>
    <r>
      <rPr>
        <sz val="8"/>
        <rFont val="Calibri"/>
        <family val="2"/>
      </rPr>
      <t>&lt; 5000</t>
    </r>
  </si>
  <si>
    <t>Load Rating Summary - Ohio Legal Trucks</t>
  </si>
  <si>
    <t>Loading Type</t>
  </si>
  <si>
    <t>GVW (Tons)</t>
  </si>
  <si>
    <t>Rating Factor - RF</t>
  </si>
  <si>
    <t>Ohio Legal - 2F1</t>
  </si>
  <si>
    <t>Ohio Legal - 3F1</t>
  </si>
  <si>
    <t>Ohio Legal - 4F1</t>
  </si>
  <si>
    <t>Ohio Legal - 5C1</t>
  </si>
  <si>
    <t>Load Rating Summary - Specialized Hauling Vehicles (SHV)</t>
  </si>
  <si>
    <t>SU4</t>
  </si>
  <si>
    <t>SU5</t>
  </si>
  <si>
    <t>SU6</t>
  </si>
  <si>
    <t>SU7</t>
  </si>
  <si>
    <r>
      <t>input the value obtained from the worksheet "</t>
    </r>
    <r>
      <rPr>
        <b/>
        <sz val="8"/>
        <rFont val="Calibri"/>
        <family val="2"/>
        <scheme val="minor"/>
      </rPr>
      <t>Critical Load Parameter Table</t>
    </r>
    <r>
      <rPr>
        <sz val="8"/>
        <rFont val="Calibri"/>
        <family val="2"/>
        <scheme val="minor"/>
      </rPr>
      <t>" based on rise to span ratio and support type,</t>
    </r>
    <r>
      <rPr>
        <b/>
        <sz val="8"/>
        <color rgb="FFFF0000"/>
        <rFont val="Calibri"/>
        <family val="2"/>
        <scheme val="minor"/>
      </rPr>
      <t xml:space="preserve"> when R/S </t>
    </r>
    <r>
      <rPr>
        <b/>
        <sz val="8"/>
        <color rgb="FFFF0000"/>
        <rFont val="Calibri"/>
        <family val="2"/>
      </rPr>
      <t>≥</t>
    </r>
    <r>
      <rPr>
        <b/>
        <sz val="8"/>
        <color rgb="FFFF0000"/>
        <rFont val="Calibri"/>
        <family val="2"/>
        <scheme val="minor"/>
      </rPr>
      <t>0.5, input the value for R/S = 0.5</t>
    </r>
  </si>
  <si>
    <t>PID Number:</t>
  </si>
  <si>
    <t>Project Number:</t>
  </si>
  <si>
    <t>Project No:</t>
  </si>
  <si>
    <r>
      <t xml:space="preserve">Buckling Strength Reduction Factor, f </t>
    </r>
    <r>
      <rPr>
        <b/>
        <sz val="8"/>
        <color rgb="FFFF0000"/>
        <rFont val="Calibri"/>
        <family val="2"/>
        <scheme val="minor"/>
      </rPr>
      <t>*</t>
    </r>
    <r>
      <rPr>
        <sz val="8"/>
        <rFont val="Calibri"/>
        <family val="2"/>
        <scheme val="minor"/>
      </rPr>
      <t xml:space="preserve"> =</t>
    </r>
  </si>
  <si>
    <r>
      <t xml:space="preserve">Based on </t>
    </r>
    <r>
      <rPr>
        <b/>
        <sz val="10"/>
        <rFont val="Calibri"/>
        <family val="2"/>
        <scheme val="minor"/>
      </rPr>
      <t>AASHTO LRFD 3.6.1.1.2-1:</t>
    </r>
  </si>
  <si>
    <r>
      <t xml:space="preserve">Multiple Presence Factors,   </t>
    </r>
    <r>
      <rPr>
        <b/>
        <sz val="10"/>
        <rFont val="Calibri"/>
        <family val="2"/>
        <scheme val="minor"/>
      </rPr>
      <t>m</t>
    </r>
    <r>
      <rPr>
        <sz val="10"/>
        <rFont val="Calibri"/>
        <family val="2"/>
        <scheme val="minor"/>
      </rPr>
      <t xml:space="preserve"> =</t>
    </r>
  </si>
  <si>
    <t>← one lane loaded assumed here</t>
  </si>
  <si>
    <t>ADTT =</t>
  </si>
  <si>
    <t>See AASHTO LRFD C3.6.1.1.2</t>
  </si>
  <si>
    <r>
      <t xml:space="preserve">adjust </t>
    </r>
    <r>
      <rPr>
        <b/>
        <sz val="10"/>
        <rFont val="Calibri"/>
        <family val="2"/>
        <scheme val="minor"/>
      </rPr>
      <t>m</t>
    </r>
    <r>
      <rPr>
        <sz val="10"/>
        <rFont val="Calibri"/>
        <family val="2"/>
        <scheme val="minor"/>
      </rPr>
      <t xml:space="preserve"> based on ADTT =</t>
    </r>
  </si>
  <si>
    <r>
      <t xml:space="preserve">after ADTT adjustment, </t>
    </r>
    <r>
      <rPr>
        <b/>
        <sz val="10"/>
        <rFont val="Calibri"/>
        <family val="2"/>
        <scheme val="minor"/>
      </rPr>
      <t>m</t>
    </r>
    <r>
      <rPr>
        <b/>
        <vertAlign val="subscript"/>
        <sz val="10"/>
        <rFont val="Calibri"/>
        <family val="2"/>
        <scheme val="minor"/>
      </rPr>
      <t>adj</t>
    </r>
    <r>
      <rPr>
        <sz val="10"/>
        <rFont val="Calibri"/>
        <family val="2"/>
        <scheme val="minor"/>
      </rPr>
      <t xml:space="preserve"> =</t>
    </r>
  </si>
  <si>
    <r>
      <t xml:space="preserve">P </t>
    </r>
    <r>
      <rPr>
        <vertAlign val="subscript"/>
        <sz val="10"/>
        <rFont val="Calibri"/>
        <family val="2"/>
        <scheme val="minor"/>
      </rPr>
      <t>"heavy axle" wheel load</t>
    </r>
    <r>
      <rPr>
        <sz val="10"/>
        <rFont val="Calibri"/>
        <family val="2"/>
        <scheme val="minor"/>
      </rPr>
      <t xml:space="preserve"> </t>
    </r>
    <r>
      <rPr>
        <vertAlign val="subscript"/>
        <sz val="10"/>
        <rFont val="Calibri"/>
        <family val="2"/>
        <scheme val="minor"/>
      </rPr>
      <t>with</t>
    </r>
    <r>
      <rPr>
        <sz val="10"/>
        <rFont val="Calibri"/>
        <family val="2"/>
        <scheme val="minor"/>
      </rPr>
      <t xml:space="preserve"> m</t>
    </r>
    <r>
      <rPr>
        <vertAlign val="subscript"/>
        <sz val="10"/>
        <rFont val="Calibri"/>
        <family val="2"/>
        <scheme val="minor"/>
      </rPr>
      <t>adj</t>
    </r>
    <r>
      <rPr>
        <sz val="10"/>
        <rFont val="Calibri"/>
        <family val="2"/>
        <scheme val="minor"/>
      </rPr>
      <t xml:space="preserve"> (kips) =</t>
    </r>
  </si>
  <si>
    <r>
      <rPr>
        <b/>
        <sz val="10"/>
        <rFont val="Calibri"/>
        <family val="2"/>
        <scheme val="minor"/>
      </rPr>
      <t>P</t>
    </r>
    <r>
      <rPr>
        <b/>
        <vertAlign val="subscript"/>
        <sz val="10"/>
        <rFont val="Calibri"/>
        <family val="2"/>
        <scheme val="minor"/>
      </rPr>
      <t>heavy</t>
    </r>
    <r>
      <rPr>
        <b/>
        <sz val="10"/>
        <rFont val="Calibri"/>
        <family val="2"/>
        <scheme val="minor"/>
      </rPr>
      <t xml:space="preserve"> </t>
    </r>
    <r>
      <rPr>
        <b/>
        <vertAlign val="subscript"/>
        <sz val="10"/>
        <rFont val="Calibri"/>
        <family val="2"/>
        <scheme val="minor"/>
      </rPr>
      <t xml:space="preserve">(1+ </t>
    </r>
    <r>
      <rPr>
        <b/>
        <vertAlign val="subscript"/>
        <sz val="10"/>
        <rFont val="Times New Roman"/>
        <family val="1"/>
      </rPr>
      <t>IM</t>
    </r>
    <r>
      <rPr>
        <b/>
        <vertAlign val="subscript"/>
        <sz val="10"/>
        <rFont val="Calibri"/>
        <family val="2"/>
        <scheme val="minor"/>
      </rPr>
      <t xml:space="preserve">) &amp; </t>
    </r>
    <r>
      <rPr>
        <b/>
        <sz val="10"/>
        <rFont val="Calibri"/>
        <family val="2"/>
        <scheme val="minor"/>
      </rPr>
      <t>m</t>
    </r>
    <r>
      <rPr>
        <b/>
        <vertAlign val="subscript"/>
        <sz val="10"/>
        <rFont val="Calibri"/>
        <family val="2"/>
        <scheme val="minor"/>
      </rPr>
      <t>adj</t>
    </r>
    <r>
      <rPr>
        <sz val="10"/>
        <rFont val="Calibri"/>
        <family val="2"/>
        <scheme val="minor"/>
      </rPr>
      <t xml:space="preserve"> </t>
    </r>
    <r>
      <rPr>
        <sz val="8"/>
        <rFont val="Calibri"/>
        <family val="2"/>
        <scheme val="minor"/>
      </rPr>
      <t xml:space="preserve">(kips) </t>
    </r>
    <r>
      <rPr>
        <sz val="10"/>
        <rFont val="Calibri"/>
        <family val="2"/>
        <scheme val="minor"/>
      </rPr>
      <t>=</t>
    </r>
  </si>
  <si>
    <r>
      <rPr>
        <b/>
        <sz val="10"/>
        <rFont val="Calibri"/>
        <family val="2"/>
        <scheme val="minor"/>
      </rPr>
      <t>P</t>
    </r>
    <r>
      <rPr>
        <b/>
        <vertAlign val="subscript"/>
        <sz val="10"/>
        <rFont val="Calibri"/>
        <family val="2"/>
        <scheme val="minor"/>
      </rPr>
      <t>2</t>
    </r>
    <r>
      <rPr>
        <b/>
        <sz val="10"/>
        <rFont val="Calibri"/>
        <family val="2"/>
        <scheme val="minor"/>
      </rPr>
      <t xml:space="preserve"> </t>
    </r>
    <r>
      <rPr>
        <b/>
        <vertAlign val="subscript"/>
        <sz val="10"/>
        <rFont val="Calibri"/>
        <family val="2"/>
        <scheme val="minor"/>
      </rPr>
      <t xml:space="preserve">(1+ </t>
    </r>
    <r>
      <rPr>
        <b/>
        <vertAlign val="subscript"/>
        <sz val="10"/>
        <rFont val="Times New Roman"/>
        <family val="1"/>
      </rPr>
      <t>IM</t>
    </r>
    <r>
      <rPr>
        <b/>
        <vertAlign val="subscript"/>
        <sz val="10"/>
        <rFont val="Calibri"/>
        <family val="2"/>
        <scheme val="minor"/>
      </rPr>
      <t>)</t>
    </r>
    <r>
      <rPr>
        <b/>
        <sz val="10"/>
        <rFont val="Calibri"/>
        <family val="2"/>
        <scheme val="minor"/>
      </rPr>
      <t xml:space="preserve"> </t>
    </r>
    <r>
      <rPr>
        <b/>
        <vertAlign val="subscript"/>
        <sz val="10"/>
        <rFont val="Calibri"/>
        <family val="2"/>
        <scheme val="minor"/>
      </rPr>
      <t>&amp;</t>
    </r>
    <r>
      <rPr>
        <b/>
        <sz val="10"/>
        <rFont val="Calibri"/>
        <family val="2"/>
        <scheme val="minor"/>
      </rPr>
      <t xml:space="preserve"> m</t>
    </r>
    <r>
      <rPr>
        <b/>
        <vertAlign val="subscript"/>
        <sz val="10"/>
        <rFont val="Calibri"/>
        <family val="2"/>
        <scheme val="minor"/>
      </rPr>
      <t>adj</t>
    </r>
    <r>
      <rPr>
        <sz val="10"/>
        <rFont val="Calibri"/>
        <family val="2"/>
        <scheme val="minor"/>
      </rPr>
      <t xml:space="preserve"> </t>
    </r>
    <r>
      <rPr>
        <sz val="8"/>
        <rFont val="Calibri"/>
        <family val="2"/>
        <scheme val="minor"/>
      </rPr>
      <t xml:space="preserve">(kips) </t>
    </r>
    <r>
      <rPr>
        <sz val="10"/>
        <rFont val="Calibri"/>
        <family val="2"/>
        <scheme val="minor"/>
      </rPr>
      <t>=</t>
    </r>
  </si>
  <si>
    <r>
      <rPr>
        <b/>
        <sz val="10"/>
        <rFont val="Calibri"/>
        <family val="2"/>
        <scheme val="minor"/>
      </rPr>
      <t>P</t>
    </r>
    <r>
      <rPr>
        <b/>
        <vertAlign val="subscript"/>
        <sz val="10"/>
        <rFont val="Calibri"/>
        <family val="2"/>
        <scheme val="minor"/>
      </rPr>
      <t>3</t>
    </r>
    <r>
      <rPr>
        <b/>
        <sz val="10"/>
        <rFont val="Calibri"/>
        <family val="2"/>
        <scheme val="minor"/>
      </rPr>
      <t xml:space="preserve"> </t>
    </r>
    <r>
      <rPr>
        <b/>
        <vertAlign val="subscript"/>
        <sz val="10"/>
        <rFont val="Calibri"/>
        <family val="2"/>
        <scheme val="minor"/>
      </rPr>
      <t xml:space="preserve">(1+ </t>
    </r>
    <r>
      <rPr>
        <b/>
        <vertAlign val="subscript"/>
        <sz val="10"/>
        <rFont val="Times New Roman"/>
        <family val="1"/>
      </rPr>
      <t>IM</t>
    </r>
    <r>
      <rPr>
        <b/>
        <vertAlign val="subscript"/>
        <sz val="10"/>
        <rFont val="Calibri"/>
        <family val="2"/>
        <scheme val="minor"/>
      </rPr>
      <t>)</t>
    </r>
    <r>
      <rPr>
        <b/>
        <sz val="10"/>
        <rFont val="Calibri"/>
        <family val="2"/>
        <scheme val="minor"/>
      </rPr>
      <t xml:space="preserve"> </t>
    </r>
    <r>
      <rPr>
        <b/>
        <vertAlign val="subscript"/>
        <sz val="10"/>
        <rFont val="Calibri"/>
        <family val="2"/>
        <scheme val="minor"/>
      </rPr>
      <t>&amp;</t>
    </r>
    <r>
      <rPr>
        <b/>
        <sz val="10"/>
        <rFont val="Calibri"/>
        <family val="2"/>
        <scheme val="minor"/>
      </rPr>
      <t xml:space="preserve"> m</t>
    </r>
    <r>
      <rPr>
        <b/>
        <vertAlign val="subscript"/>
        <sz val="10"/>
        <rFont val="Calibri"/>
        <family val="2"/>
        <scheme val="minor"/>
      </rPr>
      <t>adj</t>
    </r>
    <r>
      <rPr>
        <sz val="10"/>
        <rFont val="Calibri"/>
        <family val="2"/>
        <scheme val="minor"/>
      </rPr>
      <t xml:space="preserve"> </t>
    </r>
    <r>
      <rPr>
        <sz val="8"/>
        <rFont val="Calibri"/>
        <family val="2"/>
        <scheme val="minor"/>
      </rPr>
      <t xml:space="preserve">(kips) </t>
    </r>
    <r>
      <rPr>
        <sz val="10"/>
        <rFont val="Calibri"/>
        <family val="2"/>
        <scheme val="minor"/>
      </rPr>
      <t>=</t>
    </r>
  </si>
  <si>
    <r>
      <rPr>
        <b/>
        <sz val="10"/>
        <rFont val="Calibri"/>
        <family val="2"/>
        <scheme val="minor"/>
      </rPr>
      <t xml:space="preserve"> P</t>
    </r>
    <r>
      <rPr>
        <b/>
        <vertAlign val="subscript"/>
        <sz val="10"/>
        <rFont val="Calibri"/>
        <family val="2"/>
        <scheme val="minor"/>
      </rPr>
      <t xml:space="preserve"> (1+ IM)</t>
    </r>
    <r>
      <rPr>
        <sz val="10"/>
        <rFont val="Calibri"/>
        <family val="2"/>
        <scheme val="minor"/>
      </rPr>
      <t xml:space="preserve"> </t>
    </r>
    <r>
      <rPr>
        <b/>
        <vertAlign val="subscript"/>
        <sz val="10"/>
        <rFont val="Calibri"/>
        <family val="2"/>
        <scheme val="minor"/>
      </rPr>
      <t xml:space="preserve">&amp; </t>
    </r>
    <r>
      <rPr>
        <b/>
        <sz val="10"/>
        <rFont val="Calibri"/>
        <family val="2"/>
        <scheme val="minor"/>
      </rPr>
      <t>m</t>
    </r>
    <r>
      <rPr>
        <b/>
        <vertAlign val="subscript"/>
        <sz val="10"/>
        <rFont val="Calibri"/>
        <family val="2"/>
        <scheme val="minor"/>
      </rPr>
      <t>adj</t>
    </r>
    <r>
      <rPr>
        <sz val="10"/>
        <rFont val="Calibri"/>
        <family val="2"/>
        <scheme val="minor"/>
      </rPr>
      <t xml:space="preserve"> = axle wheel loads plus dynamic load allowance and adjusted multiple presence factor.</t>
    </r>
  </si>
  <si>
    <t xml:space="preserve">Where, </t>
  </si>
  <si>
    <r>
      <t>φ</t>
    </r>
    <r>
      <rPr>
        <vertAlign val="subscript"/>
        <sz val="9"/>
        <rFont val="Calibri"/>
        <family val="2"/>
        <scheme val="minor"/>
      </rPr>
      <t>2</t>
    </r>
    <r>
      <rPr>
        <sz val="9"/>
        <rFont val="Calibri"/>
        <family val="2"/>
        <scheme val="minor"/>
      </rPr>
      <t xml:space="preserve"> = Resistance Factor for </t>
    </r>
    <r>
      <rPr>
        <b/>
        <sz val="9"/>
        <rFont val="Calibri"/>
        <family val="2"/>
      </rPr>
      <t xml:space="preserve">seam strength </t>
    </r>
    <r>
      <rPr>
        <sz val="9"/>
        <rFont val="Calibri"/>
        <family val="2"/>
      </rPr>
      <t>(Table 12.5.5-1)</t>
    </r>
  </si>
  <si>
    <t>SU4, SU5, SU6, SU7</t>
  </si>
  <si>
    <t>estimate the ADTT or input ADTT=5000 if unknown, do not leave blank</t>
  </si>
  <si>
    <t>Legal Weight (Tons)</t>
  </si>
  <si>
    <t>Load Rating Summary - EMERGENCY VEHICLES (EV)</t>
  </si>
  <si>
    <t>EV2</t>
  </si>
  <si>
    <t>EV3</t>
  </si>
  <si>
    <r>
      <rPr>
        <b/>
        <sz val="11"/>
        <rFont val="Symbol"/>
        <family val="1"/>
        <charset val="2"/>
      </rPr>
      <t>g</t>
    </r>
    <r>
      <rPr>
        <b/>
        <sz val="11"/>
        <rFont val="Calibri"/>
        <family val="2"/>
      </rPr>
      <t xml:space="preserve"> </t>
    </r>
    <r>
      <rPr>
        <b/>
        <vertAlign val="subscript"/>
        <sz val="11"/>
        <rFont val="Calibri"/>
        <family val="2"/>
        <scheme val="minor"/>
      </rPr>
      <t>LL</t>
    </r>
    <r>
      <rPr>
        <vertAlign val="subscript"/>
        <sz val="10"/>
        <rFont val="Calibri"/>
        <family val="2"/>
      </rPr>
      <t>(Ohio Legal &amp; SHV, EV - Operating - based on ADTT)</t>
    </r>
    <r>
      <rPr>
        <sz val="11"/>
        <rFont val="Calibri"/>
        <family val="2"/>
      </rPr>
      <t xml:space="preserve"> =</t>
    </r>
  </si>
  <si>
    <t>LRFR Load Factors for Legal Loads &amp; SHV, EV based on MBE Table 6A.4.4.2.3a-1 &amp; Table 6A.4.4.2.3b-1</t>
  </si>
  <si>
    <r>
      <t>W</t>
    </r>
    <r>
      <rPr>
        <vertAlign val="subscript"/>
        <sz val="10"/>
        <rFont val="Calibri"/>
        <family val="2"/>
        <scheme val="minor"/>
      </rPr>
      <t>D</t>
    </r>
    <r>
      <rPr>
        <sz val="10"/>
        <rFont val="Calibri"/>
        <family val="2"/>
        <scheme val="minor"/>
      </rPr>
      <t xml:space="preserve"> = W</t>
    </r>
    <r>
      <rPr>
        <vertAlign val="subscript"/>
        <sz val="10"/>
        <rFont val="Calibri"/>
        <family val="2"/>
        <scheme val="minor"/>
      </rPr>
      <t>T</t>
    </r>
    <r>
      <rPr>
        <sz val="10"/>
        <rFont val="Calibri"/>
        <family val="2"/>
        <scheme val="minor"/>
      </rPr>
      <t xml:space="preserve"> + φ</t>
    </r>
    <r>
      <rPr>
        <vertAlign val="subscript"/>
        <sz val="10"/>
        <rFont val="Calibri"/>
        <family val="2"/>
        <scheme val="minor"/>
      </rPr>
      <t>E</t>
    </r>
    <r>
      <rPr>
        <sz val="10"/>
        <rFont val="Calibri"/>
        <family val="2"/>
        <scheme val="minor"/>
      </rPr>
      <t>H =</t>
    </r>
  </si>
  <si>
    <r>
      <t>L</t>
    </r>
    <r>
      <rPr>
        <vertAlign val="subscript"/>
        <sz val="10"/>
        <rFont val="Calibri"/>
        <family val="2"/>
        <scheme val="minor"/>
      </rPr>
      <t>D</t>
    </r>
    <r>
      <rPr>
        <sz val="10"/>
        <rFont val="Calibri"/>
        <family val="2"/>
        <scheme val="minor"/>
      </rPr>
      <t xml:space="preserve"> = L</t>
    </r>
    <r>
      <rPr>
        <vertAlign val="subscript"/>
        <sz val="10"/>
        <rFont val="Calibri"/>
        <family val="2"/>
        <scheme val="minor"/>
      </rPr>
      <t>T</t>
    </r>
    <r>
      <rPr>
        <sz val="10"/>
        <rFont val="Calibri"/>
        <family val="2"/>
        <scheme val="minor"/>
      </rPr>
      <t xml:space="preserve"> + φ</t>
    </r>
    <r>
      <rPr>
        <vertAlign val="subscript"/>
        <sz val="10"/>
        <rFont val="Calibri"/>
        <family val="2"/>
        <scheme val="minor"/>
      </rPr>
      <t>E</t>
    </r>
    <r>
      <rPr>
        <sz val="10"/>
        <rFont val="Calibri"/>
        <family val="2"/>
        <scheme val="minor"/>
      </rPr>
      <t>H =</t>
    </r>
  </si>
  <si>
    <r>
      <t>Heavy Axle Load</t>
    </r>
    <r>
      <rPr>
        <sz val="9"/>
        <rFont val="Calibri"/>
        <family val="2"/>
        <scheme val="minor"/>
      </rPr>
      <t xml:space="preserve"> (kips) =</t>
    </r>
  </si>
  <si>
    <r>
      <t>* One lane loaded.  Longitudinal pressure overlaps are considered for two adjacent heavy axle loads when the S</t>
    </r>
    <r>
      <rPr>
        <b/>
        <vertAlign val="subscript"/>
        <sz val="11"/>
        <color rgb="FFFF0000"/>
        <rFont val="Calibri"/>
        <family val="2"/>
        <scheme val="minor"/>
      </rPr>
      <t>axle</t>
    </r>
    <r>
      <rPr>
        <b/>
        <sz val="11"/>
        <color rgb="FFFF0000"/>
        <rFont val="Calibri"/>
        <family val="2"/>
        <scheme val="minor"/>
      </rPr>
      <t xml:space="preserve"> is ≤ 4 feet. If the span length is long enough for more axles of loads overlapping at crown location, hand calculations have to be done to consider the additional loads and P</t>
    </r>
    <r>
      <rPr>
        <b/>
        <vertAlign val="subscript"/>
        <sz val="11"/>
        <color rgb="FFFF0000"/>
        <rFont val="Calibri"/>
        <family val="2"/>
        <scheme val="minor"/>
      </rPr>
      <t>D</t>
    </r>
    <r>
      <rPr>
        <b/>
        <sz val="11"/>
        <color rgb="FFFF0000"/>
        <rFont val="Calibri"/>
        <family val="2"/>
        <scheme val="minor"/>
      </rPr>
      <t xml:space="preserve"> &amp; A</t>
    </r>
    <r>
      <rPr>
        <b/>
        <vertAlign val="subscript"/>
        <sz val="11"/>
        <color rgb="FFFF0000"/>
        <rFont val="Calibri"/>
        <family val="2"/>
        <scheme val="minor"/>
      </rPr>
      <t>D</t>
    </r>
    <r>
      <rPr>
        <b/>
        <sz val="11"/>
        <color rgb="FFFF0000"/>
        <rFont val="Calibri"/>
        <family val="2"/>
        <scheme val="minor"/>
      </rPr>
      <t xml:space="preserve"> values have to be overwritten for those cases.</t>
    </r>
  </si>
  <si>
    <r>
      <t xml:space="preserve">               b. </t>
    </r>
    <r>
      <rPr>
        <sz val="11"/>
        <rFont val="Calibri"/>
        <family val="2"/>
        <scheme val="minor"/>
      </rPr>
      <t>RF</t>
    </r>
    <r>
      <rPr>
        <vertAlign val="subscript"/>
        <sz val="11"/>
        <rFont val="Calibri"/>
        <family val="2"/>
        <scheme val="minor"/>
      </rPr>
      <t>i</t>
    </r>
    <r>
      <rPr>
        <sz val="11"/>
        <rFont val="Calibri"/>
        <family val="2"/>
        <scheme val="minor"/>
      </rPr>
      <t xml:space="preserve"> based on minimum cover requirements (1.3 is the Ohio DOT modified safety factor, to avoid RF</t>
    </r>
    <r>
      <rPr>
        <vertAlign val="subscript"/>
        <sz val="11"/>
        <rFont val="Calibri"/>
        <family val="2"/>
        <scheme val="minor"/>
      </rPr>
      <t>(Inventory)</t>
    </r>
    <r>
      <rPr>
        <sz val="11"/>
        <rFont val="Calibri"/>
        <family val="2"/>
        <scheme val="minor"/>
      </rPr>
      <t xml:space="preserve"> = RF</t>
    </r>
    <r>
      <rPr>
        <vertAlign val="subscript"/>
        <sz val="11"/>
        <rFont val="Calibri"/>
        <family val="2"/>
        <scheme val="minor"/>
      </rPr>
      <t>(Operating)</t>
    </r>
    <r>
      <rPr>
        <sz val="11"/>
        <rFont val="Calibri"/>
        <family val="2"/>
        <scheme val="minor"/>
      </rPr>
      <t xml:space="preserve"> )</t>
    </r>
  </si>
  <si>
    <r>
      <t>RF</t>
    </r>
    <r>
      <rPr>
        <i/>
        <vertAlign val="subscript"/>
        <sz val="11"/>
        <rFont val="Calibri"/>
        <family val="2"/>
        <scheme val="minor"/>
      </rPr>
      <t>i-c</t>
    </r>
    <r>
      <rPr>
        <i/>
        <sz val="11"/>
        <rFont val="Calibri"/>
        <family val="2"/>
        <scheme val="minor"/>
      </rPr>
      <t xml:space="preserve"> = RF</t>
    </r>
    <r>
      <rPr>
        <i/>
        <vertAlign val="subscript"/>
        <sz val="11"/>
        <rFont val="Calibri"/>
        <family val="2"/>
        <scheme val="minor"/>
      </rPr>
      <t>o-c</t>
    </r>
    <r>
      <rPr>
        <i/>
        <sz val="11"/>
        <rFont val="Calibri"/>
        <family val="2"/>
        <scheme val="minor"/>
      </rPr>
      <t>/1.3</t>
    </r>
  </si>
  <si>
    <t>This spreadsheet was provided by Ohio Department of Transportation on March 17, 2023.  End user is responsible for input values and for verifying results obtained from the use of this spreadsheet.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</si>
</sst>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0.0"/>
    <numFmt numFmtId="165" formatCode="0.000"/>
    <numFmt numFmtId="166" formatCode="0000000"/>
    <numFmt numFmtId="167" formatCode="0.0000"/>
    <numFmt numFmtId="168" formatCode="&quot;#&quot;0"/>
    <numFmt numFmtId="169" formatCode="#\ ??/16"/>
    <numFmt numFmtId="170" formatCode="#\ ?/2"/>
    <numFmt numFmtId="171" formatCode="&quot;HS&quot;0.0"/>
    <numFmt numFmtId="172" formatCode="#,##0.0"/>
    <numFmt numFmtId="173" formatCode="0.00\ \ \f\t"/>
  </numFmts>
  <fonts count="141" x14ac:knownFonts="1">
    <font>
      <sz val="10"/>
      <name val="Arial"/>
      <family val="2"/>
    </font>
    <font>
      <sz val="11"/>
      <color theme="1"/>
      <name val="Calibri"/>
      <family val="2"/>
      <scheme val="minor"/>
    </font>
    <font>
      <sz val="10"/>
      <name val="Arial"/>
      <family val="2"/>
    </font>
    <font>
      <sz val="8"/>
      <name val="Arial"/>
      <family val="2"/>
    </font>
    <font>
      <sz val="14"/>
      <name val="Arial"/>
      <family val="2"/>
    </font>
    <font>
      <sz val="10"/>
      <color indexed="8"/>
      <name val="Arial"/>
      <family val="2"/>
    </font>
    <font>
      <sz val="11"/>
      <name val="Times New Roman"/>
      <family val="1"/>
    </font>
    <font>
      <sz val="10"/>
      <name val="Times New Roman"/>
      <family val="1"/>
    </font>
    <font>
      <sz val="14"/>
      <name val="Times New Roman"/>
      <family val="1"/>
    </font>
    <font>
      <i/>
      <sz val="10"/>
      <name val="Times New Roman"/>
      <family val="1"/>
    </font>
    <font>
      <b/>
      <sz val="14"/>
      <color indexed="12"/>
      <name val="Arial"/>
      <family val="2"/>
    </font>
    <font>
      <b/>
      <i/>
      <sz val="10"/>
      <name val="Times New Roman"/>
      <family val="1"/>
    </font>
    <font>
      <b/>
      <sz val="14"/>
      <name val="Times New Roman"/>
      <family val="1"/>
    </font>
    <font>
      <sz val="11"/>
      <name val="Calibri"/>
      <family val="2"/>
    </font>
    <font>
      <sz val="10"/>
      <name val="Arial"/>
      <family val="2"/>
    </font>
    <font>
      <sz val="9"/>
      <name val="Calibri"/>
      <family val="2"/>
    </font>
    <font>
      <sz val="10"/>
      <name val="Calibri"/>
      <family val="2"/>
    </font>
    <font>
      <b/>
      <sz val="12"/>
      <name val="Calibri"/>
      <family val="2"/>
    </font>
    <font>
      <b/>
      <sz val="14"/>
      <name val="Calibri"/>
      <family val="2"/>
    </font>
    <font>
      <sz val="12"/>
      <name val="Calibri"/>
      <family val="2"/>
    </font>
    <font>
      <b/>
      <sz val="9"/>
      <name val="Calibri"/>
      <family val="2"/>
    </font>
    <font>
      <b/>
      <sz val="10"/>
      <name val="Calibri"/>
      <family val="2"/>
    </font>
    <font>
      <vertAlign val="subscript"/>
      <sz val="10"/>
      <name val="Calibri"/>
      <family val="2"/>
    </font>
    <font>
      <vertAlign val="superscript"/>
      <sz val="10"/>
      <name val="Calibri"/>
      <family val="2"/>
    </font>
    <font>
      <b/>
      <sz val="14"/>
      <color rgb="FF0000FF"/>
      <name val="Times New Roman"/>
      <family val="1"/>
    </font>
    <font>
      <b/>
      <u/>
      <sz val="20"/>
      <color rgb="FFC00000"/>
      <name val="Arial"/>
      <family val="2"/>
    </font>
    <font>
      <sz val="9"/>
      <name val="Calibri"/>
      <family val="2"/>
      <scheme val="minor"/>
    </font>
    <font>
      <sz val="9"/>
      <color rgb="FFFF0000"/>
      <name val="Calibri"/>
      <family val="2"/>
      <scheme val="minor"/>
    </font>
    <font>
      <b/>
      <sz val="14"/>
      <color indexed="8"/>
      <name val="Calibri"/>
      <family val="2"/>
      <scheme val="minor"/>
    </font>
    <font>
      <sz val="10"/>
      <name val="Calibri"/>
      <family val="2"/>
      <scheme val="minor"/>
    </font>
    <font>
      <i/>
      <sz val="10"/>
      <color rgb="FF2E08B8"/>
      <name val="Calibri"/>
      <family val="2"/>
      <scheme val="minor"/>
    </font>
    <font>
      <i/>
      <sz val="10"/>
      <name val="Calibri"/>
      <family val="2"/>
      <scheme val="minor"/>
    </font>
    <font>
      <b/>
      <i/>
      <sz val="10"/>
      <name val="Calibri"/>
      <family val="2"/>
      <scheme val="minor"/>
    </font>
    <font>
      <b/>
      <sz val="12"/>
      <name val="Calibri"/>
      <family val="2"/>
      <scheme val="minor"/>
    </font>
    <font>
      <b/>
      <sz val="10"/>
      <name val="Calibri"/>
      <family val="2"/>
      <scheme val="minor"/>
    </font>
    <font>
      <b/>
      <sz val="9"/>
      <name val="Calibri"/>
      <family val="2"/>
      <scheme val="minor"/>
    </font>
    <font>
      <sz val="8"/>
      <name val="Calibri"/>
      <family val="2"/>
      <scheme val="minor"/>
    </font>
    <font>
      <b/>
      <sz val="12"/>
      <color indexed="8"/>
      <name val="Calibri"/>
      <family val="2"/>
      <scheme val="minor"/>
    </font>
    <font>
      <vertAlign val="subscript"/>
      <sz val="9"/>
      <name val="Calibri"/>
      <family val="2"/>
      <scheme val="minor"/>
    </font>
    <font>
      <b/>
      <sz val="11"/>
      <name val="Calibri"/>
      <family val="2"/>
      <scheme val="minor"/>
    </font>
    <font>
      <vertAlign val="subscript"/>
      <sz val="10"/>
      <name val="Calibri"/>
      <family val="2"/>
      <scheme val="minor"/>
    </font>
    <font>
      <sz val="12"/>
      <name val="Calibri"/>
      <family val="2"/>
      <scheme val="minor"/>
    </font>
    <font>
      <vertAlign val="subscript"/>
      <sz val="12"/>
      <name val="Calibri"/>
      <family val="2"/>
      <scheme val="minor"/>
    </font>
    <font>
      <sz val="12"/>
      <color rgb="FF000000"/>
      <name val="Calibri"/>
      <family val="2"/>
      <scheme val="minor"/>
    </font>
    <font>
      <b/>
      <sz val="12"/>
      <color rgb="FF000000"/>
      <name val="Calibri"/>
      <family val="2"/>
      <scheme val="minor"/>
    </font>
    <font>
      <vertAlign val="subscript"/>
      <sz val="12"/>
      <color rgb="FF000000"/>
      <name val="Calibri"/>
      <family val="2"/>
      <scheme val="minor"/>
    </font>
    <font>
      <b/>
      <vertAlign val="subscript"/>
      <sz val="12"/>
      <color rgb="FF000000"/>
      <name val="Calibri"/>
      <family val="2"/>
      <scheme val="minor"/>
    </font>
    <font>
      <vertAlign val="subscript"/>
      <sz val="12"/>
      <name val="Calibri"/>
      <family val="2"/>
    </font>
    <font>
      <vertAlign val="superscript"/>
      <sz val="10"/>
      <name val="Calibri"/>
      <family val="2"/>
      <scheme val="minor"/>
    </font>
    <font>
      <b/>
      <sz val="8"/>
      <name val="Calibri"/>
      <family val="2"/>
      <scheme val="minor"/>
    </font>
    <font>
      <vertAlign val="subscript"/>
      <sz val="8"/>
      <name val="Calibri"/>
      <family val="2"/>
      <scheme val="minor"/>
    </font>
    <font>
      <vertAlign val="superscript"/>
      <sz val="8"/>
      <name val="Calibri"/>
      <family val="2"/>
      <scheme val="minor"/>
    </font>
    <font>
      <b/>
      <sz val="8"/>
      <name val="Arial"/>
      <family val="2"/>
    </font>
    <font>
      <b/>
      <i/>
      <sz val="8"/>
      <name val="Arial"/>
      <family val="2"/>
    </font>
    <font>
      <b/>
      <i/>
      <sz val="9"/>
      <name val="Calibri"/>
      <family val="2"/>
      <scheme val="minor"/>
    </font>
    <font>
      <sz val="11"/>
      <name val="Calibri"/>
      <family val="2"/>
      <scheme val="minor"/>
    </font>
    <font>
      <sz val="16"/>
      <name val="Arial"/>
      <family val="2"/>
    </font>
    <font>
      <sz val="16"/>
      <color rgb="FFFF0000"/>
      <name val="Arial"/>
      <family val="2"/>
    </font>
    <font>
      <b/>
      <sz val="10"/>
      <color rgb="FFFF0000"/>
      <name val="Calibri"/>
      <family val="2"/>
      <scheme val="minor"/>
    </font>
    <font>
      <b/>
      <vertAlign val="subscript"/>
      <sz val="10"/>
      <name val="Calibri"/>
      <family val="2"/>
      <scheme val="minor"/>
    </font>
    <font>
      <b/>
      <sz val="10"/>
      <color indexed="8"/>
      <name val="Calibri"/>
      <family val="2"/>
      <scheme val="minor"/>
    </font>
    <font>
      <b/>
      <vertAlign val="subscript"/>
      <sz val="9"/>
      <name val="Calibri"/>
      <family val="2"/>
    </font>
    <font>
      <b/>
      <vertAlign val="subscript"/>
      <sz val="9"/>
      <name val="Calibri"/>
      <family val="2"/>
      <scheme val="minor"/>
    </font>
    <font>
      <b/>
      <sz val="14"/>
      <color indexed="8"/>
      <name val="Calibri"/>
      <family val="2"/>
    </font>
    <font>
      <sz val="10"/>
      <color indexed="8"/>
      <name val="Calibri"/>
      <family val="2"/>
      <scheme val="minor"/>
    </font>
    <font>
      <b/>
      <sz val="11"/>
      <color rgb="FFFF0000"/>
      <name val="Calibri"/>
      <family val="2"/>
      <scheme val="minor"/>
    </font>
    <font>
      <b/>
      <sz val="12"/>
      <color rgb="FFFF0000"/>
      <name val="Calibri"/>
      <family val="2"/>
      <scheme val="minor"/>
    </font>
    <font>
      <sz val="14"/>
      <name val="Calibri"/>
      <family val="2"/>
    </font>
    <font>
      <sz val="16"/>
      <name val="Calibri"/>
      <family val="2"/>
      <scheme val="minor"/>
    </font>
    <font>
      <b/>
      <sz val="10"/>
      <name val="Times New Roman"/>
      <family val="1"/>
    </font>
    <font>
      <vertAlign val="subscript"/>
      <sz val="11"/>
      <name val="Calibri"/>
      <family val="2"/>
      <scheme val="minor"/>
    </font>
    <font>
      <b/>
      <vertAlign val="subscript"/>
      <sz val="10"/>
      <name val="Times New Roman"/>
      <family val="1"/>
    </font>
    <font>
      <i/>
      <vertAlign val="subscript"/>
      <sz val="10"/>
      <name val="Times New Roman"/>
      <family val="1"/>
    </font>
    <font>
      <b/>
      <i/>
      <sz val="12"/>
      <name val="Calibri"/>
      <family val="2"/>
      <scheme val="minor"/>
    </font>
    <font>
      <b/>
      <i/>
      <vertAlign val="subscript"/>
      <sz val="12"/>
      <name val="Calibri"/>
      <family val="2"/>
      <scheme val="minor"/>
    </font>
    <font>
      <sz val="11"/>
      <name val="Arial"/>
      <family val="2"/>
    </font>
    <font>
      <sz val="11"/>
      <color rgb="FFFF0000"/>
      <name val="Calibri"/>
      <family val="2"/>
      <scheme val="minor"/>
    </font>
    <font>
      <i/>
      <sz val="8"/>
      <color rgb="FFFF0000"/>
      <name val="Calibri"/>
      <family val="2"/>
      <scheme val="minor"/>
    </font>
    <font>
      <sz val="11"/>
      <color indexed="8"/>
      <name val="Calibri"/>
      <family val="2"/>
      <scheme val="minor"/>
    </font>
    <font>
      <sz val="10"/>
      <color rgb="FFFF0000"/>
      <name val="Calibri"/>
      <family val="2"/>
      <scheme val="minor"/>
    </font>
    <font>
      <b/>
      <i/>
      <sz val="12"/>
      <color rgb="FFFF0000"/>
      <name val="Calibri"/>
      <family val="2"/>
      <scheme val="minor"/>
    </font>
    <font>
      <sz val="10"/>
      <name val="Symbol"/>
      <family val="1"/>
      <charset val="2"/>
    </font>
    <font>
      <b/>
      <sz val="10"/>
      <name val="Symbol"/>
      <family val="1"/>
      <charset val="2"/>
    </font>
    <font>
      <b/>
      <sz val="9"/>
      <color rgb="FFFF0000"/>
      <name val="Calibri"/>
      <family val="2"/>
      <scheme val="minor"/>
    </font>
    <font>
      <sz val="14"/>
      <name val="Calibri"/>
      <family val="2"/>
      <scheme val="minor"/>
    </font>
    <font>
      <i/>
      <sz val="11"/>
      <name val="Calibri"/>
      <family val="2"/>
      <scheme val="minor"/>
    </font>
    <font>
      <sz val="11"/>
      <color rgb="FF000000"/>
      <name val="Calibri"/>
      <family val="2"/>
      <scheme val="minor"/>
    </font>
    <font>
      <b/>
      <sz val="11"/>
      <color rgb="FF000000"/>
      <name val="Calibri"/>
      <family val="2"/>
      <scheme val="minor"/>
    </font>
    <font>
      <i/>
      <sz val="11"/>
      <color rgb="FF000000"/>
      <name val="Calibri"/>
      <family val="2"/>
      <scheme val="minor"/>
    </font>
    <font>
      <b/>
      <sz val="16"/>
      <name val="Calibri"/>
      <family val="2"/>
    </font>
    <font>
      <b/>
      <sz val="16"/>
      <name val="Calibri"/>
      <family val="2"/>
      <scheme val="minor"/>
    </font>
    <font>
      <b/>
      <u/>
      <sz val="10"/>
      <color rgb="FFC00000"/>
      <name val="Calibri"/>
      <family val="2"/>
      <scheme val="minor"/>
    </font>
    <font>
      <b/>
      <i/>
      <sz val="11"/>
      <name val="Calibri"/>
      <family val="2"/>
      <scheme val="minor"/>
    </font>
    <font>
      <sz val="12"/>
      <name val="Arial"/>
      <family val="2"/>
    </font>
    <font>
      <vertAlign val="superscript"/>
      <sz val="11"/>
      <name val="Calibri"/>
      <family val="2"/>
      <scheme val="minor"/>
    </font>
    <font>
      <sz val="11"/>
      <color rgb="FF000000"/>
      <name val="Times New Roman"/>
      <family val="1"/>
    </font>
    <font>
      <vertAlign val="superscript"/>
      <sz val="11"/>
      <name val="Calibri"/>
      <family val="2"/>
    </font>
    <font>
      <b/>
      <vertAlign val="subscript"/>
      <sz val="11"/>
      <name val="Calibri"/>
      <family val="2"/>
      <scheme val="minor"/>
    </font>
    <font>
      <b/>
      <vertAlign val="subscript"/>
      <sz val="12"/>
      <name val="Calibri"/>
      <family val="2"/>
      <scheme val="minor"/>
    </font>
    <font>
      <b/>
      <sz val="11"/>
      <name val="Symbol"/>
      <family val="1"/>
      <charset val="2"/>
    </font>
    <font>
      <b/>
      <sz val="11"/>
      <name val="Calibri"/>
      <family val="2"/>
    </font>
    <font>
      <b/>
      <sz val="9"/>
      <name val="Symbol"/>
      <family val="1"/>
      <charset val="2"/>
    </font>
    <font>
      <b/>
      <sz val="16"/>
      <color rgb="FF000000"/>
      <name val="Calibri"/>
      <family val="2"/>
      <scheme val="minor"/>
    </font>
    <font>
      <vertAlign val="subscript"/>
      <sz val="11"/>
      <name val="Calibri"/>
      <family val="2"/>
    </font>
    <font>
      <b/>
      <u/>
      <sz val="12"/>
      <name val="Calibri"/>
      <family val="2"/>
      <scheme val="minor"/>
    </font>
    <font>
      <b/>
      <sz val="14"/>
      <color rgb="FF000000"/>
      <name val="Verdana"/>
      <family val="2"/>
    </font>
    <font>
      <b/>
      <sz val="12"/>
      <color rgb="FFCC6600"/>
      <name val="Verdana"/>
      <family val="2"/>
    </font>
    <font>
      <b/>
      <sz val="10"/>
      <name val="Arial"/>
      <family val="2"/>
    </font>
    <font>
      <i/>
      <sz val="12"/>
      <name val="Calibri"/>
      <family val="2"/>
      <scheme val="minor"/>
    </font>
    <font>
      <i/>
      <vertAlign val="subscript"/>
      <sz val="12"/>
      <name val="Calibri"/>
      <family val="2"/>
      <scheme val="minor"/>
    </font>
    <font>
      <b/>
      <i/>
      <sz val="12"/>
      <name val="Calibri"/>
      <family val="2"/>
    </font>
    <font>
      <b/>
      <i/>
      <vertAlign val="subscript"/>
      <sz val="12"/>
      <name val="Calibri"/>
      <family val="2"/>
    </font>
    <font>
      <b/>
      <i/>
      <sz val="12"/>
      <color indexed="8"/>
      <name val="Calibri"/>
      <family val="2"/>
      <scheme val="minor"/>
    </font>
    <font>
      <b/>
      <i/>
      <vertAlign val="subscript"/>
      <sz val="12"/>
      <color indexed="8"/>
      <name val="Calibri"/>
      <family val="2"/>
      <scheme val="minor"/>
    </font>
    <font>
      <b/>
      <i/>
      <vertAlign val="subscript"/>
      <sz val="9"/>
      <color indexed="8"/>
      <name val="Calibri"/>
      <family val="2"/>
      <scheme val="minor"/>
    </font>
    <font>
      <b/>
      <sz val="9"/>
      <color indexed="8"/>
      <name val="Calibri"/>
      <family val="2"/>
      <scheme val="minor"/>
    </font>
    <font>
      <b/>
      <vertAlign val="subscript"/>
      <sz val="9"/>
      <color indexed="8"/>
      <name val="Calibri"/>
      <family val="2"/>
      <scheme val="minor"/>
    </font>
    <font>
      <i/>
      <sz val="11"/>
      <color indexed="8"/>
      <name val="Calibri"/>
      <family val="2"/>
      <scheme val="minor"/>
    </font>
    <font>
      <b/>
      <sz val="11"/>
      <color indexed="8"/>
      <name val="Calibri"/>
      <family val="2"/>
      <scheme val="minor"/>
    </font>
    <font>
      <i/>
      <sz val="10"/>
      <name val="Calibri"/>
      <family val="2"/>
    </font>
    <font>
      <b/>
      <i/>
      <sz val="10"/>
      <name val="Calibri"/>
      <family val="2"/>
    </font>
    <font>
      <b/>
      <i/>
      <vertAlign val="subscript"/>
      <sz val="10"/>
      <name val="Calibri"/>
      <family val="2"/>
    </font>
    <font>
      <b/>
      <i/>
      <vertAlign val="subscript"/>
      <sz val="11"/>
      <name val="Calibri"/>
      <family val="2"/>
      <scheme val="minor"/>
    </font>
    <font>
      <i/>
      <sz val="10"/>
      <name val="Arial"/>
      <family val="2"/>
    </font>
    <font>
      <sz val="9"/>
      <name val="Arial"/>
      <family val="2"/>
    </font>
    <font>
      <b/>
      <sz val="10"/>
      <color theme="1"/>
      <name val="Arial"/>
      <family val="2"/>
    </font>
    <font>
      <b/>
      <sz val="8"/>
      <name val="Calibri"/>
      <family val="2"/>
    </font>
    <font>
      <sz val="8"/>
      <name val="Calibri"/>
      <family val="2"/>
    </font>
    <font>
      <b/>
      <sz val="11"/>
      <name val="Times New Roman"/>
      <family val="1"/>
    </font>
    <font>
      <b/>
      <sz val="9"/>
      <name val="Times New Roman"/>
      <family val="1"/>
    </font>
    <font>
      <b/>
      <i/>
      <sz val="12"/>
      <name val="Times New Roman"/>
      <family val="1"/>
    </font>
    <font>
      <sz val="9"/>
      <name val="Times New Roman"/>
      <family val="1"/>
    </font>
    <font>
      <b/>
      <i/>
      <sz val="8"/>
      <name val="Calibri"/>
      <family val="2"/>
      <scheme val="minor"/>
    </font>
    <font>
      <b/>
      <sz val="8"/>
      <color rgb="FFFF0000"/>
      <name val="Calibri"/>
      <family val="2"/>
      <scheme val="minor"/>
    </font>
    <font>
      <b/>
      <sz val="8"/>
      <color rgb="FFFF0000"/>
      <name val="Calibri"/>
      <family val="2"/>
    </font>
    <font>
      <i/>
      <sz val="10"/>
      <color rgb="FF2E08B8"/>
      <name val="Times New Roman"/>
      <family val="1"/>
    </font>
    <font>
      <b/>
      <sz val="10"/>
      <color theme="1"/>
      <name val="Times New Roman"/>
      <family val="1"/>
    </font>
    <font>
      <b/>
      <sz val="11"/>
      <color theme="1"/>
      <name val="Times New Roman"/>
      <family val="1"/>
    </font>
    <font>
      <sz val="10"/>
      <color theme="1"/>
      <name val="Times New Roman"/>
      <family val="1"/>
    </font>
    <font>
      <b/>
      <vertAlign val="subscript"/>
      <sz val="11"/>
      <color rgb="FFFF0000"/>
      <name val="Calibri"/>
      <family val="2"/>
      <scheme val="minor"/>
    </font>
    <font>
      <i/>
      <vertAlign val="subscript"/>
      <sz val="11"/>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theme="7" tint="0.59999389629810485"/>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FF0000"/>
        <bgColor indexed="64"/>
      </patternFill>
    </fill>
    <fill>
      <patternFill patternType="solid">
        <fgColor theme="2" tint="-9.9978637043366805E-2"/>
        <bgColor indexed="64"/>
      </patternFill>
    </fill>
    <fill>
      <patternFill patternType="solid">
        <fgColor theme="4" tint="0.79998168889431442"/>
        <bgColor indexed="64"/>
      </patternFill>
    </fill>
  </fills>
  <borders count="124">
    <border>
      <left/>
      <right/>
      <top/>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right/>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style="thin">
        <color indexed="64"/>
      </right>
      <top style="medium">
        <color indexed="64"/>
      </top>
      <bottom style="thin">
        <color indexed="64"/>
      </bottom>
      <diagonal/>
    </border>
    <border>
      <left/>
      <right style="thin">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double">
        <color indexed="64"/>
      </right>
      <top/>
      <bottom style="double">
        <color indexed="64"/>
      </bottom>
      <diagonal/>
    </border>
    <border>
      <left/>
      <right/>
      <top/>
      <bottom style="double">
        <color indexed="64"/>
      </bottom>
      <diagonal/>
    </border>
    <border>
      <left style="double">
        <color indexed="64"/>
      </left>
      <right/>
      <top/>
      <bottom style="double">
        <color indexed="64"/>
      </bottom>
      <diagonal/>
    </border>
    <border>
      <left/>
      <right style="double">
        <color indexed="64"/>
      </right>
      <top/>
      <bottom/>
      <diagonal/>
    </border>
    <border>
      <left/>
      <right/>
      <top style="thin">
        <color indexed="64"/>
      </top>
      <bottom style="thin">
        <color indexed="64"/>
      </bottom>
      <diagonal/>
    </border>
    <border>
      <left style="double">
        <color indexed="64"/>
      </left>
      <right/>
      <top/>
      <bottom/>
      <diagonal/>
    </border>
    <border>
      <left/>
      <right style="double">
        <color indexed="64"/>
      </right>
      <top style="double">
        <color indexed="64"/>
      </top>
      <bottom/>
      <diagonal/>
    </border>
    <border>
      <left/>
      <right/>
      <top style="double">
        <color indexed="64"/>
      </top>
      <bottom/>
      <diagonal/>
    </border>
    <border>
      <left style="double">
        <color indexed="64"/>
      </left>
      <right/>
      <top style="double">
        <color indexed="64"/>
      </top>
      <bottom/>
      <diagonal/>
    </border>
    <border>
      <left style="thin">
        <color indexed="64"/>
      </left>
      <right style="double">
        <color indexed="64"/>
      </right>
      <top style="thin">
        <color indexed="64"/>
      </top>
      <bottom style="thin">
        <color indexed="64"/>
      </bottom>
      <diagonal/>
    </border>
    <border>
      <left/>
      <right/>
      <top/>
      <bottom style="thin">
        <color indexed="64"/>
      </bottom>
      <diagonal/>
    </border>
    <border>
      <left style="double">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double">
        <color indexed="64"/>
      </left>
      <right style="thin">
        <color indexed="64"/>
      </right>
      <top style="thin">
        <color indexed="64"/>
      </top>
      <bottom style="thin">
        <color indexed="64"/>
      </bottom>
      <diagonal/>
    </border>
    <border>
      <left/>
      <right/>
      <top style="double">
        <color indexed="64"/>
      </top>
      <bottom style="thin">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style="thin">
        <color indexed="64"/>
      </right>
      <top/>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double">
        <color indexed="64"/>
      </right>
      <top style="double">
        <color indexed="64"/>
      </top>
      <bottom style="thin">
        <color indexed="64"/>
      </bottom>
      <diagonal/>
    </border>
    <border>
      <left/>
      <right style="double">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double">
        <color indexed="64"/>
      </bottom>
      <diagonal/>
    </border>
    <border>
      <left/>
      <right style="double">
        <color indexed="64"/>
      </right>
      <top style="thin">
        <color indexed="64"/>
      </top>
      <bottom style="double">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thin">
        <color indexed="64"/>
      </left>
      <right/>
      <top style="medium">
        <color indexed="64"/>
      </top>
      <bottom/>
      <diagonal/>
    </border>
    <border>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right style="double">
        <color indexed="64"/>
      </right>
      <top/>
      <bottom style="thin">
        <color indexed="64"/>
      </bottom>
      <diagonal/>
    </border>
    <border>
      <left/>
      <right style="double">
        <color indexed="64"/>
      </right>
      <top style="thin">
        <color indexed="64"/>
      </top>
      <bottom/>
      <diagonal/>
    </border>
    <border>
      <left style="medium">
        <color indexed="64"/>
      </left>
      <right style="thin">
        <color indexed="64"/>
      </right>
      <top style="medium">
        <color indexed="64"/>
      </top>
      <bottom/>
      <diagonal/>
    </border>
    <border>
      <left/>
      <right style="medium">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double">
        <color indexed="64"/>
      </right>
      <top style="thin">
        <color indexed="64"/>
      </top>
      <bottom style="double">
        <color indexed="64"/>
      </bottom>
      <diagonal/>
    </border>
    <border>
      <left style="double">
        <color indexed="64"/>
      </left>
      <right style="double">
        <color indexed="64"/>
      </right>
      <top style="double">
        <color indexed="64"/>
      </top>
      <bottom style="double">
        <color indexed="64"/>
      </bottom>
      <diagonal/>
    </border>
    <border diagonalDown="1">
      <left style="double">
        <color indexed="64"/>
      </left>
      <right style="thin">
        <color indexed="64"/>
      </right>
      <top style="double">
        <color indexed="64"/>
      </top>
      <bottom style="thin">
        <color indexed="64"/>
      </bottom>
      <diagonal style="thin">
        <color indexed="64"/>
      </diagonal>
    </border>
    <border>
      <left style="thin">
        <color indexed="64"/>
      </left>
      <right style="double">
        <color indexed="64"/>
      </right>
      <top style="double">
        <color indexed="64"/>
      </top>
      <bottom style="thin">
        <color indexed="64"/>
      </bottom>
      <diagonal/>
    </border>
    <border>
      <left style="thin">
        <color indexed="64"/>
      </left>
      <right style="thin">
        <color indexed="64"/>
      </right>
      <top style="double">
        <color indexed="64"/>
      </top>
      <bottom style="double">
        <color indexed="64"/>
      </bottom>
      <diagonal/>
    </border>
    <border>
      <left/>
      <right style="thin">
        <color indexed="64"/>
      </right>
      <top style="double">
        <color indexed="64"/>
      </top>
      <bottom style="double">
        <color indexed="64"/>
      </bottom>
      <diagonal/>
    </border>
    <border diagonalDown="1">
      <left style="double">
        <color indexed="64"/>
      </left>
      <right style="double">
        <color indexed="64"/>
      </right>
      <top style="double">
        <color indexed="64"/>
      </top>
      <bottom style="double">
        <color indexed="64"/>
      </bottom>
      <diagonal style="thin">
        <color indexed="64"/>
      </diagonal>
    </border>
    <border>
      <left style="double">
        <color indexed="64"/>
      </left>
      <right style="double">
        <color indexed="64"/>
      </right>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double">
        <color indexed="64"/>
      </bottom>
      <diagonal/>
    </border>
    <border>
      <left style="double">
        <color indexed="64"/>
      </left>
      <right style="double">
        <color indexed="64"/>
      </right>
      <top style="double">
        <color indexed="64"/>
      </top>
      <bottom style="thin">
        <color indexed="64"/>
      </bottom>
      <diagonal/>
    </border>
    <border>
      <left style="thin">
        <color indexed="64"/>
      </left>
      <right style="double">
        <color indexed="64"/>
      </right>
      <top style="thin">
        <color indexed="64"/>
      </top>
      <bottom/>
      <diagonal/>
    </border>
    <border>
      <left style="double">
        <color indexed="64"/>
      </left>
      <right style="thin">
        <color indexed="64"/>
      </right>
      <top/>
      <bottom style="thin">
        <color indexed="64"/>
      </bottom>
      <diagonal/>
    </border>
    <border>
      <left/>
      <right style="thin">
        <color indexed="64"/>
      </right>
      <top style="medium">
        <color indexed="64"/>
      </top>
      <bottom style="medium">
        <color indexed="64"/>
      </bottom>
      <diagonal/>
    </border>
    <border>
      <left/>
      <right style="thin">
        <color indexed="64"/>
      </right>
      <top style="thin">
        <color indexed="64"/>
      </top>
      <bottom style="medium">
        <color indexed="64"/>
      </bottom>
      <diagonal/>
    </border>
    <border diagonalDown="1">
      <left style="thin">
        <color indexed="64"/>
      </left>
      <right style="thin">
        <color indexed="64"/>
      </right>
      <top style="thin">
        <color indexed="64"/>
      </top>
      <bottom style="thin">
        <color indexed="64"/>
      </bottom>
      <diagonal style="thin">
        <color indexed="64"/>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style="thin">
        <color indexed="64"/>
      </right>
      <top style="double">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style="thin">
        <color indexed="64"/>
      </left>
      <right/>
      <top style="double">
        <color indexed="64"/>
      </top>
      <bottom style="thin">
        <color indexed="64"/>
      </bottom>
      <diagonal/>
    </border>
    <border diagonalUp="1" diagonalDown="1">
      <left style="thin">
        <color indexed="64"/>
      </left>
      <right style="thin">
        <color indexed="64"/>
      </right>
      <top style="thin">
        <color indexed="64"/>
      </top>
      <bottom style="thin">
        <color indexed="64"/>
      </bottom>
      <diagonal style="thin">
        <color indexed="64"/>
      </diagonal>
    </border>
    <border diagonalUp="1" diagonalDown="1">
      <left style="thin">
        <color indexed="64"/>
      </left>
      <right style="thin">
        <color indexed="64"/>
      </right>
      <top style="thin">
        <color indexed="64"/>
      </top>
      <bottom style="medium">
        <color indexed="64"/>
      </bottom>
      <diagonal style="thin">
        <color indexed="64"/>
      </diagonal>
    </border>
    <border diagonalDown="1">
      <left style="thin">
        <color indexed="64"/>
      </left>
      <right style="thin">
        <color indexed="64"/>
      </right>
      <top style="double">
        <color indexed="64"/>
      </top>
      <bottom style="thin">
        <color indexed="64"/>
      </bottom>
      <diagonal style="thin">
        <color indexed="64"/>
      </diagonal>
    </border>
  </borders>
  <cellStyleXfs count="4">
    <xf numFmtId="0" fontId="0" fillId="0" borderId="0"/>
    <xf numFmtId="0" fontId="14" fillId="0" borderId="0"/>
    <xf numFmtId="0" fontId="2" fillId="0" borderId="0"/>
    <xf numFmtId="0" fontId="1" fillId="0" borderId="0"/>
  </cellStyleXfs>
  <cellXfs count="873">
    <xf numFmtId="0" fontId="0" fillId="0" borderId="0" xfId="0"/>
    <xf numFmtId="0" fontId="0" fillId="0" borderId="4" xfId="0" applyBorder="1"/>
    <xf numFmtId="0" fontId="0" fillId="0" borderId="8" xfId="0" applyBorder="1"/>
    <xf numFmtId="0" fontId="0" fillId="0" borderId="9" xfId="0" applyBorder="1"/>
    <xf numFmtId="0" fontId="0" fillId="0" borderId="17" xfId="0" applyBorder="1"/>
    <xf numFmtId="0" fontId="14" fillId="0" borderId="0" xfId="1"/>
    <xf numFmtId="0" fontId="8" fillId="0" borderId="0" xfId="1" applyFont="1"/>
    <xf numFmtId="165" fontId="9" fillId="0" borderId="0" xfId="1" applyNumberFormat="1" applyFont="1" applyAlignment="1">
      <alignment horizontal="center" vertical="center"/>
    </xf>
    <xf numFmtId="167" fontId="8" fillId="0" borderId="0" xfId="1" applyNumberFormat="1" applyFont="1"/>
    <xf numFmtId="2" fontId="8" fillId="0" borderId="0" xfId="1" applyNumberFormat="1" applyFont="1"/>
    <xf numFmtId="167" fontId="7" fillId="0" borderId="0" xfId="1" applyNumberFormat="1" applyFont="1"/>
    <xf numFmtId="2" fontId="24" fillId="0" borderId="0" xfId="1" applyNumberFormat="1" applyFont="1"/>
    <xf numFmtId="0" fontId="10" fillId="0" borderId="0" xfId="1" applyFont="1" applyProtection="1">
      <protection locked="0"/>
    </xf>
    <xf numFmtId="168" fontId="10" fillId="0" borderId="0" xfId="1" applyNumberFormat="1" applyFont="1" applyProtection="1">
      <protection locked="0"/>
    </xf>
    <xf numFmtId="0" fontId="12" fillId="0" borderId="0" xfId="1" applyFont="1" applyAlignment="1">
      <alignment wrapText="1"/>
    </xf>
    <xf numFmtId="0" fontId="12" fillId="0" borderId="0" xfId="1" applyFont="1"/>
    <xf numFmtId="1" fontId="10" fillId="0" borderId="0" xfId="1" applyNumberFormat="1" applyFont="1" applyProtection="1">
      <protection locked="0"/>
    </xf>
    <xf numFmtId="166" fontId="10" fillId="0" borderId="0" xfId="1" applyNumberFormat="1" applyFont="1" applyProtection="1">
      <protection locked="0"/>
    </xf>
    <xf numFmtId="0" fontId="7" fillId="0" borderId="38" xfId="1" applyFont="1" applyBorder="1" applyAlignment="1">
      <alignment horizontal="center" vertical="center"/>
    </xf>
    <xf numFmtId="14" fontId="7" fillId="0" borderId="39" xfId="1" applyNumberFormat="1" applyFont="1" applyBorder="1" applyAlignment="1">
      <alignment horizontal="center" vertical="center"/>
    </xf>
    <xf numFmtId="0" fontId="7" fillId="0" borderId="39" xfId="1" applyFont="1" applyBorder="1" applyAlignment="1">
      <alignment horizontal="center" vertical="center"/>
    </xf>
    <xf numFmtId="0" fontId="7" fillId="0" borderId="40" xfId="1" applyFont="1" applyBorder="1" applyAlignment="1">
      <alignment horizontal="center" vertical="center"/>
    </xf>
    <xf numFmtId="0" fontId="25" fillId="0" borderId="0" xfId="1" applyFont="1"/>
    <xf numFmtId="0" fontId="11" fillId="0" borderId="39" xfId="1" applyFont="1" applyBorder="1" applyAlignment="1">
      <alignment vertical="top" wrapText="1"/>
    </xf>
    <xf numFmtId="0" fontId="28" fillId="0" borderId="0" xfId="0" applyFont="1" applyAlignment="1">
      <alignment horizontal="left" vertical="center"/>
    </xf>
    <xf numFmtId="0" fontId="29" fillId="0" borderId="46" xfId="1" applyFont="1" applyBorder="1" applyAlignment="1">
      <alignment horizontal="right" vertical="center"/>
    </xf>
    <xf numFmtId="0" fontId="29" fillId="0" borderId="0" xfId="0" applyFont="1" applyAlignment="1">
      <alignment vertical="center"/>
    </xf>
    <xf numFmtId="0" fontId="29" fillId="0" borderId="43" xfId="1" applyFont="1" applyBorder="1" applyAlignment="1">
      <alignment horizontal="right" vertical="center"/>
    </xf>
    <xf numFmtId="0" fontId="29" fillId="0" borderId="0" xfId="1" applyFont="1" applyAlignment="1">
      <alignment horizontal="right" vertical="center"/>
    </xf>
    <xf numFmtId="0" fontId="29" fillId="0" borderId="0" xfId="1" applyFont="1" applyAlignment="1">
      <alignment horizontal="center" vertical="center"/>
    </xf>
    <xf numFmtId="0" fontId="30" fillId="2" borderId="42" xfId="1" applyFont="1" applyFill="1" applyBorder="1" applyAlignment="1">
      <alignment horizontal="center" vertical="center"/>
    </xf>
    <xf numFmtId="0" fontId="29" fillId="0" borderId="40" xfId="1" applyFont="1" applyBorder="1" applyAlignment="1">
      <alignment horizontal="center" vertical="center"/>
    </xf>
    <xf numFmtId="0" fontId="32" fillId="0" borderId="39" xfId="1" applyFont="1" applyBorder="1" applyAlignment="1">
      <alignment vertical="center" wrapText="1"/>
    </xf>
    <xf numFmtId="0" fontId="29" fillId="0" borderId="39" xfId="1" applyFont="1" applyBorder="1" applyAlignment="1">
      <alignment horizontal="center" vertical="center"/>
    </xf>
    <xf numFmtId="14" fontId="29" fillId="0" borderId="39" xfId="1" applyNumberFormat="1" applyFont="1" applyBorder="1" applyAlignment="1">
      <alignment horizontal="center" vertical="center"/>
    </xf>
    <xf numFmtId="14" fontId="29" fillId="0" borderId="38" xfId="1" applyNumberFormat="1" applyFont="1" applyBorder="1" applyAlignment="1">
      <alignment horizontal="center" vertical="center"/>
    </xf>
    <xf numFmtId="0" fontId="33" fillId="0" borderId="0" xfId="0" applyFont="1" applyAlignment="1">
      <alignment vertical="center" wrapText="1"/>
    </xf>
    <xf numFmtId="0" fontId="26" fillId="0" borderId="0" xfId="0" applyFont="1" applyAlignment="1">
      <alignment horizontal="left" vertical="center"/>
    </xf>
    <xf numFmtId="0" fontId="26" fillId="0" borderId="34" xfId="0" applyFont="1" applyBorder="1" applyAlignment="1">
      <alignment horizontal="left" vertical="center"/>
    </xf>
    <xf numFmtId="0" fontId="34" fillId="0" borderId="0" xfId="0" applyFont="1" applyAlignment="1">
      <alignment horizontal="center" vertical="center"/>
    </xf>
    <xf numFmtId="0" fontId="34" fillId="0" borderId="6" xfId="0" applyFont="1" applyBorder="1" applyAlignment="1">
      <alignment horizontal="right" vertical="center" wrapText="1"/>
    </xf>
    <xf numFmtId="2" fontId="29" fillId="0" borderId="6" xfId="0" applyNumberFormat="1" applyFont="1" applyBorder="1" applyAlignment="1">
      <alignment horizontal="center" vertical="center"/>
    </xf>
    <xf numFmtId="9" fontId="29" fillId="0" borderId="6" xfId="0" applyNumberFormat="1" applyFont="1" applyBorder="1" applyAlignment="1">
      <alignment horizontal="center" vertical="center"/>
    </xf>
    <xf numFmtId="2" fontId="29" fillId="0" borderId="33" xfId="0" applyNumberFormat="1" applyFont="1" applyBorder="1" applyAlignment="1">
      <alignment horizontal="center" vertical="center"/>
    </xf>
    <xf numFmtId="164" fontId="29" fillId="0" borderId="6" xfId="0" applyNumberFormat="1" applyFont="1" applyBorder="1" applyAlignment="1">
      <alignment horizontal="center" vertical="center"/>
    </xf>
    <xf numFmtId="165" fontId="26" fillId="0" borderId="6" xfId="1" applyNumberFormat="1" applyFont="1" applyBorder="1" applyAlignment="1">
      <alignment horizontal="center" vertical="center"/>
    </xf>
    <xf numFmtId="0" fontId="29" fillId="0" borderId="6" xfId="1" applyFont="1" applyBorder="1" applyAlignment="1">
      <alignment horizontal="center"/>
    </xf>
    <xf numFmtId="0" fontId="34" fillId="0" borderId="6" xfId="1" applyFont="1" applyBorder="1" applyAlignment="1">
      <alignment horizontal="center" vertical="center"/>
    </xf>
    <xf numFmtId="0" fontId="2" fillId="0" borderId="6" xfId="1" applyFont="1" applyBorder="1" applyAlignment="1">
      <alignment horizontal="center"/>
    </xf>
    <xf numFmtId="167" fontId="3" fillId="0" borderId="6" xfId="0" applyNumberFormat="1" applyFont="1" applyBorder="1" applyAlignment="1">
      <alignment horizontal="center" vertical="center"/>
    </xf>
    <xf numFmtId="165" fontId="3" fillId="0" borderId="22" xfId="0" applyNumberFormat="1" applyFont="1" applyBorder="1" applyAlignment="1">
      <alignment horizontal="center" vertical="center"/>
    </xf>
    <xf numFmtId="165" fontId="3" fillId="0" borderId="23" xfId="0" applyNumberFormat="1" applyFont="1" applyBorder="1" applyAlignment="1">
      <alignment horizontal="center" vertical="center"/>
    </xf>
    <xf numFmtId="165" fontId="3" fillId="0" borderId="17" xfId="0" applyNumberFormat="1" applyFont="1" applyBorder="1" applyAlignment="1">
      <alignment horizontal="center" vertical="center"/>
    </xf>
    <xf numFmtId="167" fontId="3" fillId="0" borderId="18" xfId="0" applyNumberFormat="1" applyFont="1" applyBorder="1" applyAlignment="1">
      <alignment horizontal="center" vertical="center"/>
    </xf>
    <xf numFmtId="165" fontId="3" fillId="0" borderId="19" xfId="0" applyNumberFormat="1" applyFont="1" applyBorder="1" applyAlignment="1">
      <alignment horizontal="center" vertical="center"/>
    </xf>
    <xf numFmtId="165" fontId="3" fillId="0" borderId="20" xfId="0" applyNumberFormat="1" applyFont="1" applyBorder="1" applyAlignment="1">
      <alignment horizontal="center" vertical="center"/>
    </xf>
    <xf numFmtId="167" fontId="3" fillId="0" borderId="13" xfId="0" applyNumberFormat="1" applyFont="1" applyBorder="1" applyAlignment="1">
      <alignment horizontal="center" vertical="center"/>
    </xf>
    <xf numFmtId="165" fontId="3" fillId="0" borderId="21" xfId="0" applyNumberFormat="1" applyFont="1" applyBorder="1" applyAlignment="1">
      <alignment horizontal="center" vertical="center"/>
    </xf>
    <xf numFmtId="165" fontId="3" fillId="0" borderId="0" xfId="0" applyNumberFormat="1" applyFont="1" applyAlignment="1">
      <alignment horizontal="center" vertical="center"/>
    </xf>
    <xf numFmtId="167" fontId="3" fillId="0" borderId="0" xfId="0" applyNumberFormat="1" applyFont="1" applyAlignment="1">
      <alignment horizontal="center" vertical="center"/>
    </xf>
    <xf numFmtId="0" fontId="0" fillId="0" borderId="0" xfId="0" applyAlignment="1">
      <alignment horizontal="left" vertical="center"/>
    </xf>
    <xf numFmtId="0" fontId="0" fillId="0" borderId="0" xfId="0" applyAlignment="1">
      <alignment vertical="center"/>
    </xf>
    <xf numFmtId="2" fontId="29" fillId="0" borderId="0" xfId="0" applyNumberFormat="1" applyFont="1" applyAlignment="1">
      <alignment horizontal="center" vertical="center"/>
    </xf>
    <xf numFmtId="1" fontId="29" fillId="0" borderId="6" xfId="0" applyNumberFormat="1" applyFont="1" applyBorder="1" applyAlignment="1">
      <alignment horizontal="center" vertical="center"/>
    </xf>
    <xf numFmtId="0" fontId="29" fillId="0" borderId="0" xfId="0" applyFont="1" applyAlignment="1">
      <alignment horizontal="left"/>
    </xf>
    <xf numFmtId="0" fontId="26" fillId="0" borderId="0" xfId="0" applyFont="1" applyAlignment="1">
      <alignment horizontal="center" vertical="center"/>
    </xf>
    <xf numFmtId="0" fontId="26" fillId="0" borderId="6" xfId="0" applyFont="1" applyBorder="1" applyAlignment="1">
      <alignment horizontal="center" vertical="center"/>
    </xf>
    <xf numFmtId="0" fontId="26" fillId="0" borderId="34" xfId="1" applyFont="1" applyBorder="1" applyAlignment="1">
      <alignment horizontal="left" vertical="center"/>
    </xf>
    <xf numFmtId="0" fontId="37" fillId="0" borderId="0" xfId="0" applyFont="1" applyAlignment="1">
      <alignment vertical="center"/>
    </xf>
    <xf numFmtId="0" fontId="29" fillId="0" borderId="0" xfId="0" applyFont="1" applyAlignment="1">
      <alignment horizontal="right" vertical="center"/>
    </xf>
    <xf numFmtId="1" fontId="29" fillId="0" borderId="0" xfId="0" applyNumberFormat="1" applyFont="1" applyAlignment="1">
      <alignment horizontal="center" vertical="center"/>
    </xf>
    <xf numFmtId="0" fontId="39" fillId="0" borderId="0" xfId="0" applyFont="1" applyAlignment="1">
      <alignment horizontal="center" vertical="center"/>
    </xf>
    <xf numFmtId="0" fontId="36" fillId="0" borderId="0" xfId="0" applyFont="1"/>
    <xf numFmtId="0" fontId="26" fillId="0" borderId="0" xfId="0" applyFont="1"/>
    <xf numFmtId="0" fontId="26" fillId="0" borderId="6" xfId="0" applyFont="1" applyBorder="1" applyAlignment="1">
      <alignment horizontal="left" vertical="center"/>
    </xf>
    <xf numFmtId="0" fontId="3" fillId="0" borderId="0" xfId="0" applyFont="1" applyAlignment="1">
      <alignment horizontal="center" vertical="center"/>
    </xf>
    <xf numFmtId="0" fontId="2" fillId="0" borderId="0" xfId="1" applyFont="1" applyAlignment="1">
      <alignment horizontal="center"/>
    </xf>
    <xf numFmtId="0" fontId="29" fillId="0" borderId="0" xfId="1" applyFont="1" applyAlignment="1">
      <alignment horizontal="left" vertical="center"/>
    </xf>
    <xf numFmtId="0" fontId="41" fillId="0" borderId="6" xfId="1" applyFont="1" applyBorder="1" applyAlignment="1">
      <alignment horizontal="left" vertical="center"/>
    </xf>
    <xf numFmtId="0" fontId="43" fillId="0" borderId="6" xfId="1" applyFont="1" applyBorder="1" applyAlignment="1">
      <alignment horizontal="left" vertical="center"/>
    </xf>
    <xf numFmtId="0" fontId="21" fillId="0" borderId="0" xfId="0" applyFont="1" applyAlignment="1">
      <alignment vertical="center"/>
    </xf>
    <xf numFmtId="0" fontId="36" fillId="0" borderId="6" xfId="0" applyFont="1" applyBorder="1" applyAlignment="1">
      <alignment horizontal="left" vertical="center"/>
    </xf>
    <xf numFmtId="0" fontId="36" fillId="0" borderId="6" xfId="0" applyFont="1" applyBorder="1" applyAlignment="1">
      <alignment vertical="center"/>
    </xf>
    <xf numFmtId="0" fontId="36" fillId="0" borderId="30" xfId="0" applyFont="1" applyBorder="1" applyAlignment="1">
      <alignment horizontal="center" vertical="center"/>
    </xf>
    <xf numFmtId="0" fontId="36" fillId="0" borderId="29" xfId="0" applyFont="1" applyBorder="1" applyAlignment="1">
      <alignment horizontal="center" vertical="center"/>
    </xf>
    <xf numFmtId="0" fontId="36" fillId="0" borderId="28" xfId="0" applyFont="1" applyBorder="1" applyAlignment="1">
      <alignment horizontal="center" vertical="center"/>
    </xf>
    <xf numFmtId="0" fontId="36" fillId="0" borderId="86" xfId="0" applyFont="1" applyBorder="1" applyAlignment="1">
      <alignment horizontal="center" vertical="center"/>
    </xf>
    <xf numFmtId="0" fontId="36" fillId="0" borderId="77" xfId="0" applyFont="1" applyBorder="1" applyAlignment="1">
      <alignment horizontal="center" vertical="center"/>
    </xf>
    <xf numFmtId="0" fontId="36" fillId="0" borderId="78" xfId="0" applyFont="1" applyBorder="1" applyAlignment="1">
      <alignment horizontal="center" vertical="center"/>
    </xf>
    <xf numFmtId="0" fontId="36" fillId="0" borderId="0" xfId="0" applyFont="1" applyAlignment="1">
      <alignment vertical="center"/>
    </xf>
    <xf numFmtId="165" fontId="3" fillId="0" borderId="11" xfId="0" applyNumberFormat="1" applyFont="1" applyBorder="1" applyAlignment="1">
      <alignment horizontal="center" vertical="center"/>
    </xf>
    <xf numFmtId="167" fontId="3" fillId="0" borderId="7" xfId="0" applyNumberFormat="1" applyFont="1" applyBorder="1" applyAlignment="1">
      <alignment horizontal="center" vertical="center"/>
    </xf>
    <xf numFmtId="165" fontId="3" fillId="0" borderId="37" xfId="0" applyNumberFormat="1" applyFont="1" applyBorder="1" applyAlignment="1">
      <alignment horizontal="center" vertical="center"/>
    </xf>
    <xf numFmtId="165" fontId="3" fillId="0" borderId="8" xfId="0" applyNumberFormat="1" applyFont="1" applyBorder="1" applyAlignment="1">
      <alignment horizontal="center" vertical="center"/>
    </xf>
    <xf numFmtId="165" fontId="3" fillId="0" borderId="9" xfId="0" applyNumberFormat="1" applyFont="1" applyBorder="1" applyAlignment="1">
      <alignment horizontal="center" vertical="center"/>
    </xf>
    <xf numFmtId="165" fontId="3" fillId="0" borderId="12" xfId="0" applyNumberFormat="1" applyFont="1" applyBorder="1" applyAlignment="1">
      <alignment horizontal="center" vertical="center"/>
    </xf>
    <xf numFmtId="167" fontId="3" fillId="0" borderId="4" xfId="0" applyNumberFormat="1" applyFont="1" applyBorder="1" applyAlignment="1">
      <alignment horizontal="center" vertical="center"/>
    </xf>
    <xf numFmtId="165" fontId="3" fillId="0" borderId="10" xfId="0" applyNumberFormat="1" applyFont="1" applyBorder="1" applyAlignment="1">
      <alignment horizontal="center" vertical="center"/>
    </xf>
    <xf numFmtId="165" fontId="3" fillId="0" borderId="87" xfId="0" applyNumberFormat="1" applyFont="1" applyBorder="1" applyAlignment="1">
      <alignment horizontal="center" vertical="center"/>
    </xf>
    <xf numFmtId="0" fontId="0" fillId="0" borderId="11" xfId="0" applyBorder="1"/>
    <xf numFmtId="0" fontId="0" fillId="0" borderId="7" xfId="0" applyBorder="1"/>
    <xf numFmtId="0" fontId="0" fillId="0" borderId="37" xfId="0" applyBorder="1"/>
    <xf numFmtId="0" fontId="0" fillId="0" borderId="12" xfId="0" applyBorder="1"/>
    <xf numFmtId="0" fontId="0" fillId="0" borderId="10" xfId="0" applyBorder="1"/>
    <xf numFmtId="167" fontId="3" fillId="0" borderId="75" xfId="0" applyNumberFormat="1" applyFont="1" applyBorder="1" applyAlignment="1">
      <alignment horizontal="center" vertical="center"/>
    </xf>
    <xf numFmtId="167" fontId="3" fillId="0" borderId="72" xfId="0" applyNumberFormat="1" applyFont="1" applyBorder="1" applyAlignment="1">
      <alignment horizontal="center" vertical="center"/>
    </xf>
    <xf numFmtId="165" fontId="3" fillId="0" borderId="73" xfId="0" applyNumberFormat="1" applyFont="1" applyBorder="1" applyAlignment="1">
      <alignment horizontal="center" vertical="center"/>
    </xf>
    <xf numFmtId="167" fontId="3" fillId="0" borderId="48" xfId="0" applyNumberFormat="1" applyFont="1" applyBorder="1" applyAlignment="1">
      <alignment horizontal="center" vertical="center"/>
    </xf>
    <xf numFmtId="165" fontId="3" fillId="0" borderId="76" xfId="0" applyNumberFormat="1" applyFont="1" applyBorder="1" applyAlignment="1">
      <alignment horizontal="center" vertical="center"/>
    </xf>
    <xf numFmtId="0" fontId="52" fillId="0" borderId="0" xfId="0" applyFont="1" applyAlignment="1">
      <alignment horizontal="center" vertical="center"/>
    </xf>
    <xf numFmtId="0" fontId="0" fillId="0" borderId="48" xfId="0" applyBorder="1"/>
    <xf numFmtId="0" fontId="0" fillId="0" borderId="18" xfId="0" applyBorder="1"/>
    <xf numFmtId="0" fontId="0" fillId="0" borderId="19" xfId="0" applyBorder="1"/>
    <xf numFmtId="165" fontId="53" fillId="4" borderId="24" xfId="0" applyNumberFormat="1" applyFont="1" applyFill="1" applyBorder="1" applyAlignment="1">
      <alignment horizontal="center" vertical="center"/>
    </xf>
    <xf numFmtId="165" fontId="53" fillId="4" borderId="26" xfId="0" applyNumberFormat="1" applyFont="1" applyFill="1" applyBorder="1" applyAlignment="1">
      <alignment horizontal="center" vertical="center"/>
    </xf>
    <xf numFmtId="0" fontId="53" fillId="4" borderId="26" xfId="0" applyFont="1" applyFill="1" applyBorder="1" applyAlignment="1">
      <alignment horizontal="center" vertical="center"/>
    </xf>
    <xf numFmtId="165" fontId="54" fillId="4" borderId="26" xfId="1" applyNumberFormat="1" applyFont="1" applyFill="1" applyBorder="1" applyAlignment="1">
      <alignment horizontal="center" vertical="center"/>
    </xf>
    <xf numFmtId="165" fontId="53" fillId="4" borderId="25" xfId="0" applyNumberFormat="1" applyFont="1" applyFill="1" applyBorder="1" applyAlignment="1">
      <alignment horizontal="center" vertical="center"/>
    </xf>
    <xf numFmtId="165" fontId="3" fillId="0" borderId="80" xfId="0" applyNumberFormat="1" applyFont="1" applyBorder="1" applyAlignment="1">
      <alignment horizontal="center" vertical="center"/>
    </xf>
    <xf numFmtId="167" fontId="3" fillId="0" borderId="67" xfId="0" applyNumberFormat="1" applyFont="1" applyBorder="1" applyAlignment="1">
      <alignment horizontal="center" vertical="center"/>
    </xf>
    <xf numFmtId="0" fontId="0" fillId="0" borderId="73" xfId="0" applyBorder="1"/>
    <xf numFmtId="0" fontId="0" fillId="0" borderId="87" xfId="0" applyBorder="1"/>
    <xf numFmtId="0" fontId="0" fillId="0" borderId="80" xfId="0" applyBorder="1"/>
    <xf numFmtId="0" fontId="0" fillId="0" borderId="67" xfId="0" applyBorder="1"/>
    <xf numFmtId="0" fontId="0" fillId="0" borderId="76" xfId="0" applyBorder="1"/>
    <xf numFmtId="0" fontId="53" fillId="4" borderId="25" xfId="0" applyFont="1" applyFill="1" applyBorder="1" applyAlignment="1">
      <alignment horizontal="center" vertical="center"/>
    </xf>
    <xf numFmtId="165" fontId="53" fillId="5" borderId="24" xfId="0" applyNumberFormat="1" applyFont="1" applyFill="1" applyBorder="1" applyAlignment="1">
      <alignment horizontal="center" vertical="center"/>
    </xf>
    <xf numFmtId="165" fontId="53" fillId="5" borderId="26" xfId="0" applyNumberFormat="1" applyFont="1" applyFill="1" applyBorder="1" applyAlignment="1">
      <alignment horizontal="center" vertical="center"/>
    </xf>
    <xf numFmtId="165" fontId="53" fillId="5" borderId="25" xfId="0" applyNumberFormat="1" applyFont="1" applyFill="1" applyBorder="1" applyAlignment="1">
      <alignment horizontal="center" vertical="center"/>
    </xf>
    <xf numFmtId="0" fontId="36" fillId="0" borderId="55" xfId="0" applyFont="1" applyBorder="1" applyAlignment="1">
      <alignment horizontal="center" vertical="center"/>
    </xf>
    <xf numFmtId="165" fontId="26" fillId="0" borderId="37" xfId="1" applyNumberFormat="1" applyFont="1" applyBorder="1" applyAlignment="1">
      <alignment horizontal="center" vertical="center"/>
    </xf>
    <xf numFmtId="165" fontId="26" fillId="0" borderId="9" xfId="1" applyNumberFormat="1" applyFont="1" applyBorder="1" applyAlignment="1">
      <alignment horizontal="center" vertical="center"/>
    </xf>
    <xf numFmtId="165" fontId="26" fillId="0" borderId="10" xfId="1" applyNumberFormat="1" applyFont="1" applyBorder="1" applyAlignment="1">
      <alignment horizontal="center" vertical="center"/>
    </xf>
    <xf numFmtId="0" fontId="0" fillId="0" borderId="24" xfId="0" applyBorder="1"/>
    <xf numFmtId="0" fontId="0" fillId="0" borderId="88" xfId="0" applyBorder="1"/>
    <xf numFmtId="0" fontId="0" fillId="0" borderId="89" xfId="0" applyBorder="1"/>
    <xf numFmtId="165" fontId="3" fillId="0" borderId="24" xfId="0" applyNumberFormat="1" applyFont="1" applyBorder="1" applyAlignment="1">
      <alignment horizontal="center" vertical="center"/>
    </xf>
    <xf numFmtId="167" fontId="3" fillId="0" borderId="88" xfId="0" applyNumberFormat="1" applyFont="1" applyBorder="1" applyAlignment="1">
      <alignment horizontal="center" vertical="center"/>
    </xf>
    <xf numFmtId="165" fontId="3" fillId="0" borderId="89" xfId="0" applyNumberFormat="1" applyFont="1" applyBorder="1" applyAlignment="1">
      <alignment horizontal="center" vertical="center"/>
    </xf>
    <xf numFmtId="0" fontId="33" fillId="2" borderId="55" xfId="0" applyFont="1" applyFill="1" applyBorder="1" applyAlignment="1">
      <alignment horizontal="center" vertical="center"/>
    </xf>
    <xf numFmtId="0" fontId="26" fillId="6" borderId="6" xfId="0" applyFont="1" applyFill="1" applyBorder="1" applyAlignment="1">
      <alignment horizontal="center" vertical="center"/>
    </xf>
    <xf numFmtId="2" fontId="29" fillId="0" borderId="56" xfId="0" applyNumberFormat="1" applyFont="1" applyBorder="1" applyAlignment="1">
      <alignment horizontal="center" vertical="center"/>
    </xf>
    <xf numFmtId="0" fontId="5" fillId="0" borderId="0" xfId="0" applyFont="1"/>
    <xf numFmtId="0" fontId="36" fillId="0" borderId="37" xfId="0" applyFont="1" applyBorder="1" applyAlignment="1">
      <alignment horizontal="center" vertical="center"/>
    </xf>
    <xf numFmtId="0" fontId="36" fillId="0" borderId="1" xfId="0" applyFont="1" applyBorder="1" applyAlignment="1">
      <alignment horizontal="center" vertical="center"/>
    </xf>
    <xf numFmtId="0" fontId="0" fillId="0" borderId="3" xfId="0" applyBorder="1"/>
    <xf numFmtId="0" fontId="0" fillId="0" borderId="54" xfId="0" applyBorder="1"/>
    <xf numFmtId="0" fontId="0" fillId="0" borderId="36" xfId="0" applyBorder="1"/>
    <xf numFmtId="0" fontId="49" fillId="0" borderId="27" xfId="1" applyFont="1" applyBorder="1" applyAlignment="1">
      <alignment horizontal="center"/>
    </xf>
    <xf numFmtId="0" fontId="34" fillId="0" borderId="6" xfId="0" applyFont="1" applyBorder="1" applyAlignment="1">
      <alignment horizontal="center" vertical="center"/>
    </xf>
    <xf numFmtId="0" fontId="29" fillId="0" borderId="0" xfId="0" applyFont="1" applyAlignment="1">
      <alignment horizontal="left" vertical="center"/>
    </xf>
    <xf numFmtId="2" fontId="26" fillId="0" borderId="6" xfId="0" applyNumberFormat="1" applyFont="1" applyBorder="1" applyAlignment="1">
      <alignment horizontal="center" vertical="center"/>
    </xf>
    <xf numFmtId="0" fontId="60" fillId="0" borderId="0" xfId="0" applyFont="1"/>
    <xf numFmtId="0" fontId="26" fillId="0" borderId="0" xfId="0" applyFont="1" applyAlignment="1">
      <alignment horizontal="right" vertical="center"/>
    </xf>
    <xf numFmtId="2" fontId="26" fillId="0" borderId="56" xfId="0" applyNumberFormat="1" applyFont="1" applyBorder="1" applyAlignment="1">
      <alignment horizontal="center" vertical="center"/>
    </xf>
    <xf numFmtId="0" fontId="35" fillId="0" borderId="6" xfId="0" applyFont="1" applyBorder="1" applyAlignment="1">
      <alignment horizontal="center" vertical="center"/>
    </xf>
    <xf numFmtId="165" fontId="26" fillId="0" borderId="6" xfId="0" applyNumberFormat="1" applyFont="1" applyBorder="1" applyAlignment="1">
      <alignment horizontal="center"/>
    </xf>
    <xf numFmtId="0" fontId="39" fillId="0" borderId="0" xfId="0" applyFont="1" applyAlignment="1">
      <alignment horizontal="right" vertical="center"/>
    </xf>
    <xf numFmtId="0" fontId="29" fillId="0" borderId="0" xfId="0" applyFont="1"/>
    <xf numFmtId="0" fontId="35" fillId="0" borderId="6" xfId="1" applyFont="1" applyBorder="1" applyAlignment="1">
      <alignment horizontal="center" vertical="center"/>
    </xf>
    <xf numFmtId="0" fontId="29" fillId="0" borderId="6" xfId="0" applyFont="1" applyBorder="1" applyAlignment="1">
      <alignment horizontal="center" vertical="center"/>
    </xf>
    <xf numFmtId="0" fontId="41" fillId="0" borderId="6" xfId="1" applyFont="1" applyBorder="1" applyAlignment="1">
      <alignment horizontal="center" vertical="center"/>
    </xf>
    <xf numFmtId="0" fontId="29" fillId="0" borderId="6" xfId="0" applyFont="1" applyBorder="1" applyAlignment="1">
      <alignment vertical="center"/>
    </xf>
    <xf numFmtId="0" fontId="60" fillId="0" borderId="0" xfId="0" applyFont="1" applyAlignment="1">
      <alignment horizontal="right" vertical="center"/>
    </xf>
    <xf numFmtId="2" fontId="26" fillId="0" borderId="0" xfId="0" applyNumberFormat="1" applyFont="1" applyAlignment="1">
      <alignment horizontal="center" vertical="center"/>
    </xf>
    <xf numFmtId="0" fontId="33" fillId="0" borderId="0" xfId="0" applyFont="1" applyAlignment="1">
      <alignment horizontal="right" vertical="center"/>
    </xf>
    <xf numFmtId="0" fontId="39" fillId="0" borderId="0" xfId="0" applyFont="1" applyAlignment="1">
      <alignment vertical="center"/>
    </xf>
    <xf numFmtId="0" fontId="29" fillId="0" borderId="0" xfId="0" applyFont="1" applyAlignment="1">
      <alignment horizontal="left" vertical="center" wrapText="1"/>
    </xf>
    <xf numFmtId="0" fontId="36" fillId="0" borderId="0" xfId="0" applyFont="1" applyAlignment="1">
      <alignment horizontal="center" vertical="center"/>
    </xf>
    <xf numFmtId="0" fontId="36" fillId="0" borderId="1" xfId="0" applyFont="1" applyBorder="1" applyAlignment="1">
      <alignment horizontal="center" vertical="center" wrapText="1"/>
    </xf>
    <xf numFmtId="0" fontId="36" fillId="0" borderId="0" xfId="0" applyFont="1" applyAlignment="1">
      <alignment horizontal="center" vertical="center" wrapText="1"/>
    </xf>
    <xf numFmtId="0" fontId="36" fillId="0" borderId="0" xfId="0" applyFont="1" applyAlignment="1">
      <alignment vertical="center" wrapText="1"/>
    </xf>
    <xf numFmtId="0" fontId="35" fillId="0" borderId="0" xfId="0" applyFont="1" applyAlignment="1">
      <alignment vertical="center"/>
    </xf>
    <xf numFmtId="0" fontId="36" fillId="0" borderId="28" xfId="0" applyFont="1" applyBorder="1" applyAlignment="1">
      <alignment horizontal="center" vertical="center" wrapText="1"/>
    </xf>
    <xf numFmtId="0" fontId="36" fillId="0" borderId="30" xfId="0" applyFont="1" applyBorder="1" applyAlignment="1">
      <alignment horizontal="center" vertical="center" wrapText="1"/>
    </xf>
    <xf numFmtId="0" fontId="36" fillId="0" borderId="29" xfId="0" applyFont="1" applyBorder="1" applyAlignment="1">
      <alignment horizontal="center" vertical="center" wrapText="1"/>
    </xf>
    <xf numFmtId="164" fontId="3" fillId="0" borderId="6" xfId="0" applyNumberFormat="1" applyFont="1" applyBorder="1" applyAlignment="1">
      <alignment horizontal="center" vertical="center"/>
    </xf>
    <xf numFmtId="164" fontId="3" fillId="0" borderId="23" xfId="0" applyNumberFormat="1" applyFont="1" applyBorder="1" applyAlignment="1">
      <alignment horizontal="center" vertical="center"/>
    </xf>
    <xf numFmtId="164" fontId="3" fillId="0" borderId="19" xfId="0" applyNumberFormat="1" applyFont="1" applyBorder="1" applyAlignment="1">
      <alignment horizontal="center" vertical="center"/>
    </xf>
    <xf numFmtId="164" fontId="3" fillId="0" borderId="70" xfId="0" applyNumberFormat="1" applyFont="1" applyBorder="1" applyAlignment="1">
      <alignment horizontal="center" vertical="center"/>
    </xf>
    <xf numFmtId="164" fontId="3" fillId="0" borderId="71" xfId="0" applyNumberFormat="1" applyFont="1" applyBorder="1" applyAlignment="1">
      <alignment horizontal="center" vertical="center"/>
    </xf>
    <xf numFmtId="164" fontId="3" fillId="0" borderId="9" xfId="0" applyNumberFormat="1" applyFont="1" applyBorder="1" applyAlignment="1">
      <alignment horizontal="center" vertical="center"/>
    </xf>
    <xf numFmtId="164" fontId="3" fillId="0" borderId="72" xfId="0" applyNumberFormat="1" applyFont="1" applyBorder="1" applyAlignment="1">
      <alignment horizontal="center" vertical="center"/>
    </xf>
    <xf numFmtId="164" fontId="3" fillId="0" borderId="87" xfId="0" applyNumberFormat="1" applyFont="1" applyBorder="1" applyAlignment="1">
      <alignment horizontal="center" vertical="center"/>
    </xf>
    <xf numFmtId="164" fontId="3" fillId="0" borderId="50" xfId="0" applyNumberFormat="1" applyFont="1" applyBorder="1" applyAlignment="1">
      <alignment horizontal="center" vertical="center"/>
    </xf>
    <xf numFmtId="164" fontId="3" fillId="0" borderId="91" xfId="0" applyNumberFormat="1" applyFont="1" applyBorder="1" applyAlignment="1">
      <alignment horizontal="center" vertical="center"/>
    </xf>
    <xf numFmtId="164" fontId="3" fillId="0" borderId="92" xfId="0" applyNumberFormat="1" applyFont="1" applyBorder="1" applyAlignment="1">
      <alignment horizontal="center" vertical="center"/>
    </xf>
    <xf numFmtId="0" fontId="57" fillId="0" borderId="0" xfId="0" applyFont="1"/>
    <xf numFmtId="0" fontId="56" fillId="0" borderId="8" xfId="0" applyFont="1" applyBorder="1"/>
    <xf numFmtId="0" fontId="49" fillId="0" borderId="74" xfId="1" applyFont="1" applyBorder="1" applyAlignment="1">
      <alignment horizontal="center"/>
    </xf>
    <xf numFmtId="165" fontId="53" fillId="4" borderId="73" xfId="0" applyNumberFormat="1" applyFont="1" applyFill="1" applyBorder="1" applyAlignment="1">
      <alignment horizontal="center" vertical="center"/>
    </xf>
    <xf numFmtId="164" fontId="3" fillId="0" borderId="33" xfId="0" applyNumberFormat="1" applyFont="1" applyBorder="1" applyAlignment="1">
      <alignment horizontal="center" vertical="center"/>
    </xf>
    <xf numFmtId="164" fontId="3" fillId="0" borderId="32" xfId="0" applyNumberFormat="1" applyFont="1" applyBorder="1" applyAlignment="1">
      <alignment horizontal="center" vertical="center"/>
    </xf>
    <xf numFmtId="0" fontId="36" fillId="0" borderId="5" xfId="0" applyFont="1" applyBorder="1" applyAlignment="1">
      <alignment horizontal="center" vertical="center" wrapText="1"/>
    </xf>
    <xf numFmtId="165" fontId="26" fillId="0" borderId="0" xfId="1" applyNumberFormat="1" applyFont="1" applyAlignment="1">
      <alignment horizontal="center" vertical="center"/>
    </xf>
    <xf numFmtId="0" fontId="35" fillId="0" borderId="0" xfId="0" applyFont="1" applyAlignment="1">
      <alignment horizontal="center" vertical="center"/>
    </xf>
    <xf numFmtId="164" fontId="3" fillId="0" borderId="0" xfId="0" applyNumberFormat="1" applyFont="1" applyAlignment="1">
      <alignment horizontal="center" vertical="center"/>
    </xf>
    <xf numFmtId="164" fontId="3" fillId="0" borderId="10" xfId="0" applyNumberFormat="1" applyFont="1" applyBorder="1" applyAlignment="1">
      <alignment horizontal="center" vertical="center"/>
    </xf>
    <xf numFmtId="0" fontId="36" fillId="0" borderId="55" xfId="0" applyFont="1" applyBorder="1" applyAlignment="1">
      <alignment horizontal="center" vertical="center" wrapText="1"/>
    </xf>
    <xf numFmtId="164" fontId="3" fillId="0" borderId="13" xfId="0" applyNumberFormat="1" applyFont="1" applyBorder="1" applyAlignment="1">
      <alignment horizontal="center" vertical="center"/>
    </xf>
    <xf numFmtId="164" fontId="3" fillId="0" borderId="21" xfId="0" applyNumberFormat="1" applyFont="1" applyBorder="1" applyAlignment="1">
      <alignment horizontal="center" vertical="center"/>
    </xf>
    <xf numFmtId="164" fontId="3" fillId="0" borderId="56" xfId="0" applyNumberFormat="1" applyFont="1" applyBorder="1" applyAlignment="1">
      <alignment horizontal="center" vertical="center"/>
    </xf>
    <xf numFmtId="164" fontId="3" fillId="0" borderId="82" xfId="0" applyNumberFormat="1" applyFont="1" applyBorder="1" applyAlignment="1">
      <alignment horizontal="center" vertical="center"/>
    </xf>
    <xf numFmtId="165" fontId="53" fillId="4" borderId="15" xfId="0" applyNumberFormat="1" applyFont="1" applyFill="1" applyBorder="1" applyAlignment="1">
      <alignment horizontal="center" vertical="center"/>
    </xf>
    <xf numFmtId="165" fontId="53" fillId="4" borderId="27" xfId="0" applyNumberFormat="1" applyFont="1" applyFill="1" applyBorder="1" applyAlignment="1">
      <alignment horizontal="center" vertical="center"/>
    </xf>
    <xf numFmtId="0" fontId="53" fillId="4" borderId="81" xfId="0" applyFont="1" applyFill="1" applyBorder="1" applyAlignment="1">
      <alignment horizontal="center" vertical="center"/>
    </xf>
    <xf numFmtId="165" fontId="53" fillId="5" borderId="15" xfId="0" applyNumberFormat="1" applyFont="1" applyFill="1" applyBorder="1" applyAlignment="1">
      <alignment horizontal="center" vertical="center"/>
    </xf>
    <xf numFmtId="165" fontId="53" fillId="5" borderId="27" xfId="0" applyNumberFormat="1" applyFont="1" applyFill="1" applyBorder="1" applyAlignment="1">
      <alignment horizontal="center" vertical="center"/>
    </xf>
    <xf numFmtId="165" fontId="53" fillId="5" borderId="16" xfId="0" applyNumberFormat="1" applyFont="1" applyFill="1" applyBorder="1" applyAlignment="1">
      <alignment horizontal="center" vertical="center"/>
    </xf>
    <xf numFmtId="0" fontId="49" fillId="0" borderId="12" xfId="0" applyFont="1" applyBorder="1" applyAlignment="1">
      <alignment vertical="center"/>
    </xf>
    <xf numFmtId="0" fontId="49" fillId="0" borderId="4" xfId="0" applyFont="1" applyBorder="1" applyAlignment="1">
      <alignment vertical="center"/>
    </xf>
    <xf numFmtId="0" fontId="49" fillId="0" borderId="10" xfId="0" applyFont="1" applyBorder="1" applyAlignment="1">
      <alignment vertical="center"/>
    </xf>
    <xf numFmtId="165" fontId="67" fillId="0" borderId="8" xfId="0" applyNumberFormat="1" applyFont="1" applyBorder="1" applyAlignment="1">
      <alignment vertical="center"/>
    </xf>
    <xf numFmtId="165" fontId="67" fillId="0" borderId="12" xfId="0" applyNumberFormat="1" applyFont="1" applyBorder="1" applyAlignment="1">
      <alignment vertical="center"/>
    </xf>
    <xf numFmtId="164" fontId="3" fillId="0" borderId="4" xfId="0" applyNumberFormat="1" applyFont="1" applyBorder="1" applyAlignment="1">
      <alignment horizontal="center" vertical="center"/>
    </xf>
    <xf numFmtId="164" fontId="26" fillId="0" borderId="18" xfId="0" applyNumberFormat="1" applyFont="1" applyBorder="1" applyAlignment="1">
      <alignment horizontal="center" vertical="center"/>
    </xf>
    <xf numFmtId="164" fontId="26" fillId="0" borderId="19" xfId="0" applyNumberFormat="1" applyFont="1" applyBorder="1" applyAlignment="1">
      <alignment horizontal="center"/>
    </xf>
    <xf numFmtId="0" fontId="26" fillId="0" borderId="55" xfId="0" applyFont="1" applyBorder="1" applyAlignment="1">
      <alignment horizontal="center"/>
    </xf>
    <xf numFmtId="0" fontId="26" fillId="0" borderId="1" xfId="0" applyFont="1" applyBorder="1" applyAlignment="1">
      <alignment horizontal="center"/>
    </xf>
    <xf numFmtId="0" fontId="41" fillId="0" borderId="0" xfId="0" applyFont="1" applyAlignment="1">
      <alignment horizontal="right" vertical="center"/>
    </xf>
    <xf numFmtId="0" fontId="69" fillId="0" borderId="0" xfId="0" applyFont="1" applyAlignment="1">
      <alignment horizontal="right" vertical="center"/>
    </xf>
    <xf numFmtId="2" fontId="29" fillId="0" borderId="0" xfId="0" applyNumberFormat="1" applyFont="1" applyAlignment="1">
      <alignment horizontal="right" vertical="center"/>
    </xf>
    <xf numFmtId="2" fontId="34" fillId="0" borderId="0" xfId="0" applyNumberFormat="1" applyFont="1" applyAlignment="1">
      <alignment vertical="center"/>
    </xf>
    <xf numFmtId="2" fontId="29" fillId="0" borderId="0" xfId="0" applyNumberFormat="1" applyFont="1"/>
    <xf numFmtId="0" fontId="34" fillId="0" borderId="0" xfId="0" applyFont="1" applyAlignment="1">
      <alignment horizontal="left" vertical="center"/>
    </xf>
    <xf numFmtId="0" fontId="33" fillId="0" borderId="0" xfId="0" applyFont="1" applyAlignment="1">
      <alignment vertical="center"/>
    </xf>
    <xf numFmtId="0" fontId="9" fillId="0" borderId="0" xfId="0" applyFont="1" applyAlignment="1">
      <alignment horizontal="right" vertical="center"/>
    </xf>
    <xf numFmtId="0" fontId="34" fillId="0" borderId="0" xfId="0" applyFont="1" applyAlignment="1">
      <alignment horizontal="right" vertical="center"/>
    </xf>
    <xf numFmtId="165" fontId="26" fillId="0" borderId="0" xfId="0" applyNumberFormat="1" applyFont="1" applyAlignment="1">
      <alignment horizontal="center"/>
    </xf>
    <xf numFmtId="0" fontId="20" fillId="0" borderId="0" xfId="0" applyFont="1" applyAlignment="1">
      <alignment horizontal="left" vertical="center"/>
    </xf>
    <xf numFmtId="0" fontId="33" fillId="0" borderId="0" xfId="0" applyFont="1" applyAlignment="1">
      <alignment horizontal="center" vertical="center"/>
    </xf>
    <xf numFmtId="2" fontId="34" fillId="0" borderId="62" xfId="0" applyNumberFormat="1" applyFont="1" applyBorder="1" applyAlignment="1">
      <alignment horizontal="center" vertical="center"/>
    </xf>
    <xf numFmtId="2" fontId="29" fillId="0" borderId="47" xfId="0" applyNumberFormat="1" applyFont="1" applyBorder="1" applyAlignment="1">
      <alignment horizontal="center" vertical="center"/>
    </xf>
    <xf numFmtId="2" fontId="29" fillId="7" borderId="64" xfId="0" applyNumberFormat="1" applyFont="1" applyFill="1" applyBorder="1" applyAlignment="1">
      <alignment horizontal="center" vertical="center"/>
    </xf>
    <xf numFmtId="2" fontId="29" fillId="7" borderId="97" xfId="0" applyNumberFormat="1" applyFont="1" applyFill="1" applyBorder="1" applyAlignment="1">
      <alignment horizontal="center" vertical="center"/>
    </xf>
    <xf numFmtId="2" fontId="34" fillId="0" borderId="101" xfId="0" applyNumberFormat="1" applyFont="1" applyBorder="1" applyAlignment="1">
      <alignment horizontal="center" vertical="center"/>
    </xf>
    <xf numFmtId="0" fontId="34" fillId="0" borderId="101" xfId="0" applyFont="1" applyBorder="1" applyAlignment="1">
      <alignment horizontal="center" vertical="center"/>
    </xf>
    <xf numFmtId="2" fontId="34" fillId="0" borderId="102" xfId="0" applyNumberFormat="1" applyFont="1" applyBorder="1" applyAlignment="1">
      <alignment horizontal="center" vertical="center"/>
    </xf>
    <xf numFmtId="0" fontId="29" fillId="0" borderId="103" xfId="0" applyFont="1" applyBorder="1" applyAlignment="1">
      <alignment vertical="center"/>
    </xf>
    <xf numFmtId="0" fontId="34" fillId="0" borderId="104" xfId="0" applyFont="1" applyBorder="1" applyAlignment="1">
      <alignment horizontal="center" vertical="center"/>
    </xf>
    <xf numFmtId="0" fontId="34" fillId="0" borderId="105" xfId="0" applyFont="1" applyBorder="1" applyAlignment="1">
      <alignment horizontal="center" vertical="center"/>
    </xf>
    <xf numFmtId="0" fontId="34" fillId="7" borderId="106" xfId="0" applyFont="1" applyFill="1" applyBorder="1" applyAlignment="1">
      <alignment horizontal="center" vertical="center"/>
    </xf>
    <xf numFmtId="2" fontId="34" fillId="0" borderId="98" xfId="0" applyNumberFormat="1" applyFont="1" applyBorder="1" applyAlignment="1">
      <alignment horizontal="center" vertical="center"/>
    </xf>
    <xf numFmtId="0" fontId="8" fillId="2" borderId="6" xfId="1" applyFont="1" applyFill="1" applyBorder="1"/>
    <xf numFmtId="0" fontId="49" fillId="0" borderId="0" xfId="0" applyFont="1" applyAlignment="1">
      <alignment horizontal="center" vertical="center"/>
    </xf>
    <xf numFmtId="0" fontId="49" fillId="0" borderId="42" xfId="0" applyFont="1" applyBorder="1" applyAlignment="1">
      <alignment horizontal="center" vertical="center"/>
    </xf>
    <xf numFmtId="2" fontId="29" fillId="0" borderId="42" xfId="0" applyNumberFormat="1" applyFont="1" applyBorder="1" applyAlignment="1">
      <alignment horizontal="center" vertical="center"/>
    </xf>
    <xf numFmtId="0" fontId="35" fillId="0" borderId="0" xfId="0" applyFont="1" applyAlignment="1">
      <alignment vertical="center" wrapText="1"/>
    </xf>
    <xf numFmtId="0" fontId="34" fillId="0" borderId="6" xfId="0" applyFont="1" applyBorder="1" applyAlignment="1">
      <alignment horizontal="center" vertical="center" wrapText="1"/>
    </xf>
    <xf numFmtId="2" fontId="29" fillId="0" borderId="61" xfId="0" applyNumberFormat="1" applyFont="1" applyBorder="1" applyAlignment="1">
      <alignment horizontal="center" vertical="center"/>
    </xf>
    <xf numFmtId="2" fontId="29" fillId="0" borderId="62" xfId="0" applyNumberFormat="1" applyFont="1" applyBorder="1" applyAlignment="1">
      <alignment horizontal="center" vertical="center"/>
    </xf>
    <xf numFmtId="2" fontId="29" fillId="0" borderId="52" xfId="0" applyNumberFormat="1" applyFont="1" applyBorder="1" applyAlignment="1">
      <alignment horizontal="center" vertical="center"/>
    </xf>
    <xf numFmtId="0" fontId="31" fillId="0" borderId="45" xfId="1" applyFont="1" applyBorder="1" applyAlignment="1">
      <alignment horizontal="left" vertical="center"/>
    </xf>
    <xf numFmtId="0" fontId="31" fillId="0" borderId="42" xfId="1" applyFont="1" applyBorder="1" applyAlignment="1">
      <alignment horizontal="left" vertical="center"/>
    </xf>
    <xf numFmtId="0" fontId="31" fillId="0" borderId="0" xfId="1" applyFont="1" applyAlignment="1">
      <alignment horizontal="left" vertical="center"/>
    </xf>
    <xf numFmtId="0" fontId="12" fillId="0" borderId="40" xfId="1" applyFont="1" applyBorder="1" applyAlignment="1">
      <alignment horizontal="center" vertical="center"/>
    </xf>
    <xf numFmtId="0" fontId="12" fillId="0" borderId="39" xfId="1" applyFont="1" applyBorder="1" applyAlignment="1">
      <alignment horizontal="center" vertical="center"/>
    </xf>
    <xf numFmtId="0" fontId="7" fillId="0" borderId="38" xfId="1" applyFont="1" applyBorder="1" applyAlignment="1">
      <alignment vertical="center"/>
    </xf>
    <xf numFmtId="0" fontId="7" fillId="0" borderId="0" xfId="0" applyFont="1" applyAlignment="1">
      <alignment horizontal="right" vertical="center"/>
    </xf>
    <xf numFmtId="0" fontId="77" fillId="0" borderId="0" xfId="0" applyFont="1" applyAlignment="1">
      <alignment horizontal="center" vertical="center" wrapText="1"/>
    </xf>
    <xf numFmtId="0" fontId="21" fillId="0" borderId="0" xfId="0" applyFont="1" applyAlignment="1">
      <alignment horizontal="left"/>
    </xf>
    <xf numFmtId="165" fontId="29" fillId="0" borderId="0" xfId="0" applyNumberFormat="1" applyFont="1" applyAlignment="1">
      <alignment vertical="center"/>
    </xf>
    <xf numFmtId="165" fontId="32" fillId="0" borderId="0" xfId="0" applyNumberFormat="1" applyFont="1" applyAlignment="1">
      <alignment horizontal="center" vertical="center"/>
    </xf>
    <xf numFmtId="0" fontId="29" fillId="0" borderId="14" xfId="0" applyFont="1" applyBorder="1" applyAlignment="1">
      <alignment horizontal="right" vertical="center" wrapText="1"/>
    </xf>
    <xf numFmtId="0" fontId="78" fillId="0" borderId="0" xfId="0" applyFont="1" applyAlignment="1">
      <alignment horizontal="left" vertical="center"/>
    </xf>
    <xf numFmtId="0" fontId="29" fillId="0" borderId="0" xfId="0" applyFont="1" applyAlignment="1">
      <alignment horizontal="right" vertical="center" wrapText="1"/>
    </xf>
    <xf numFmtId="0" fontId="37" fillId="0" borderId="0" xfId="0" applyFont="1" applyAlignment="1">
      <alignment horizontal="left" vertical="center"/>
    </xf>
    <xf numFmtId="165" fontId="29" fillId="0" borderId="48" xfId="0" applyNumberFormat="1" applyFont="1" applyBorder="1" applyAlignment="1">
      <alignment horizontal="center" vertical="center"/>
    </xf>
    <xf numFmtId="0" fontId="57" fillId="0" borderId="4" xfId="0" applyFont="1" applyBorder="1"/>
    <xf numFmtId="0" fontId="35" fillId="3" borderId="2" xfId="0" applyFont="1" applyFill="1" applyBorder="1" applyAlignment="1">
      <alignment horizontal="center" vertical="center"/>
    </xf>
    <xf numFmtId="0" fontId="36" fillId="0" borderId="7" xfId="0" applyFont="1" applyBorder="1" applyAlignment="1">
      <alignment horizontal="center" vertical="center"/>
    </xf>
    <xf numFmtId="165" fontId="3" fillId="0" borderId="7" xfId="0" applyNumberFormat="1" applyFont="1" applyBorder="1" applyAlignment="1">
      <alignment horizontal="center" vertical="center"/>
    </xf>
    <xf numFmtId="165" fontId="3" fillId="0" borderId="48" xfId="0" applyNumberFormat="1" applyFont="1" applyBorder="1" applyAlignment="1">
      <alignment horizontal="center" vertical="center"/>
    </xf>
    <xf numFmtId="165" fontId="3" fillId="0" borderId="42" xfId="0" applyNumberFormat="1" applyFont="1" applyBorder="1" applyAlignment="1">
      <alignment horizontal="center" vertical="center"/>
    </xf>
    <xf numFmtId="165" fontId="3" fillId="0" borderId="67" xfId="0" applyNumberFormat="1" applyFont="1" applyBorder="1" applyAlignment="1">
      <alignment horizontal="center" vertical="center"/>
    </xf>
    <xf numFmtId="165" fontId="3" fillId="0" borderId="4" xfId="0" applyNumberFormat="1" applyFont="1" applyBorder="1" applyAlignment="1">
      <alignment horizontal="center" vertical="center"/>
    </xf>
    <xf numFmtId="165" fontId="3" fillId="0" borderId="88" xfId="0" applyNumberFormat="1" applyFont="1" applyBorder="1" applyAlignment="1">
      <alignment horizontal="center" vertical="center"/>
    </xf>
    <xf numFmtId="0" fontId="36" fillId="4" borderId="110" xfId="0" applyFont="1" applyFill="1" applyBorder="1" applyAlignment="1">
      <alignment horizontal="center" vertical="center" wrapText="1"/>
    </xf>
    <xf numFmtId="165" fontId="3" fillId="0" borderId="35" xfId="0" applyNumberFormat="1" applyFont="1" applyBorder="1" applyAlignment="1">
      <alignment horizontal="center" vertical="center"/>
    </xf>
    <xf numFmtId="165" fontId="3" fillId="0" borderId="111" xfId="0" applyNumberFormat="1" applyFont="1" applyBorder="1" applyAlignment="1">
      <alignment horizontal="center" vertical="center"/>
    </xf>
    <xf numFmtId="9" fontId="29" fillId="0" borderId="0" xfId="0" applyNumberFormat="1" applyFont="1" applyAlignment="1">
      <alignment horizontal="center" vertical="center"/>
    </xf>
    <xf numFmtId="2" fontId="36" fillId="0" borderId="0" xfId="0" applyNumberFormat="1" applyFont="1" applyAlignment="1">
      <alignment vertical="center" wrapText="1"/>
    </xf>
    <xf numFmtId="2" fontId="26" fillId="0" borderId="0" xfId="0" applyNumberFormat="1" applyFont="1" applyAlignment="1">
      <alignment horizontal="left" vertical="center" wrapText="1"/>
    </xf>
    <xf numFmtId="2" fontId="29" fillId="0" borderId="0" xfId="0" applyNumberFormat="1" applyFont="1" applyAlignment="1">
      <alignment vertical="center" wrapText="1"/>
    </xf>
    <xf numFmtId="0" fontId="55" fillId="0" borderId="0" xfId="0" applyFont="1" applyAlignment="1">
      <alignment vertical="center"/>
    </xf>
    <xf numFmtId="2" fontId="35" fillId="0" borderId="0" xfId="0" applyNumberFormat="1" applyFont="1" applyAlignment="1">
      <alignment horizontal="right" vertical="center" wrapText="1"/>
    </xf>
    <xf numFmtId="2" fontId="29" fillId="0" borderId="6" xfId="0" applyNumberFormat="1" applyFont="1" applyBorder="1" applyAlignment="1">
      <alignment horizontal="center" vertical="center" wrapText="1"/>
    </xf>
    <xf numFmtId="0" fontId="55" fillId="0" borderId="6" xfId="0" applyFont="1" applyBorder="1" applyAlignment="1">
      <alignment horizontal="right" vertical="center"/>
    </xf>
    <xf numFmtId="2" fontId="55" fillId="0" borderId="6" xfId="0" applyNumberFormat="1" applyFont="1" applyBorder="1" applyAlignment="1">
      <alignment horizontal="center" vertical="center"/>
    </xf>
    <xf numFmtId="2" fontId="29" fillId="7" borderId="68" xfId="0" applyNumberFormat="1" applyFont="1" applyFill="1" applyBorder="1" applyAlignment="1">
      <alignment horizontal="center" vertical="center"/>
    </xf>
    <xf numFmtId="0" fontId="66" fillId="0" borderId="0" xfId="0" applyFont="1" applyAlignment="1">
      <alignment vertical="center"/>
    </xf>
    <xf numFmtId="0" fontId="29" fillId="0" borderId="0" xfId="0" applyFont="1" applyAlignment="1">
      <alignment horizontal="center" vertical="center"/>
    </xf>
    <xf numFmtId="173" fontId="29" fillId="0" borderId="6" xfId="0" applyNumberFormat="1" applyFont="1" applyBorder="1" applyAlignment="1">
      <alignment horizontal="center" vertical="center"/>
    </xf>
    <xf numFmtId="2" fontId="29" fillId="0" borderId="107" xfId="0" applyNumberFormat="1" applyFont="1" applyBorder="1" applyAlignment="1">
      <alignment horizontal="center" vertical="center"/>
    </xf>
    <xf numFmtId="2" fontId="29" fillId="0" borderId="104" xfId="0" applyNumberFormat="1" applyFont="1" applyBorder="1" applyAlignment="1">
      <alignment horizontal="center" vertical="center"/>
    </xf>
    <xf numFmtId="0" fontId="34" fillId="0" borderId="107" xfId="0" applyFont="1" applyBorder="1" applyAlignment="1">
      <alignment horizontal="center" vertical="center"/>
    </xf>
    <xf numFmtId="0" fontId="34" fillId="0" borderId="106" xfId="0" applyFont="1" applyBorder="1" applyAlignment="1">
      <alignment horizontal="center" vertical="center"/>
    </xf>
    <xf numFmtId="0" fontId="31" fillId="0" borderId="42" xfId="1" applyFont="1" applyBorder="1" applyAlignment="1">
      <alignment horizontal="center" vertical="center"/>
    </xf>
    <xf numFmtId="165" fontId="29" fillId="0" borderId="6" xfId="0" applyNumberFormat="1" applyFont="1" applyBorder="1" applyAlignment="1">
      <alignment horizontal="center" vertical="center"/>
    </xf>
    <xf numFmtId="0" fontId="58" fillId="0" borderId="0" xfId="0" applyFont="1" applyAlignment="1">
      <alignment vertical="center" wrapText="1"/>
    </xf>
    <xf numFmtId="0" fontId="39" fillId="0" borderId="6" xfId="0" applyFont="1" applyBorder="1" applyAlignment="1">
      <alignment horizontal="right" vertical="center"/>
    </xf>
    <xf numFmtId="0" fontId="26" fillId="0" borderId="6" xfId="1" applyFont="1" applyBorder="1" applyAlignment="1">
      <alignment horizontal="center" vertical="center"/>
    </xf>
    <xf numFmtId="0" fontId="39" fillId="0" borderId="0" xfId="1" applyFont="1" applyAlignment="1">
      <alignment vertical="center"/>
    </xf>
    <xf numFmtId="0" fontId="55" fillId="0" borderId="0" xfId="1" applyFont="1"/>
    <xf numFmtId="0" fontId="55" fillId="0" borderId="0" xfId="1" applyFont="1" applyAlignment="1">
      <alignment vertical="center" wrapText="1"/>
    </xf>
    <xf numFmtId="0" fontId="55" fillId="0" borderId="0" xfId="1" applyFont="1" applyAlignment="1">
      <alignment horizontal="right" vertical="center" wrapText="1"/>
    </xf>
    <xf numFmtId="165" fontId="85" fillId="0" borderId="0" xfId="1" applyNumberFormat="1" applyFont="1" applyAlignment="1">
      <alignment horizontal="center" vertical="center"/>
    </xf>
    <xf numFmtId="2" fontId="55" fillId="0" borderId="40" xfId="1" applyNumberFormat="1" applyFont="1" applyBorder="1" applyAlignment="1">
      <alignment horizontal="left" vertical="center" wrapText="1"/>
    </xf>
    <xf numFmtId="0" fontId="55" fillId="0" borderId="39" xfId="1" applyFont="1" applyBorder="1"/>
    <xf numFmtId="0" fontId="55" fillId="0" borderId="6" xfId="1" applyFont="1" applyBorder="1" applyAlignment="1">
      <alignment horizontal="center" vertical="center" wrapText="1"/>
    </xf>
    <xf numFmtId="0" fontId="55" fillId="0" borderId="6" xfId="1" applyFont="1" applyBorder="1" applyAlignment="1">
      <alignment horizontal="center" vertical="center"/>
    </xf>
    <xf numFmtId="2" fontId="55" fillId="2" borderId="47" xfId="1" applyNumberFormat="1" applyFont="1" applyFill="1" applyBorder="1" applyAlignment="1">
      <alignment horizontal="center" vertical="center"/>
    </xf>
    <xf numFmtId="165" fontId="55" fillId="2" borderId="47" xfId="1" applyNumberFormat="1" applyFont="1" applyFill="1" applyBorder="1" applyAlignment="1">
      <alignment horizontal="center" vertical="center"/>
    </xf>
    <xf numFmtId="0" fontId="86" fillId="0" borderId="0" xfId="1" applyFont="1"/>
    <xf numFmtId="165" fontId="55" fillId="0" borderId="0" xfId="1" applyNumberFormat="1" applyFont="1" applyAlignment="1">
      <alignment horizontal="left" vertical="center"/>
    </xf>
    <xf numFmtId="0" fontId="88" fillId="0" borderId="0" xfId="1" applyFont="1" applyAlignment="1">
      <alignment horizontal="right"/>
    </xf>
    <xf numFmtId="2" fontId="32" fillId="0" borderId="52" xfId="0" applyNumberFormat="1" applyFont="1" applyBorder="1" applyAlignment="1">
      <alignment horizontal="center" vertical="center"/>
    </xf>
    <xf numFmtId="2" fontId="32" fillId="0" borderId="6" xfId="0" applyNumberFormat="1" applyFont="1" applyBorder="1" applyAlignment="1">
      <alignment horizontal="center" vertical="center"/>
    </xf>
    <xf numFmtId="2" fontId="32" fillId="0" borderId="47" xfId="0" applyNumberFormat="1" applyFont="1" applyBorder="1" applyAlignment="1">
      <alignment horizontal="center" vertical="center"/>
    </xf>
    <xf numFmtId="0" fontId="30" fillId="2" borderId="45" xfId="1" applyFont="1" applyFill="1" applyBorder="1" applyAlignment="1">
      <alignment horizontal="left" vertical="center"/>
    </xf>
    <xf numFmtId="0" fontId="91" fillId="0" borderId="44" xfId="1" applyFont="1" applyBorder="1" applyAlignment="1">
      <alignment horizontal="center" vertical="center"/>
    </xf>
    <xf numFmtId="0" fontId="30" fillId="2" borderId="42" xfId="1" applyFont="1" applyFill="1" applyBorder="1" applyAlignment="1">
      <alignment horizontal="left" vertical="center"/>
    </xf>
    <xf numFmtId="0" fontId="29" fillId="0" borderId="41" xfId="1" applyFont="1" applyBorder="1" applyAlignment="1">
      <alignment horizontal="center" vertical="center"/>
    </xf>
    <xf numFmtId="0" fontId="30" fillId="2" borderId="0" xfId="1" applyFont="1" applyFill="1" applyAlignment="1">
      <alignment horizontal="left" vertical="center"/>
    </xf>
    <xf numFmtId="0" fontId="32" fillId="0" borderId="42" xfId="1" applyFont="1" applyBorder="1" applyAlignment="1">
      <alignment vertical="top" wrapText="1"/>
    </xf>
    <xf numFmtId="167" fontId="29" fillId="0" borderId="56" xfId="0" applyNumberFormat="1" applyFont="1" applyBorder="1" applyAlignment="1">
      <alignment horizontal="center" vertical="center"/>
    </xf>
    <xf numFmtId="0" fontId="58" fillId="0" borderId="71" xfId="0" applyFont="1" applyBorder="1" applyAlignment="1">
      <alignment vertical="center" wrapText="1"/>
    </xf>
    <xf numFmtId="0" fontId="79" fillId="0" borderId="0" xfId="0" applyFont="1" applyAlignment="1">
      <alignment vertical="center" wrapText="1"/>
    </xf>
    <xf numFmtId="2" fontId="83" fillId="0" borderId="71" xfId="0" applyNumberFormat="1" applyFont="1" applyBorder="1" applyAlignment="1">
      <alignment vertical="center" wrapText="1"/>
    </xf>
    <xf numFmtId="2" fontId="83" fillId="0" borderId="0" xfId="0" applyNumberFormat="1" applyFont="1" applyAlignment="1">
      <alignment vertical="center" wrapText="1"/>
    </xf>
    <xf numFmtId="2" fontId="29" fillId="0" borderId="105" xfId="0" applyNumberFormat="1" applyFont="1" applyBorder="1" applyAlignment="1">
      <alignment horizontal="center" vertical="center"/>
    </xf>
    <xf numFmtId="2" fontId="92" fillId="2" borderId="6" xfId="0" applyNumberFormat="1" applyFont="1" applyFill="1" applyBorder="1" applyAlignment="1">
      <alignment horizontal="center" vertical="center" wrapText="1"/>
    </xf>
    <xf numFmtId="0" fontId="93" fillId="0" borderId="0" xfId="1" applyFont="1"/>
    <xf numFmtId="0" fontId="75" fillId="0" borderId="0" xfId="1" applyFont="1"/>
    <xf numFmtId="0" fontId="6" fillId="0" borderId="0" xfId="1" applyFont="1"/>
    <xf numFmtId="165" fontId="92" fillId="2" borderId="6" xfId="0" applyNumberFormat="1" applyFont="1" applyFill="1" applyBorder="1" applyAlignment="1">
      <alignment horizontal="center" vertical="center"/>
    </xf>
    <xf numFmtId="0" fontId="55" fillId="0" borderId="6" xfId="0" applyFont="1" applyBorder="1" applyAlignment="1">
      <alignment horizontal="right" vertical="center" wrapText="1"/>
    </xf>
    <xf numFmtId="167" fontId="92" fillId="2" borderId="56" xfId="0" applyNumberFormat="1" applyFont="1" applyFill="1" applyBorder="1" applyAlignment="1">
      <alignment horizontal="center" vertical="center"/>
    </xf>
    <xf numFmtId="0" fontId="6" fillId="0" borderId="6" xfId="0" applyFont="1" applyBorder="1" applyAlignment="1">
      <alignment horizontal="right" vertical="center"/>
    </xf>
    <xf numFmtId="0" fontId="95" fillId="0" borderId="0" xfId="1" applyFont="1" applyAlignment="1">
      <alignment horizontal="right"/>
    </xf>
    <xf numFmtId="0" fontId="95" fillId="0" borderId="0" xfId="1" applyFont="1"/>
    <xf numFmtId="0" fontId="13" fillId="0" borderId="34" xfId="0" applyFont="1" applyBorder="1" applyAlignment="1">
      <alignment horizontal="right" vertical="center"/>
    </xf>
    <xf numFmtId="2" fontId="13" fillId="0" borderId="6" xfId="0" applyNumberFormat="1" applyFont="1" applyBorder="1" applyAlignment="1">
      <alignment horizontal="right" vertical="center" wrapText="1"/>
    </xf>
    <xf numFmtId="0" fontId="80" fillId="0" borderId="0" xfId="0" applyFont="1" applyAlignment="1">
      <alignment wrapText="1"/>
    </xf>
    <xf numFmtId="0" fontId="18" fillId="0" borderId="0" xfId="0" applyFont="1" applyAlignment="1">
      <alignment horizontal="center" vertical="center" wrapText="1"/>
    </xf>
    <xf numFmtId="0" fontId="76" fillId="0" borderId="0" xfId="0" applyFont="1" applyAlignment="1">
      <alignment wrapText="1"/>
    </xf>
    <xf numFmtId="0" fontId="34" fillId="0" borderId="0" xfId="0" applyFont="1" applyAlignment="1">
      <alignment vertical="center" wrapText="1"/>
    </xf>
    <xf numFmtId="0" fontId="34" fillId="0" borderId="0" xfId="0" applyFont="1" applyAlignment="1">
      <alignment vertical="center"/>
    </xf>
    <xf numFmtId="0" fontId="34" fillId="5" borderId="106" xfId="0" applyFont="1" applyFill="1" applyBorder="1" applyAlignment="1">
      <alignment horizontal="center" vertical="center"/>
    </xf>
    <xf numFmtId="2" fontId="29" fillId="5" borderId="106" xfId="0" applyNumberFormat="1" applyFont="1" applyFill="1" applyBorder="1" applyAlignment="1">
      <alignment horizontal="center" vertical="center"/>
    </xf>
    <xf numFmtId="0" fontId="39" fillId="0" borderId="0" xfId="0" applyFont="1" applyAlignment="1">
      <alignment vertical="center" wrapText="1"/>
    </xf>
    <xf numFmtId="0" fontId="29" fillId="0" borderId="0" xfId="0" applyFont="1" applyAlignment="1">
      <alignment horizontal="center" wrapText="1"/>
    </xf>
    <xf numFmtId="0" fontId="35" fillId="0" borderId="18" xfId="0" applyFont="1" applyBorder="1" applyAlignment="1">
      <alignment horizontal="center" vertical="center"/>
    </xf>
    <xf numFmtId="0" fontId="35" fillId="0" borderId="19" xfId="0" applyFont="1" applyBorder="1" applyAlignment="1">
      <alignment horizontal="center" vertical="center"/>
    </xf>
    <xf numFmtId="2" fontId="32" fillId="0" borderId="105" xfId="0" applyNumberFormat="1" applyFont="1" applyBorder="1" applyAlignment="1">
      <alignment horizontal="center" vertical="center"/>
    </xf>
    <xf numFmtId="2" fontId="32" fillId="0" borderId="106" xfId="0" applyNumberFormat="1" applyFont="1" applyBorder="1" applyAlignment="1">
      <alignment horizontal="center" vertical="center"/>
    </xf>
    <xf numFmtId="2" fontId="26" fillId="0" borderId="0" xfId="0" applyNumberFormat="1" applyFont="1" applyAlignment="1">
      <alignment vertical="center" wrapText="1"/>
    </xf>
    <xf numFmtId="165" fontId="29" fillId="0" borderId="0" xfId="0" applyNumberFormat="1" applyFont="1" applyAlignment="1">
      <alignment horizontal="center" vertical="center"/>
    </xf>
    <xf numFmtId="165" fontId="58" fillId="0" borderId="71" xfId="0" applyNumberFormat="1" applyFont="1" applyBorder="1" applyAlignment="1">
      <alignment vertical="center" wrapText="1"/>
    </xf>
    <xf numFmtId="165" fontId="58" fillId="0" borderId="0" xfId="0" applyNumberFormat="1" applyFont="1" applyAlignment="1">
      <alignment vertical="center" wrapText="1"/>
    </xf>
    <xf numFmtId="0" fontId="58" fillId="0" borderId="0" xfId="0" applyFont="1" applyAlignment="1">
      <alignment vertical="center"/>
    </xf>
    <xf numFmtId="2" fontId="29" fillId="9" borderId="6" xfId="0" applyNumberFormat="1" applyFont="1" applyFill="1" applyBorder="1" applyAlignment="1">
      <alignment horizontal="center" vertical="center"/>
    </xf>
    <xf numFmtId="2" fontId="29" fillId="9" borderId="47" xfId="0" applyNumberFormat="1" applyFont="1" applyFill="1" applyBorder="1" applyAlignment="1">
      <alignment horizontal="center" vertical="center"/>
    </xf>
    <xf numFmtId="2" fontId="29" fillId="0" borderId="115" xfId="0" applyNumberFormat="1" applyFont="1" applyBorder="1" applyAlignment="1">
      <alignment horizontal="center" vertical="center"/>
    </xf>
    <xf numFmtId="2" fontId="29" fillId="0" borderId="35" xfId="0" applyNumberFormat="1" applyFont="1" applyBorder="1" applyAlignment="1">
      <alignment horizontal="center" vertical="center"/>
    </xf>
    <xf numFmtId="2" fontId="32" fillId="0" borderId="35" xfId="0" applyNumberFormat="1" applyFont="1" applyBorder="1" applyAlignment="1">
      <alignment horizontal="center" vertical="center"/>
    </xf>
    <xf numFmtId="2" fontId="32" fillId="0" borderId="42" xfId="0" applyNumberFormat="1" applyFont="1" applyBorder="1" applyAlignment="1">
      <alignment horizontal="center" vertical="center"/>
    </xf>
    <xf numFmtId="2" fontId="29" fillId="7" borderId="63" xfId="0" applyNumberFormat="1" applyFont="1" applyFill="1" applyBorder="1" applyAlignment="1">
      <alignment horizontal="center" vertical="center"/>
    </xf>
    <xf numFmtId="0" fontId="77" fillId="0" borderId="0" xfId="0" applyFont="1" applyAlignment="1">
      <alignment vertical="center" wrapText="1"/>
    </xf>
    <xf numFmtId="0" fontId="58" fillId="0" borderId="0" xfId="0" applyFont="1" applyAlignment="1">
      <alignment horizontal="left" vertical="center" wrapText="1"/>
    </xf>
    <xf numFmtId="0" fontId="0" fillId="0" borderId="6" xfId="1" applyFont="1" applyBorder="1" applyAlignment="1">
      <alignment horizontal="right" vertical="center"/>
    </xf>
    <xf numFmtId="2" fontId="92" fillId="0" borderId="6" xfId="1" applyNumberFormat="1" applyFont="1" applyBorder="1" applyAlignment="1">
      <alignment horizontal="center" vertical="center"/>
    </xf>
    <xf numFmtId="0" fontId="55" fillId="0" borderId="72" xfId="1" applyFont="1" applyBorder="1"/>
    <xf numFmtId="0" fontId="55" fillId="0" borderId="48" xfId="1" applyFont="1" applyBorder="1"/>
    <xf numFmtId="0" fontId="0" fillId="0" borderId="6" xfId="1" applyFont="1" applyBorder="1" applyAlignment="1">
      <alignment horizontal="right"/>
    </xf>
    <xf numFmtId="0" fontId="92" fillId="2" borderId="6" xfId="1" applyFont="1" applyFill="1" applyBorder="1" applyAlignment="1">
      <alignment horizontal="center" vertical="center"/>
    </xf>
    <xf numFmtId="0" fontId="107" fillId="0" borderId="0" xfId="0" applyFont="1" applyAlignment="1">
      <alignment horizontal="center" vertical="center"/>
    </xf>
    <xf numFmtId="2" fontId="39" fillId="0" borderId="0" xfId="0" applyNumberFormat="1" applyFont="1" applyAlignment="1">
      <alignment horizontal="left" vertical="center" wrapText="1"/>
    </xf>
    <xf numFmtId="0" fontId="117" fillId="0" borderId="0" xfId="0" applyFont="1" applyAlignment="1">
      <alignment horizontal="right" vertical="center"/>
    </xf>
    <xf numFmtId="0" fontId="115" fillId="0" borderId="0" xfId="0" applyFont="1" applyAlignment="1">
      <alignment horizontal="left" vertical="center"/>
    </xf>
    <xf numFmtId="164" fontId="29" fillId="0" borderId="0" xfId="0" applyNumberFormat="1" applyFont="1" applyAlignment="1">
      <alignment horizontal="center" vertical="center"/>
    </xf>
    <xf numFmtId="0" fontId="118" fillId="0" borderId="0" xfId="0" applyFont="1" applyAlignment="1">
      <alignment horizontal="right" vertical="center"/>
    </xf>
    <xf numFmtId="0" fontId="16" fillId="0" borderId="0" xfId="0" applyFont="1" applyAlignment="1">
      <alignment horizontal="right" vertical="center"/>
    </xf>
    <xf numFmtId="0" fontId="119" fillId="0" borderId="0" xfId="0" applyFont="1" applyAlignment="1">
      <alignment horizontal="right" vertical="center"/>
    </xf>
    <xf numFmtId="2" fontId="34" fillId="0" borderId="0" xfId="0" applyNumberFormat="1" applyFont="1" applyAlignment="1">
      <alignment horizontal="center" vertical="center"/>
    </xf>
    <xf numFmtId="0" fontId="17" fillId="0" borderId="0" xfId="0" applyFont="1" applyAlignment="1">
      <alignment horizontal="right" vertical="center"/>
    </xf>
    <xf numFmtId="165" fontId="92" fillId="0" borderId="0" xfId="0" applyNumberFormat="1" applyFont="1" applyAlignment="1">
      <alignment horizontal="right" vertical="center"/>
    </xf>
    <xf numFmtId="0" fontId="34" fillId="4" borderId="6" xfId="0" applyFont="1" applyFill="1" applyBorder="1" applyAlignment="1">
      <alignment horizontal="center" vertical="center"/>
    </xf>
    <xf numFmtId="0" fontId="92" fillId="0" borderId="0" xfId="0" applyFont="1" applyAlignment="1">
      <alignment horizontal="left" vertical="center"/>
    </xf>
    <xf numFmtId="0" fontId="83" fillId="0" borderId="0" xfId="0" applyFont="1" applyAlignment="1">
      <alignment vertical="center" wrapText="1"/>
    </xf>
    <xf numFmtId="2" fontId="29" fillId="4" borderId="6" xfId="0" applyNumberFormat="1" applyFont="1" applyFill="1" applyBorder="1" applyAlignment="1">
      <alignment horizontal="center" vertical="center"/>
    </xf>
    <xf numFmtId="2" fontId="34" fillId="0" borderId="0" xfId="0" applyNumberFormat="1" applyFont="1" applyAlignment="1">
      <alignment vertical="center" wrapText="1"/>
    </xf>
    <xf numFmtId="0" fontId="55" fillId="0" borderId="35" xfId="0" applyFont="1" applyBorder="1" applyAlignment="1">
      <alignment horizontal="right" vertical="center"/>
    </xf>
    <xf numFmtId="0" fontId="33" fillId="0" borderId="0" xfId="1" applyFont="1" applyAlignment="1">
      <alignment horizontal="center" vertical="center"/>
    </xf>
    <xf numFmtId="0" fontId="19" fillId="0" borderId="0" xfId="1" applyFont="1" applyAlignment="1">
      <alignment horizontal="right" vertical="center"/>
    </xf>
    <xf numFmtId="2" fontId="123" fillId="0" borderId="6" xfId="1" applyNumberFormat="1" applyFont="1" applyBorder="1" applyAlignment="1">
      <alignment horizontal="center" vertical="center"/>
    </xf>
    <xf numFmtId="0" fontId="34" fillId="0" borderId="29" xfId="1" applyFont="1" applyBorder="1" applyAlignment="1">
      <alignment horizontal="center" vertical="center"/>
    </xf>
    <xf numFmtId="0" fontId="34" fillId="0" borderId="56" xfId="1" applyFont="1" applyBorder="1" applyAlignment="1">
      <alignment horizontal="center" vertical="center" wrapText="1"/>
    </xf>
    <xf numFmtId="0" fontId="39" fillId="0" borderId="6" xfId="1" applyFont="1" applyBorder="1" applyAlignment="1">
      <alignment vertical="center" wrapText="1"/>
    </xf>
    <xf numFmtId="2" fontId="29" fillId="0" borderId="90" xfId="0" applyNumberFormat="1" applyFont="1" applyBorder="1" applyAlignment="1">
      <alignment horizontal="center" vertical="center"/>
    </xf>
    <xf numFmtId="2" fontId="29" fillId="0" borderId="65" xfId="0" applyNumberFormat="1" applyFont="1" applyBorder="1" applyAlignment="1">
      <alignment horizontal="center" vertical="center"/>
    </xf>
    <xf numFmtId="2" fontId="29" fillId="0" borderId="84" xfId="0" applyNumberFormat="1" applyFont="1" applyBorder="1" applyAlignment="1">
      <alignment horizontal="center" vertical="center"/>
    </xf>
    <xf numFmtId="2" fontId="32" fillId="0" borderId="66" xfId="0" applyNumberFormat="1" applyFont="1" applyBorder="1" applyAlignment="1">
      <alignment horizontal="center" vertical="center"/>
    </xf>
    <xf numFmtId="2" fontId="29" fillId="0" borderId="66" xfId="0" applyNumberFormat="1" applyFont="1" applyBorder="1" applyAlignment="1">
      <alignment horizontal="center" vertical="center"/>
    </xf>
    <xf numFmtId="2" fontId="32" fillId="0" borderId="69" xfId="0" applyNumberFormat="1" applyFont="1" applyBorder="1" applyAlignment="1">
      <alignment horizontal="center" vertical="center"/>
    </xf>
    <xf numFmtId="2" fontId="29" fillId="5" borderId="69" xfId="0" applyNumberFormat="1" applyFont="1" applyFill="1" applyBorder="1" applyAlignment="1">
      <alignment horizontal="center" vertical="center"/>
    </xf>
    <xf numFmtId="2" fontId="14" fillId="3" borderId="32" xfId="1" applyNumberFormat="1" applyFill="1" applyBorder="1" applyAlignment="1">
      <alignment horizontal="center" vertical="center"/>
    </xf>
    <xf numFmtId="2" fontId="14" fillId="3" borderId="23" xfId="1" applyNumberFormat="1" applyFill="1" applyBorder="1" applyAlignment="1">
      <alignment horizontal="center" vertical="center"/>
    </xf>
    <xf numFmtId="2" fontId="14" fillId="3" borderId="19" xfId="1" applyNumberFormat="1" applyFill="1" applyBorder="1" applyAlignment="1">
      <alignment horizontal="center" vertical="center"/>
    </xf>
    <xf numFmtId="2" fontId="14" fillId="3" borderId="21" xfId="1" applyNumberFormat="1" applyFill="1" applyBorder="1" applyAlignment="1">
      <alignment horizontal="center" vertical="center"/>
    </xf>
    <xf numFmtId="167" fontId="34" fillId="4" borderId="6" xfId="0" applyNumberFormat="1" applyFont="1" applyFill="1" applyBorder="1" applyAlignment="1">
      <alignment horizontal="center" vertical="center"/>
    </xf>
    <xf numFmtId="0" fontId="35" fillId="0" borderId="86" xfId="0" applyFont="1" applyBorder="1" applyAlignment="1">
      <alignment horizontal="center" vertical="center"/>
    </xf>
    <xf numFmtId="0" fontId="35" fillId="0" borderId="94" xfId="0" applyFont="1" applyBorder="1" applyAlignment="1">
      <alignment horizontal="center" vertical="center"/>
    </xf>
    <xf numFmtId="0" fontId="35" fillId="0" borderId="77" xfId="0" applyFont="1" applyBorder="1" applyAlignment="1">
      <alignment horizontal="center" vertical="center"/>
    </xf>
    <xf numFmtId="0" fontId="35" fillId="0" borderId="95" xfId="0" applyFont="1" applyBorder="1" applyAlignment="1">
      <alignment horizontal="center" vertical="center"/>
    </xf>
    <xf numFmtId="0" fontId="49" fillId="0" borderId="77" xfId="0" applyFont="1" applyBorder="1" applyAlignment="1">
      <alignment horizontal="center" vertical="center" wrapText="1"/>
    </xf>
    <xf numFmtId="0" fontId="49" fillId="0" borderId="95" xfId="0" applyFont="1" applyBorder="1" applyAlignment="1">
      <alignment horizontal="center" vertical="center" wrapText="1"/>
    </xf>
    <xf numFmtId="167" fontId="29" fillId="0" borderId="0" xfId="0" applyNumberFormat="1" applyFont="1" applyAlignment="1">
      <alignment horizontal="center" vertical="center"/>
    </xf>
    <xf numFmtId="0" fontId="19" fillId="0" borderId="0" xfId="0" applyFont="1"/>
    <xf numFmtId="0" fontId="33" fillId="0" borderId="8" xfId="0" applyFont="1" applyBorder="1" applyAlignment="1">
      <alignment vertical="center"/>
    </xf>
    <xf numFmtId="0" fontId="35" fillId="0" borderId="8" xfId="0" applyFont="1" applyBorder="1" applyAlignment="1">
      <alignment horizontal="center" vertical="center"/>
    </xf>
    <xf numFmtId="2" fontId="29" fillId="0" borderId="0" xfId="0" applyNumberFormat="1" applyFont="1" applyAlignment="1">
      <alignment vertical="center"/>
    </xf>
    <xf numFmtId="0" fontId="29" fillId="0" borderId="0" xfId="0" applyFont="1" applyAlignment="1">
      <alignment vertical="center" wrapText="1"/>
    </xf>
    <xf numFmtId="172" fontId="29" fillId="0" borderId="6" xfId="0" applyNumberFormat="1" applyFont="1" applyBorder="1" applyAlignment="1">
      <alignment horizontal="center" vertical="center"/>
    </xf>
    <xf numFmtId="2" fontId="34" fillId="0" borderId="6" xfId="0" applyNumberFormat="1" applyFont="1" applyBorder="1" applyAlignment="1">
      <alignment horizontal="center" vertical="center"/>
    </xf>
    <xf numFmtId="0" fontId="34" fillId="0" borderId="100" xfId="0" applyFont="1" applyBorder="1" applyAlignment="1">
      <alignment horizontal="center" vertical="center" wrapText="1"/>
    </xf>
    <xf numFmtId="0" fontId="34" fillId="0" borderId="62" xfId="0" applyFont="1" applyBorder="1" applyAlignment="1">
      <alignment horizontal="center" vertical="center"/>
    </xf>
    <xf numFmtId="0" fontId="29" fillId="0" borderId="41" xfId="0" applyFont="1" applyBorder="1" applyAlignment="1">
      <alignment vertical="center"/>
    </xf>
    <xf numFmtId="0" fontId="34" fillId="0" borderId="120" xfId="0" applyFont="1" applyBorder="1" applyAlignment="1">
      <alignment horizontal="center" vertical="center"/>
    </xf>
    <xf numFmtId="2" fontId="29" fillId="9" borderId="34" xfId="0" applyNumberFormat="1" applyFont="1" applyFill="1" applyBorder="1" applyAlignment="1">
      <alignment horizontal="center" vertical="center"/>
    </xf>
    <xf numFmtId="2" fontId="29" fillId="0" borderId="34" xfId="0" applyNumberFormat="1" applyFont="1" applyBorder="1" applyAlignment="1">
      <alignment horizontal="center" vertical="center"/>
    </xf>
    <xf numFmtId="2" fontId="29" fillId="0" borderId="120" xfId="0" applyNumberFormat="1" applyFont="1" applyBorder="1" applyAlignment="1">
      <alignment horizontal="center" vertical="center"/>
    </xf>
    <xf numFmtId="2" fontId="32" fillId="0" borderId="34" xfId="0" applyNumberFormat="1" applyFont="1" applyBorder="1" applyAlignment="1">
      <alignment horizontal="center" vertical="center"/>
    </xf>
    <xf numFmtId="0" fontId="69" fillId="0" borderId="6" xfId="0" applyFont="1" applyBorder="1" applyAlignment="1">
      <alignment horizontal="center" vertical="center"/>
    </xf>
    <xf numFmtId="0" fontId="69" fillId="0" borderId="22" xfId="0" applyFont="1" applyBorder="1" applyAlignment="1">
      <alignment horizontal="center" vertical="center"/>
    </xf>
    <xf numFmtId="1" fontId="7" fillId="0" borderId="6" xfId="0" applyNumberFormat="1" applyFont="1" applyBorder="1" applyAlignment="1">
      <alignment horizontal="center" vertical="center"/>
    </xf>
    <xf numFmtId="0" fontId="125" fillId="0" borderId="0" xfId="0" applyFont="1"/>
    <xf numFmtId="0" fontId="129" fillId="0" borderId="33" xfId="0" applyFont="1" applyBorder="1" applyAlignment="1">
      <alignment horizontal="center" vertical="center" wrapText="1"/>
    </xf>
    <xf numFmtId="0" fontId="130" fillId="0" borderId="0" xfId="0" applyFont="1" applyAlignment="1">
      <alignment vertical="center"/>
    </xf>
    <xf numFmtId="165" fontId="7" fillId="0" borderId="6" xfId="0" applyNumberFormat="1" applyFont="1" applyBorder="1" applyAlignment="1">
      <alignment horizontal="center" vertical="center"/>
    </xf>
    <xf numFmtId="171" fontId="9" fillId="0" borderId="0" xfId="0" applyNumberFormat="1" applyFont="1" applyAlignment="1">
      <alignment horizontal="center" vertical="center"/>
    </xf>
    <xf numFmtId="0" fontId="131" fillId="0" borderId="0" xfId="0" applyFont="1" applyAlignment="1">
      <alignment vertical="center"/>
    </xf>
    <xf numFmtId="2" fontId="7" fillId="0" borderId="6" xfId="0" applyNumberFormat="1" applyFont="1" applyBorder="1" applyAlignment="1">
      <alignment horizontal="center" vertical="center"/>
    </xf>
    <xf numFmtId="0" fontId="132" fillId="0" borderId="42" xfId="1" applyFont="1" applyBorder="1" applyAlignment="1">
      <alignment vertical="center" wrapText="1"/>
    </xf>
    <xf numFmtId="0" fontId="29" fillId="0" borderId="67" xfId="0" applyFont="1" applyBorder="1" applyAlignment="1">
      <alignment vertical="center"/>
    </xf>
    <xf numFmtId="0" fontId="29" fillId="0" borderId="45" xfId="0" applyFont="1" applyBorder="1" applyAlignment="1">
      <alignment horizontal="right" vertical="center"/>
    </xf>
    <xf numFmtId="0" fontId="31" fillId="0" borderId="48" xfId="1" applyFont="1" applyBorder="1" applyAlignment="1">
      <alignment horizontal="center" vertical="center"/>
    </xf>
    <xf numFmtId="0" fontId="16" fillId="0" borderId="0" xfId="0" applyFont="1" applyAlignment="1">
      <alignment horizontal="left" vertical="center"/>
    </xf>
    <xf numFmtId="1" fontId="92" fillId="2" borderId="6" xfId="0" applyNumberFormat="1" applyFont="1" applyFill="1" applyBorder="1" applyAlignment="1">
      <alignment horizontal="center" vertical="center" wrapText="1"/>
    </xf>
    <xf numFmtId="0" fontId="35" fillId="0" borderId="6" xfId="0" applyFont="1" applyBorder="1" applyAlignment="1">
      <alignment horizontal="center" vertical="center" wrapText="1"/>
    </xf>
    <xf numFmtId="0" fontId="69" fillId="0" borderId="17" xfId="0" applyFont="1" applyBorder="1" applyAlignment="1">
      <alignment horizontal="center" vertical="center"/>
    </xf>
    <xf numFmtId="2" fontId="7" fillId="0" borderId="18" xfId="0" applyNumberFormat="1" applyFont="1" applyBorder="1" applyAlignment="1">
      <alignment horizontal="center" vertical="center"/>
    </xf>
    <xf numFmtId="165" fontId="7" fillId="0" borderId="18" xfId="0" applyNumberFormat="1" applyFont="1" applyBorder="1" applyAlignment="1">
      <alignment horizontal="center" vertical="center"/>
    </xf>
    <xf numFmtId="1" fontId="7" fillId="10" borderId="23" xfId="0" applyNumberFormat="1" applyFont="1" applyFill="1" applyBorder="1" applyAlignment="1">
      <alignment horizontal="center" vertical="center"/>
    </xf>
    <xf numFmtId="2" fontId="136" fillId="10" borderId="23" xfId="0" applyNumberFormat="1" applyFont="1" applyFill="1" applyBorder="1" applyAlignment="1">
      <alignment horizontal="center" vertical="center"/>
    </xf>
    <xf numFmtId="2" fontId="136" fillId="10" borderId="19" xfId="0" applyNumberFormat="1" applyFont="1" applyFill="1" applyBorder="1" applyAlignment="1">
      <alignment horizontal="center" vertical="center"/>
    </xf>
    <xf numFmtId="1" fontId="7" fillId="0" borderId="18" xfId="0" applyNumberFormat="1" applyFont="1" applyBorder="1" applyAlignment="1">
      <alignment horizontal="center" vertical="center"/>
    </xf>
    <xf numFmtId="165" fontId="7" fillId="0" borderId="121" xfId="0" applyNumberFormat="1" applyFont="1" applyBorder="1"/>
    <xf numFmtId="165" fontId="7" fillId="0" borderId="122" xfId="0" applyNumberFormat="1" applyFont="1" applyBorder="1"/>
    <xf numFmtId="0" fontId="129" fillId="0" borderId="13" xfId="0" applyFont="1" applyBorder="1" applyAlignment="1">
      <alignment horizontal="center" vertical="center" wrapText="1"/>
    </xf>
    <xf numFmtId="0" fontId="136" fillId="0" borderId="22" xfId="0" applyFont="1" applyBorder="1" applyAlignment="1">
      <alignment horizontal="center" vertical="center"/>
    </xf>
    <xf numFmtId="0" fontId="138" fillId="0" borderId="6" xfId="0" applyFont="1" applyBorder="1" applyAlignment="1">
      <alignment horizontal="center" vertical="center"/>
    </xf>
    <xf numFmtId="165" fontId="7" fillId="0" borderId="6" xfId="0" applyNumberFormat="1" applyFont="1" applyBorder="1" applyAlignment="1" applyProtection="1">
      <alignment horizontal="center" vertical="center"/>
      <protection locked="0"/>
    </xf>
    <xf numFmtId="0" fontId="136" fillId="0" borderId="17" xfId="0" applyFont="1" applyBorder="1" applyAlignment="1">
      <alignment horizontal="center" vertical="center"/>
    </xf>
    <xf numFmtId="0" fontId="138" fillId="0" borderId="18" xfId="0" applyFont="1" applyBorder="1" applyAlignment="1">
      <alignment horizontal="center" vertical="center"/>
    </xf>
    <xf numFmtId="165" fontId="7" fillId="0" borderId="18" xfId="0" applyNumberFormat="1" applyFont="1" applyBorder="1" applyAlignment="1" applyProtection="1">
      <alignment horizontal="center" vertical="center"/>
      <protection locked="0"/>
    </xf>
    <xf numFmtId="2" fontId="34" fillId="0" borderId="47" xfId="0" applyNumberFormat="1" applyFont="1" applyBorder="1" applyAlignment="1">
      <alignment horizontal="center" vertical="center"/>
    </xf>
    <xf numFmtId="0" fontId="29" fillId="0" borderId="45" xfId="0" applyFont="1" applyBorder="1" applyAlignment="1">
      <alignment horizontal="center" vertical="center"/>
    </xf>
    <xf numFmtId="0" fontId="29" fillId="0" borderId="44" xfId="0" applyFont="1" applyBorder="1" applyAlignment="1">
      <alignment vertical="center"/>
    </xf>
    <xf numFmtId="0" fontId="34" fillId="0" borderId="101" xfId="0" applyFont="1" applyBorder="1" applyAlignment="1">
      <alignment horizontal="center" vertical="center" wrapText="1"/>
    </xf>
    <xf numFmtId="0" fontId="34" fillId="0" borderId="65" xfId="0" applyFont="1" applyBorder="1" applyAlignment="1">
      <alignment horizontal="center" vertical="center" wrapText="1"/>
    </xf>
    <xf numFmtId="0" fontId="34" fillId="0" borderId="62" xfId="0" applyFont="1" applyBorder="1" applyAlignment="1">
      <alignment horizontal="center" vertical="center" wrapText="1"/>
    </xf>
    <xf numFmtId="0" fontId="29" fillId="0" borderId="45" xfId="0" applyFont="1" applyBorder="1" applyAlignment="1">
      <alignment vertical="center"/>
    </xf>
    <xf numFmtId="0" fontId="67" fillId="0" borderId="0" xfId="0" applyFont="1" applyAlignment="1">
      <alignment vertical="center"/>
    </xf>
    <xf numFmtId="0" fontId="135" fillId="2" borderId="53" xfId="0" applyFont="1" applyFill="1" applyBorder="1" applyAlignment="1">
      <alignment horizontal="left" vertical="center"/>
    </xf>
    <xf numFmtId="14" fontId="30" fillId="2" borderId="42" xfId="1" applyNumberFormat="1" applyFont="1" applyFill="1" applyBorder="1" applyAlignment="1">
      <alignment horizontal="center" vertical="center"/>
    </xf>
    <xf numFmtId="0" fontId="14" fillId="0" borderId="46" xfId="1" applyBorder="1" applyAlignment="1">
      <alignment horizontal="center"/>
    </xf>
    <xf numFmtId="0" fontId="14" fillId="0" borderId="45" xfId="1" applyBorder="1" applyAlignment="1">
      <alignment horizontal="center"/>
    </xf>
    <xf numFmtId="0" fontId="14" fillId="0" borderId="44" xfId="1" applyBorder="1" applyAlignment="1">
      <alignment horizontal="center"/>
    </xf>
    <xf numFmtId="0" fontId="14" fillId="0" borderId="43" xfId="1" applyBorder="1" applyAlignment="1">
      <alignment horizontal="center"/>
    </xf>
    <xf numFmtId="0" fontId="14" fillId="0" borderId="0" xfId="1" applyAlignment="1">
      <alignment horizontal="center"/>
    </xf>
    <xf numFmtId="0" fontId="14" fillId="0" borderId="41" xfId="1" applyBorder="1" applyAlignment="1">
      <alignment horizontal="center"/>
    </xf>
    <xf numFmtId="0" fontId="14" fillId="0" borderId="40" xfId="1" applyBorder="1" applyAlignment="1">
      <alignment horizontal="center"/>
    </xf>
    <xf numFmtId="0" fontId="14" fillId="0" borderId="39" xfId="1" applyBorder="1" applyAlignment="1">
      <alignment horizontal="center"/>
    </xf>
    <xf numFmtId="0" fontId="14" fillId="0" borderId="38" xfId="1" applyBorder="1" applyAlignment="1">
      <alignment horizontal="center"/>
    </xf>
    <xf numFmtId="0" fontId="90" fillId="0" borderId="0" xfId="1" applyFont="1" applyAlignment="1">
      <alignment horizontal="center" vertical="center" wrapText="1"/>
    </xf>
    <xf numFmtId="0" fontId="135" fillId="2" borderId="42" xfId="0" applyFont="1" applyFill="1" applyBorder="1" applyAlignment="1">
      <alignment horizontal="center" vertical="center"/>
    </xf>
    <xf numFmtId="0" fontId="55" fillId="0" borderId="0" xfId="1" applyFont="1" applyAlignment="1">
      <alignment horizontal="center"/>
    </xf>
    <xf numFmtId="0" fontId="29" fillId="0" borderId="0" xfId="1" applyFont="1" applyAlignment="1">
      <alignment horizontal="left" vertical="center" wrapText="1"/>
    </xf>
    <xf numFmtId="0" fontId="33" fillId="0" borderId="0" xfId="1" applyFont="1" applyAlignment="1">
      <alignment horizontal="left" vertical="center"/>
    </xf>
    <xf numFmtId="0" fontId="27" fillId="0" borderId="45" xfId="1" applyFont="1" applyBorder="1" applyAlignment="1">
      <alignment horizontal="left" vertical="center" wrapText="1"/>
    </xf>
    <xf numFmtId="0" fontId="26" fillId="0" borderId="45" xfId="1" applyFont="1" applyBorder="1" applyAlignment="1">
      <alignment horizontal="left" vertical="center" wrapText="1"/>
    </xf>
    <xf numFmtId="0" fontId="55" fillId="0" borderId="109" xfId="1" applyFont="1" applyBorder="1" applyAlignment="1">
      <alignment horizontal="right" vertical="center"/>
    </xf>
    <xf numFmtId="0" fontId="55" fillId="0" borderId="33" xfId="1" applyFont="1" applyBorder="1" applyAlignment="1">
      <alignment horizontal="right" vertical="center"/>
    </xf>
    <xf numFmtId="0" fontId="55" fillId="2" borderId="71" xfId="1" applyFont="1" applyFill="1" applyBorder="1" applyAlignment="1">
      <alignment horizontal="center" vertical="center"/>
    </xf>
    <xf numFmtId="0" fontId="55" fillId="2" borderId="0" xfId="1" applyFont="1" applyFill="1" applyAlignment="1">
      <alignment horizontal="center" vertical="center"/>
    </xf>
    <xf numFmtId="0" fontId="55" fillId="2" borderId="41" xfId="1" applyFont="1" applyFill="1" applyBorder="1" applyAlignment="1">
      <alignment horizontal="center" vertical="center"/>
    </xf>
    <xf numFmtId="0" fontId="35" fillId="0" borderId="46" xfId="1" applyFont="1" applyBorder="1" applyAlignment="1">
      <alignment horizontal="left" vertical="center" wrapText="1"/>
    </xf>
    <xf numFmtId="0" fontId="35" fillId="0" borderId="45" xfId="1" applyFont="1" applyBorder="1" applyAlignment="1">
      <alignment horizontal="left" vertical="center" wrapText="1"/>
    </xf>
    <xf numFmtId="0" fontId="35" fillId="0" borderId="43" xfId="1" applyFont="1" applyBorder="1" applyAlignment="1">
      <alignment horizontal="left" vertical="center" wrapText="1"/>
    </xf>
    <xf numFmtId="0" fontId="35" fillId="0" borderId="0" xfId="1" applyFont="1" applyAlignment="1">
      <alignment horizontal="left" vertical="center" wrapText="1"/>
    </xf>
    <xf numFmtId="2" fontId="55" fillId="2" borderId="6" xfId="1" applyNumberFormat="1" applyFont="1" applyFill="1" applyBorder="1" applyAlignment="1">
      <alignment horizontal="center" vertical="center" wrapText="1"/>
    </xf>
    <xf numFmtId="2" fontId="55" fillId="2" borderId="47" xfId="1" applyNumberFormat="1" applyFont="1" applyFill="1" applyBorder="1" applyAlignment="1">
      <alignment horizontal="center" vertical="center" wrapText="1"/>
    </xf>
    <xf numFmtId="0" fontId="55" fillId="0" borderId="90" xfId="1" applyFont="1" applyBorder="1" applyAlignment="1">
      <alignment horizontal="right" vertical="center" wrapText="1"/>
    </xf>
    <xf numFmtId="0" fontId="55" fillId="0" borderId="35" xfId="1" applyFont="1" applyBorder="1" applyAlignment="1">
      <alignment horizontal="right" vertical="center" wrapText="1"/>
    </xf>
    <xf numFmtId="0" fontId="89" fillId="0" borderId="0" xfId="0" applyFont="1" applyAlignment="1">
      <alignment horizontal="center" vertical="center" wrapText="1"/>
    </xf>
    <xf numFmtId="0" fontId="26" fillId="0" borderId="46" xfId="1" applyFont="1" applyBorder="1" applyAlignment="1">
      <alignment horizontal="left" vertical="center" wrapText="1"/>
    </xf>
    <xf numFmtId="0" fontId="26" fillId="0" borderId="44" xfId="1" applyFont="1" applyBorder="1" applyAlignment="1">
      <alignment horizontal="left" vertical="center" wrapText="1"/>
    </xf>
    <xf numFmtId="0" fontId="26" fillId="0" borderId="43" xfId="1" applyFont="1" applyBorder="1" applyAlignment="1">
      <alignment horizontal="left" vertical="center" wrapText="1"/>
    </xf>
    <xf numFmtId="0" fontId="26" fillId="0" borderId="0" xfId="1" applyFont="1" applyAlignment="1">
      <alignment horizontal="left" vertical="center" wrapText="1"/>
    </xf>
    <xf numFmtId="0" fontId="26" fillId="0" borderId="41" xfId="1" applyFont="1" applyBorder="1" applyAlignment="1">
      <alignment horizontal="left" vertical="center" wrapText="1"/>
    </xf>
    <xf numFmtId="0" fontId="26" fillId="0" borderId="40" xfId="1" applyFont="1" applyBorder="1" applyAlignment="1">
      <alignment horizontal="left" vertical="center" wrapText="1"/>
    </xf>
    <xf numFmtId="0" fontId="26" fillId="0" borderId="39" xfId="1" applyFont="1" applyBorder="1" applyAlignment="1">
      <alignment horizontal="left" vertical="center" wrapText="1"/>
    </xf>
    <xf numFmtId="0" fontId="26" fillId="0" borderId="38" xfId="1" applyFont="1" applyBorder="1" applyAlignment="1">
      <alignment horizontal="left" vertical="center" wrapText="1"/>
    </xf>
    <xf numFmtId="0" fontId="55" fillId="0" borderId="49" xfId="1" applyFont="1" applyBorder="1" applyAlignment="1">
      <alignment horizontal="right" vertical="center"/>
    </xf>
    <xf numFmtId="0" fontId="55" fillId="0" borderId="50" xfId="0" applyFont="1" applyBorder="1"/>
    <xf numFmtId="0" fontId="55" fillId="0" borderId="43" xfId="0" applyFont="1" applyBorder="1"/>
    <xf numFmtId="0" fontId="55" fillId="0" borderId="14" xfId="0" applyFont="1" applyBorder="1"/>
    <xf numFmtId="0" fontId="90" fillId="0" borderId="46" xfId="1" applyFont="1" applyBorder="1" applyAlignment="1">
      <alignment horizontal="center" vertical="center"/>
    </xf>
    <xf numFmtId="0" fontId="90" fillId="0" borderId="45" xfId="1" applyFont="1" applyBorder="1" applyAlignment="1">
      <alignment horizontal="center" vertical="center"/>
    </xf>
    <xf numFmtId="0" fontId="90" fillId="0" borderId="44" xfId="1" applyFont="1" applyBorder="1" applyAlignment="1">
      <alignment horizontal="center" vertical="center"/>
    </xf>
    <xf numFmtId="0" fontId="55" fillId="0" borderId="0" xfId="0" applyFont="1" applyAlignment="1">
      <alignment horizontal="left" vertical="top" wrapText="1"/>
    </xf>
    <xf numFmtId="0" fontId="55" fillId="0" borderId="0" xfId="0" applyFont="1" applyAlignment="1">
      <alignment horizontal="center" wrapText="1"/>
    </xf>
    <xf numFmtId="2" fontId="55" fillId="2" borderId="56" xfId="1" applyNumberFormat="1" applyFont="1" applyFill="1" applyBorder="1" applyAlignment="1">
      <alignment horizontal="center"/>
    </xf>
    <xf numFmtId="2" fontId="55" fillId="2" borderId="108" xfId="1" applyNumberFormat="1" applyFont="1" applyFill="1" applyBorder="1" applyAlignment="1">
      <alignment horizontal="center"/>
    </xf>
    <xf numFmtId="0" fontId="29" fillId="0" borderId="39" xfId="1" applyFont="1" applyBorder="1" applyAlignment="1">
      <alignment horizontal="right" vertical="center"/>
    </xf>
    <xf numFmtId="0" fontId="55" fillId="2" borderId="70" xfId="1" applyFont="1" applyFill="1" applyBorder="1" applyAlignment="1">
      <alignment horizontal="center" vertical="center"/>
    </xf>
    <xf numFmtId="0" fontId="55" fillId="2" borderId="67" xfId="1" applyFont="1" applyFill="1" applyBorder="1" applyAlignment="1">
      <alignment horizontal="center" vertical="center"/>
    </xf>
    <xf numFmtId="0" fontId="55" fillId="2" borderId="85" xfId="1" applyFont="1" applyFill="1" applyBorder="1" applyAlignment="1">
      <alignment horizontal="center" vertical="center"/>
    </xf>
    <xf numFmtId="0" fontId="55" fillId="0" borderId="90" xfId="1" applyFont="1" applyBorder="1" applyAlignment="1">
      <alignment horizontal="right" vertical="center"/>
    </xf>
    <xf numFmtId="0" fontId="55" fillId="0" borderId="35" xfId="1" applyFont="1" applyBorder="1" applyAlignment="1">
      <alignment horizontal="right" vertical="center"/>
    </xf>
    <xf numFmtId="0" fontId="55" fillId="0" borderId="52" xfId="1" applyFont="1" applyBorder="1" applyAlignment="1">
      <alignment horizontal="right"/>
    </xf>
    <xf numFmtId="0" fontId="55" fillId="0" borderId="6" xfId="1" applyFont="1" applyBorder="1" applyAlignment="1">
      <alignment horizontal="right"/>
    </xf>
    <xf numFmtId="0" fontId="34" fillId="0" borderId="90" xfId="0" applyFont="1" applyBorder="1" applyAlignment="1">
      <alignment horizontal="right" vertical="center"/>
    </xf>
    <xf numFmtId="0" fontId="34" fillId="0" borderId="35" xfId="0" applyFont="1" applyBorder="1" applyAlignment="1">
      <alignment horizontal="right" vertical="center"/>
    </xf>
    <xf numFmtId="0" fontId="26" fillId="2" borderId="70" xfId="1" applyFont="1" applyFill="1" applyBorder="1" applyAlignment="1">
      <alignment horizontal="center" vertical="center"/>
    </xf>
    <xf numFmtId="0" fontId="26" fillId="2" borderId="67" xfId="1" applyFont="1" applyFill="1" applyBorder="1" applyAlignment="1">
      <alignment horizontal="center" vertical="center"/>
    </xf>
    <xf numFmtId="0" fontId="26" fillId="2" borderId="85" xfId="1" applyFont="1" applyFill="1" applyBorder="1" applyAlignment="1">
      <alignment horizontal="center" vertical="center"/>
    </xf>
    <xf numFmtId="2" fontId="55" fillId="2" borderId="34" xfId="1" applyNumberFormat="1" applyFont="1" applyFill="1" applyBorder="1" applyAlignment="1">
      <alignment horizontal="center" vertical="center" wrapText="1"/>
    </xf>
    <xf numFmtId="2" fontId="55" fillId="2" borderId="48" xfId="1" applyNumberFormat="1" applyFont="1" applyFill="1" applyBorder="1" applyAlignment="1">
      <alignment horizontal="center" vertical="center" wrapText="1"/>
    </xf>
    <xf numFmtId="2" fontId="55" fillId="2" borderId="84" xfId="1" applyNumberFormat="1" applyFont="1" applyFill="1" applyBorder="1" applyAlignment="1">
      <alignment horizontal="center" vertical="center" wrapText="1"/>
    </xf>
    <xf numFmtId="0" fontId="55" fillId="2" borderId="34" xfId="1" applyFont="1" applyFill="1" applyBorder="1" applyAlignment="1">
      <alignment horizontal="center" vertical="center"/>
    </xf>
    <xf numFmtId="0" fontId="55" fillId="2" borderId="42" xfId="1" applyFont="1" applyFill="1" applyBorder="1" applyAlignment="1">
      <alignment horizontal="center" vertical="center"/>
    </xf>
    <xf numFmtId="0" fontId="55" fillId="2" borderId="66" xfId="1" applyFont="1" applyFill="1" applyBorder="1" applyAlignment="1">
      <alignment horizontal="center" vertical="center"/>
    </xf>
    <xf numFmtId="2" fontId="55" fillId="2" borderId="66" xfId="1" applyNumberFormat="1" applyFont="1" applyFill="1" applyBorder="1" applyAlignment="1">
      <alignment horizontal="center" vertical="center" wrapText="1"/>
    </xf>
    <xf numFmtId="0" fontId="55" fillId="0" borderId="6" xfId="0" applyFont="1" applyBorder="1" applyAlignment="1">
      <alignment horizontal="left" vertical="center" wrapText="1"/>
    </xf>
    <xf numFmtId="9" fontId="55" fillId="2" borderId="68" xfId="1" applyNumberFormat="1" applyFont="1" applyFill="1" applyBorder="1" applyAlignment="1">
      <alignment horizontal="center"/>
    </xf>
    <xf numFmtId="9" fontId="55" fillId="2" borderId="69" xfId="1" applyNumberFormat="1" applyFont="1" applyFill="1" applyBorder="1" applyAlignment="1">
      <alignment horizontal="center"/>
    </xf>
    <xf numFmtId="0" fontId="55" fillId="0" borderId="63" xfId="1" applyFont="1" applyBorder="1" applyAlignment="1">
      <alignment horizontal="right" vertical="center"/>
    </xf>
    <xf numFmtId="0" fontId="55" fillId="0" borderId="64" xfId="1" applyFont="1" applyBorder="1" applyAlignment="1">
      <alignment horizontal="right" vertical="center"/>
    </xf>
    <xf numFmtId="9" fontId="86" fillId="2" borderId="6" xfId="1" applyNumberFormat="1" applyFont="1" applyFill="1" applyBorder="1" applyAlignment="1">
      <alignment horizontal="center" vertical="center"/>
    </xf>
    <xf numFmtId="9" fontId="86" fillId="2" borderId="47" xfId="1" applyNumberFormat="1" applyFont="1" applyFill="1" applyBorder="1" applyAlignment="1">
      <alignment horizontal="center" vertical="center"/>
    </xf>
    <xf numFmtId="0" fontId="55" fillId="0" borderId="52" xfId="1" applyFont="1" applyBorder="1" applyAlignment="1">
      <alignment horizontal="right" vertical="center"/>
    </xf>
    <xf numFmtId="0" fontId="55" fillId="0" borderId="6" xfId="1" applyFont="1" applyBorder="1" applyAlignment="1">
      <alignment horizontal="right" vertical="center"/>
    </xf>
    <xf numFmtId="0" fontId="29" fillId="0" borderId="6" xfId="0" applyFont="1" applyBorder="1" applyAlignment="1">
      <alignment horizontal="right" vertical="top" wrapText="1"/>
    </xf>
    <xf numFmtId="2" fontId="92" fillId="2" borderId="6" xfId="0" applyNumberFormat="1" applyFont="1" applyFill="1" applyBorder="1" applyAlignment="1">
      <alignment horizontal="center" vertical="center"/>
    </xf>
    <xf numFmtId="0" fontId="102" fillId="0" borderId="48" xfId="1" applyFont="1" applyBorder="1" applyAlignment="1">
      <alignment horizontal="center" vertical="center"/>
    </xf>
    <xf numFmtId="0" fontId="33" fillId="0" borderId="56" xfId="1" applyFont="1" applyBorder="1" applyAlignment="1">
      <alignment horizontal="right" vertical="center" wrapText="1"/>
    </xf>
    <xf numFmtId="0" fontId="33" fillId="0" borderId="60" xfId="1" applyFont="1" applyBorder="1" applyAlignment="1">
      <alignment horizontal="right" vertical="center" wrapText="1"/>
    </xf>
    <xf numFmtId="0" fontId="33" fillId="0" borderId="33" xfId="1" applyFont="1" applyBorder="1" applyAlignment="1">
      <alignment horizontal="right" vertical="center" wrapText="1"/>
    </xf>
    <xf numFmtId="0" fontId="33" fillId="0" borderId="56" xfId="1" applyFont="1" applyBorder="1" applyAlignment="1">
      <alignment horizontal="center" vertical="center"/>
    </xf>
    <xf numFmtId="0" fontId="33" fillId="0" borderId="60" xfId="1" applyFont="1" applyBorder="1" applyAlignment="1">
      <alignment horizontal="center" vertical="center"/>
    </xf>
    <xf numFmtId="0" fontId="33" fillId="0" borderId="33" xfId="1" applyFont="1" applyBorder="1" applyAlignment="1">
      <alignment horizontal="center" vertical="center"/>
    </xf>
    <xf numFmtId="164" fontId="92" fillId="2" borderId="6" xfId="0" applyNumberFormat="1" applyFont="1" applyFill="1" applyBorder="1" applyAlignment="1">
      <alignment horizontal="center" vertical="center"/>
    </xf>
    <xf numFmtId="0" fontId="55" fillId="0" borderId="6" xfId="0" applyFont="1" applyBorder="1" applyAlignment="1">
      <alignment horizontal="right" vertical="center"/>
    </xf>
    <xf numFmtId="0" fontId="29" fillId="0" borderId="34" xfId="1" applyFont="1" applyBorder="1" applyAlignment="1">
      <alignment horizontal="left" vertical="center" wrapText="1"/>
    </xf>
    <xf numFmtId="0" fontId="29" fillId="0" borderId="42" xfId="1" applyFont="1" applyBorder="1" applyAlignment="1">
      <alignment horizontal="left" vertical="center" wrapText="1"/>
    </xf>
    <xf numFmtId="0" fontId="29" fillId="0" borderId="35" xfId="1" applyFont="1" applyBorder="1" applyAlignment="1">
      <alignment horizontal="left" vertical="center" wrapText="1"/>
    </xf>
    <xf numFmtId="0" fontId="55" fillId="0" borderId="34" xfId="1" applyFont="1" applyBorder="1" applyAlignment="1">
      <alignment horizontal="left" vertical="center" wrapText="1"/>
    </xf>
    <xf numFmtId="0" fontId="55" fillId="0" borderId="42" xfId="1" applyFont="1" applyBorder="1" applyAlignment="1">
      <alignment horizontal="left" vertical="center" wrapText="1"/>
    </xf>
    <xf numFmtId="0" fontId="55" fillId="0" borderId="35" xfId="1" applyFont="1" applyBorder="1" applyAlignment="1">
      <alignment horizontal="left" vertical="center" wrapText="1"/>
    </xf>
    <xf numFmtId="0" fontId="33" fillId="0" borderId="28" xfId="1" applyFont="1" applyBorder="1" applyAlignment="1">
      <alignment horizontal="center" vertical="center"/>
    </xf>
    <xf numFmtId="0" fontId="33" fillId="0" borderId="30" xfId="1" applyFont="1" applyBorder="1" applyAlignment="1">
      <alignment horizontal="center" vertical="center"/>
    </xf>
    <xf numFmtId="0" fontId="33" fillId="0" borderId="29" xfId="1" applyFont="1" applyBorder="1" applyAlignment="1">
      <alignment horizontal="center" vertical="center"/>
    </xf>
    <xf numFmtId="2" fontId="55" fillId="0" borderId="70" xfId="0" applyNumberFormat="1" applyFont="1" applyBorder="1" applyAlignment="1">
      <alignment horizontal="left" vertical="center" wrapText="1"/>
    </xf>
    <xf numFmtId="2" fontId="55" fillId="0" borderId="67" xfId="0" applyNumberFormat="1" applyFont="1" applyBorder="1" applyAlignment="1">
      <alignment horizontal="left" vertical="center" wrapText="1"/>
    </xf>
    <xf numFmtId="2" fontId="55" fillId="0" borderId="50" xfId="0" applyNumberFormat="1" applyFont="1" applyBorder="1" applyAlignment="1">
      <alignment horizontal="left" vertical="center" wrapText="1"/>
    </xf>
    <xf numFmtId="2" fontId="55" fillId="0" borderId="71" xfId="0" applyNumberFormat="1" applyFont="1" applyBorder="1" applyAlignment="1">
      <alignment horizontal="left" vertical="center" wrapText="1"/>
    </xf>
    <xf numFmtId="2" fontId="55" fillId="0" borderId="0" xfId="0" applyNumberFormat="1" applyFont="1" applyAlignment="1">
      <alignment horizontal="left" vertical="center" wrapText="1"/>
    </xf>
    <xf numFmtId="2" fontId="55" fillId="0" borderId="14" xfId="0" applyNumberFormat="1" applyFont="1" applyBorder="1" applyAlignment="1">
      <alignment horizontal="left" vertical="center" wrapText="1"/>
    </xf>
    <xf numFmtId="2" fontId="55" fillId="0" borderId="72" xfId="0" applyNumberFormat="1" applyFont="1" applyBorder="1" applyAlignment="1">
      <alignment horizontal="left" vertical="center" wrapText="1"/>
    </xf>
    <xf numFmtId="2" fontId="55" fillId="0" borderId="48" xfId="0" applyNumberFormat="1" applyFont="1" applyBorder="1" applyAlignment="1">
      <alignment horizontal="left" vertical="center" wrapText="1"/>
    </xf>
    <xf numFmtId="2" fontId="55" fillId="0" borderId="51" xfId="0" applyNumberFormat="1" applyFont="1" applyBorder="1" applyAlignment="1">
      <alignment horizontal="left" vertical="center" wrapText="1"/>
    </xf>
    <xf numFmtId="0" fontId="55" fillId="0" borderId="34" xfId="1" applyFont="1" applyBorder="1" applyAlignment="1">
      <alignment horizontal="left" vertical="center"/>
    </xf>
    <xf numFmtId="0" fontId="55" fillId="0" borderId="42" xfId="1" applyFont="1" applyBorder="1" applyAlignment="1">
      <alignment horizontal="left" vertical="center"/>
    </xf>
    <xf numFmtId="0" fontId="55" fillId="0" borderId="35" xfId="1" applyFont="1" applyBorder="1" applyAlignment="1">
      <alignment horizontal="left" vertical="center"/>
    </xf>
    <xf numFmtId="0" fontId="33" fillId="0" borderId="56" xfId="1" applyFont="1" applyBorder="1" applyAlignment="1">
      <alignment horizontal="center" vertical="center" wrapText="1"/>
    </xf>
    <xf numFmtId="0" fontId="33" fillId="0" borderId="33" xfId="1" applyFont="1" applyBorder="1" applyAlignment="1">
      <alignment horizontal="center" vertical="center" wrapText="1"/>
    </xf>
    <xf numFmtId="0" fontId="36" fillId="0" borderId="34" xfId="1" applyFont="1" applyBorder="1" applyAlignment="1">
      <alignment horizontal="left" vertical="center" wrapText="1"/>
    </xf>
    <xf numFmtId="0" fontId="36" fillId="0" borderId="42" xfId="1" applyFont="1" applyBorder="1" applyAlignment="1">
      <alignment horizontal="left" vertical="center" wrapText="1"/>
    </xf>
    <xf numFmtId="0" fontId="36" fillId="0" borderId="35" xfId="1" applyFont="1" applyBorder="1" applyAlignment="1">
      <alignment horizontal="left" vertical="center" wrapText="1"/>
    </xf>
    <xf numFmtId="0" fontId="55" fillId="0" borderId="0" xfId="1" applyFont="1" applyAlignment="1">
      <alignment horizontal="left" vertical="center" wrapText="1"/>
    </xf>
    <xf numFmtId="0" fontId="33" fillId="0" borderId="6" xfId="1" applyFont="1" applyBorder="1" applyAlignment="1">
      <alignment horizontal="center" vertical="center" wrapText="1"/>
    </xf>
    <xf numFmtId="2" fontId="55" fillId="0" borderId="34" xfId="0" applyNumberFormat="1" applyFont="1" applyBorder="1" applyAlignment="1">
      <alignment horizontal="left" vertical="center" wrapText="1"/>
    </xf>
    <xf numFmtId="2" fontId="55" fillId="0" borderId="42" xfId="0" applyNumberFormat="1" applyFont="1" applyBorder="1" applyAlignment="1">
      <alignment horizontal="left" vertical="center" wrapText="1"/>
    </xf>
    <xf numFmtId="2" fontId="55" fillId="0" borderId="35" xfId="0" applyNumberFormat="1" applyFont="1" applyBorder="1" applyAlignment="1">
      <alignment horizontal="left" vertical="center" wrapText="1"/>
    </xf>
    <xf numFmtId="0" fontId="36" fillId="0" borderId="80" xfId="0" applyFont="1" applyBorder="1" applyAlignment="1">
      <alignment horizontal="center" vertical="center" wrapText="1"/>
    </xf>
    <xf numFmtId="0" fontId="36" fillId="0" borderId="50" xfId="0" applyFont="1" applyBorder="1" applyAlignment="1">
      <alignment horizontal="center" vertical="center" wrapText="1"/>
    </xf>
    <xf numFmtId="0" fontId="36" fillId="0" borderId="8" xfId="0" applyFont="1" applyBorder="1" applyAlignment="1">
      <alignment horizontal="center" vertical="center" wrapText="1"/>
    </xf>
    <xf numFmtId="0" fontId="36" fillId="0" borderId="14" xfId="0" applyFont="1" applyBorder="1" applyAlignment="1">
      <alignment horizontal="center" vertical="center" wrapText="1"/>
    </xf>
    <xf numFmtId="0" fontId="36" fillId="0" borderId="73" xfId="0" applyFont="1" applyBorder="1" applyAlignment="1">
      <alignment horizontal="center" vertical="center" wrapText="1"/>
    </xf>
    <xf numFmtId="0" fontId="36" fillId="0" borderId="51" xfId="0" applyFont="1" applyBorder="1" applyAlignment="1">
      <alignment horizontal="center" vertical="center" wrapText="1"/>
    </xf>
    <xf numFmtId="0" fontId="0" fillId="0" borderId="22" xfId="1" applyFont="1" applyBorder="1" applyAlignment="1">
      <alignment horizontal="center" vertical="center"/>
    </xf>
    <xf numFmtId="0" fontId="14" fillId="0" borderId="6" xfId="1" applyBorder="1" applyAlignment="1">
      <alignment horizontal="center" vertical="center"/>
    </xf>
    <xf numFmtId="0" fontId="0" fillId="0" borderId="6" xfId="1" applyFont="1" applyBorder="1" applyAlignment="1">
      <alignment horizontal="center" vertical="center"/>
    </xf>
    <xf numFmtId="0" fontId="0" fillId="0" borderId="17" xfId="1" applyFont="1" applyBorder="1" applyAlignment="1">
      <alignment horizontal="center" vertical="center"/>
    </xf>
    <xf numFmtId="0" fontId="14" fillId="0" borderId="18" xfId="1" applyBorder="1" applyAlignment="1">
      <alignment horizontal="center" vertical="center"/>
    </xf>
    <xf numFmtId="0" fontId="0" fillId="0" borderId="18" xfId="1" applyFont="1" applyBorder="1" applyAlignment="1">
      <alignment horizontal="center" vertical="center"/>
    </xf>
    <xf numFmtId="0" fontId="39" fillId="0" borderId="28" xfId="1" applyFont="1" applyBorder="1" applyAlignment="1">
      <alignment horizontal="center" vertical="center"/>
    </xf>
    <xf numFmtId="0" fontId="39" fillId="0" borderId="30" xfId="1" applyFont="1" applyBorder="1" applyAlignment="1">
      <alignment horizontal="center" vertical="center"/>
    </xf>
    <xf numFmtId="0" fontId="39" fillId="0" borderId="29" xfId="1" applyFont="1" applyBorder="1" applyAlignment="1">
      <alignment horizontal="center" vertical="center"/>
    </xf>
    <xf numFmtId="0" fontId="34" fillId="0" borderId="28" xfId="1" applyFont="1" applyBorder="1" applyAlignment="1">
      <alignment horizontal="center" vertical="center" wrapText="1"/>
    </xf>
    <xf numFmtId="0" fontId="34" fillId="0" borderId="30" xfId="1" applyFont="1" applyBorder="1" applyAlignment="1">
      <alignment horizontal="center" vertical="center" wrapText="1"/>
    </xf>
    <xf numFmtId="0" fontId="0" fillId="0" borderId="0" xfId="1" applyFont="1" applyAlignment="1">
      <alignment vertical="center"/>
    </xf>
    <xf numFmtId="0" fontId="14" fillId="0" borderId="0" xfId="1" applyAlignment="1">
      <alignment vertical="center"/>
    </xf>
    <xf numFmtId="0" fontId="0" fillId="0" borderId="31" xfId="1" applyFont="1" applyBorder="1" applyAlignment="1">
      <alignment horizontal="center" vertical="center"/>
    </xf>
    <xf numFmtId="0" fontId="14" fillId="0" borderId="33" xfId="1" applyBorder="1" applyAlignment="1">
      <alignment horizontal="center" vertical="center"/>
    </xf>
    <xf numFmtId="0" fontId="0" fillId="0" borderId="33" xfId="1" applyFont="1" applyBorder="1" applyAlignment="1">
      <alignment horizontal="center" vertical="center"/>
    </xf>
    <xf numFmtId="0" fontId="0" fillId="0" borderId="26" xfId="1" applyFont="1" applyBorder="1" applyAlignment="1">
      <alignment horizontal="left" vertical="center"/>
    </xf>
    <xf numFmtId="0" fontId="0" fillId="0" borderId="42" xfId="1" applyFont="1" applyBorder="1" applyAlignment="1">
      <alignment horizontal="left" vertical="center"/>
    </xf>
    <xf numFmtId="0" fontId="0" fillId="0" borderId="35" xfId="1" applyFont="1" applyBorder="1" applyAlignment="1">
      <alignment horizontal="left" vertical="center"/>
    </xf>
    <xf numFmtId="0" fontId="0" fillId="0" borderId="25" xfId="1" applyFont="1" applyBorder="1" applyAlignment="1">
      <alignment horizontal="left" vertical="center"/>
    </xf>
    <xf numFmtId="0" fontId="0" fillId="0" borderId="118" xfId="1" applyFont="1" applyBorder="1" applyAlignment="1">
      <alignment horizontal="left" vertical="center"/>
    </xf>
    <xf numFmtId="0" fontId="0" fillId="0" borderId="111" xfId="1" applyFont="1" applyBorder="1" applyAlignment="1">
      <alignment horizontal="left" vertical="center"/>
    </xf>
    <xf numFmtId="0" fontId="34" fillId="0" borderId="55" xfId="1" applyFont="1" applyBorder="1" applyAlignment="1">
      <alignment horizontal="center" vertical="center" wrapText="1"/>
    </xf>
    <xf numFmtId="0" fontId="34" fillId="0" borderId="2" xfId="1" applyFont="1" applyBorder="1" applyAlignment="1">
      <alignment horizontal="center" vertical="center" wrapText="1"/>
    </xf>
    <xf numFmtId="0" fontId="34" fillId="0" borderId="110" xfId="1" applyFont="1" applyBorder="1" applyAlignment="1">
      <alignment horizontal="center" vertical="center" wrapText="1"/>
    </xf>
    <xf numFmtId="0" fontId="0" fillId="0" borderId="24" xfId="1" applyFont="1" applyBorder="1" applyAlignment="1">
      <alignment horizontal="left" vertical="center"/>
    </xf>
    <xf numFmtId="0" fontId="0" fillId="0" borderId="88" xfId="1" applyFont="1" applyBorder="1" applyAlignment="1">
      <alignment horizontal="left" vertical="center"/>
    </xf>
    <xf numFmtId="0" fontId="0" fillId="0" borderId="117" xfId="1" applyFont="1" applyBorder="1" applyAlignment="1">
      <alignment horizontal="left" vertical="center"/>
    </xf>
    <xf numFmtId="0" fontId="0" fillId="0" borderId="73" xfId="1" applyFont="1" applyBorder="1" applyAlignment="1">
      <alignment horizontal="left" vertical="center"/>
    </xf>
    <xf numFmtId="0" fontId="0" fillId="0" borderId="48" xfId="1" applyFont="1" applyBorder="1" applyAlignment="1">
      <alignment horizontal="left" vertical="center"/>
    </xf>
    <xf numFmtId="0" fontId="0" fillId="0" borderId="51" xfId="1" applyFont="1" applyBorder="1" applyAlignment="1">
      <alignment horizontal="left" vertical="center"/>
    </xf>
    <xf numFmtId="0" fontId="33" fillId="0" borderId="55" xfId="0" applyFont="1" applyBorder="1" applyAlignment="1">
      <alignment horizontal="center" vertical="center"/>
    </xf>
    <xf numFmtId="0" fontId="33" fillId="0" borderId="2" xfId="0" applyFont="1" applyBorder="1" applyAlignment="1">
      <alignment horizontal="center" vertical="center"/>
    </xf>
    <xf numFmtId="0" fontId="33" fillId="0" borderId="5" xfId="0" applyFont="1" applyBorder="1" applyAlignment="1">
      <alignment horizontal="center" vertical="center"/>
    </xf>
    <xf numFmtId="0" fontId="35" fillId="0" borderId="116" xfId="0" applyFont="1" applyBorder="1" applyAlignment="1">
      <alignment horizontal="center" vertical="center"/>
    </xf>
    <xf numFmtId="0" fontId="35" fillId="0" borderId="89" xfId="0" applyFont="1" applyBorder="1" applyAlignment="1">
      <alignment horizontal="center" vertical="center"/>
    </xf>
    <xf numFmtId="0" fontId="49" fillId="0" borderId="26" xfId="0" applyFont="1" applyBorder="1" applyAlignment="1">
      <alignment horizontal="center" vertical="center"/>
    </xf>
    <xf numFmtId="0" fontId="49" fillId="0" borderId="35" xfId="0" applyFont="1" applyBorder="1" applyAlignment="1">
      <alignment horizontal="center" vertical="center"/>
    </xf>
    <xf numFmtId="0" fontId="29" fillId="0" borderId="6" xfId="0" applyFont="1" applyBorder="1" applyAlignment="1">
      <alignment horizontal="center" vertical="center" wrapText="1"/>
    </xf>
    <xf numFmtId="0" fontId="29" fillId="0" borderId="23" xfId="0" applyFont="1" applyBorder="1" applyAlignment="1">
      <alignment horizontal="center" vertical="center" wrapText="1"/>
    </xf>
    <xf numFmtId="0" fontId="49" fillId="0" borderId="26" xfId="0" applyFont="1" applyBorder="1" applyAlignment="1">
      <alignment horizontal="center" vertical="center" wrapText="1"/>
    </xf>
    <xf numFmtId="0" fontId="49" fillId="0" borderId="35" xfId="0" applyFont="1" applyBorder="1" applyAlignment="1">
      <alignment horizontal="center" vertical="center" wrapText="1"/>
    </xf>
    <xf numFmtId="2" fontId="29" fillId="0" borderId="6" xfId="0" applyNumberFormat="1" applyFont="1" applyBorder="1" applyAlignment="1">
      <alignment horizontal="center" vertical="center"/>
    </xf>
    <xf numFmtId="2" fontId="29" fillId="0" borderId="23" xfId="0" applyNumberFormat="1" applyFont="1" applyBorder="1" applyAlignment="1">
      <alignment horizontal="center" vertical="center"/>
    </xf>
    <xf numFmtId="0" fontId="49" fillId="0" borderId="25" xfId="0" applyFont="1" applyBorder="1" applyAlignment="1">
      <alignment horizontal="center" vertical="center" wrapText="1"/>
    </xf>
    <xf numFmtId="0" fontId="49" fillId="0" borderId="111" xfId="0" applyFont="1" applyBorder="1" applyAlignment="1">
      <alignment horizontal="center" vertical="center" wrapText="1"/>
    </xf>
    <xf numFmtId="2" fontId="29" fillId="0" borderId="18" xfId="0" applyNumberFormat="1" applyFont="1" applyBorder="1" applyAlignment="1">
      <alignment horizontal="center" vertical="center"/>
    </xf>
    <xf numFmtId="2" fontId="29" fillId="0" borderId="19" xfId="0" applyNumberFormat="1" applyFont="1" applyBorder="1" applyAlignment="1">
      <alignment horizontal="center" vertical="center"/>
    </xf>
    <xf numFmtId="0" fontId="35" fillId="0" borderId="11" xfId="0" applyFont="1" applyBorder="1" applyAlignment="1">
      <alignment horizontal="left" vertical="center" wrapText="1"/>
    </xf>
    <xf numFmtId="0" fontId="35" fillId="0" borderId="7" xfId="0" applyFont="1" applyBorder="1" applyAlignment="1">
      <alignment horizontal="left" vertical="center" wrapText="1"/>
    </xf>
    <xf numFmtId="0" fontId="35" fillId="0" borderId="37" xfId="0" applyFont="1" applyBorder="1" applyAlignment="1">
      <alignment horizontal="left" vertical="center" wrapText="1"/>
    </xf>
    <xf numFmtId="0" fontId="35" fillId="0" borderId="12" xfId="0" applyFont="1" applyBorder="1" applyAlignment="1">
      <alignment horizontal="left" vertical="center" wrapText="1"/>
    </xf>
    <xf numFmtId="0" fontId="35" fillId="0" borderId="4" xfId="0" applyFont="1" applyBorder="1" applyAlignment="1">
      <alignment horizontal="left" vertical="center" wrapText="1"/>
    </xf>
    <xf numFmtId="0" fontId="35" fillId="0" borderId="10" xfId="0" applyFont="1" applyBorder="1" applyAlignment="1">
      <alignment horizontal="left" vertical="center" wrapText="1"/>
    </xf>
    <xf numFmtId="0" fontId="49" fillId="0" borderId="24" xfId="0" applyFont="1" applyBorder="1" applyAlignment="1">
      <alignment horizontal="center" vertical="center" wrapText="1"/>
    </xf>
    <xf numFmtId="0" fontId="49" fillId="0" borderId="117" xfId="0" applyFont="1" applyBorder="1" applyAlignment="1">
      <alignment horizontal="center" vertical="center" wrapText="1"/>
    </xf>
    <xf numFmtId="0" fontId="34" fillId="0" borderId="116" xfId="0" applyFont="1" applyBorder="1" applyAlignment="1">
      <alignment horizontal="center" vertical="center" wrapText="1"/>
    </xf>
    <xf numFmtId="0" fontId="34" fillId="0" borderId="89" xfId="0" applyFont="1" applyBorder="1" applyAlignment="1">
      <alignment horizontal="center" vertical="center" wrapText="1"/>
    </xf>
    <xf numFmtId="0" fontId="29" fillId="0" borderId="86" xfId="0" applyFont="1" applyBorder="1" applyAlignment="1">
      <alignment horizontal="center" vertical="center"/>
    </xf>
    <xf numFmtId="0" fontId="29" fillId="0" borderId="93" xfId="0" applyFont="1" applyBorder="1" applyAlignment="1">
      <alignment horizontal="center" vertical="center"/>
    </xf>
    <xf numFmtId="0" fontId="29" fillId="0" borderId="94" xfId="0" applyFont="1" applyBorder="1" applyAlignment="1">
      <alignment horizontal="center" vertical="center"/>
    </xf>
    <xf numFmtId="0" fontId="29" fillId="0" borderId="77" xfId="0" applyFont="1" applyBorder="1" applyAlignment="1">
      <alignment horizontal="center" vertical="center"/>
    </xf>
    <xf numFmtId="0" fontId="29" fillId="0" borderId="60" xfId="0" applyFont="1" applyBorder="1" applyAlignment="1">
      <alignment horizontal="center" vertical="center"/>
    </xf>
    <xf numFmtId="0" fontId="29" fillId="0" borderId="95" xfId="0" applyFont="1" applyBorder="1" applyAlignment="1">
      <alignment horizontal="center" vertical="center"/>
    </xf>
    <xf numFmtId="2" fontId="29" fillId="0" borderId="77" xfId="0" applyNumberFormat="1" applyFont="1" applyBorder="1" applyAlignment="1">
      <alignment horizontal="center" vertical="center"/>
    </xf>
    <xf numFmtId="2" fontId="29" fillId="0" borderId="60" xfId="0" applyNumberFormat="1" applyFont="1" applyBorder="1" applyAlignment="1">
      <alignment horizontal="center" vertical="center"/>
    </xf>
    <xf numFmtId="2" fontId="29" fillId="0" borderId="95" xfId="0" applyNumberFormat="1" applyFont="1" applyBorder="1" applyAlignment="1">
      <alignment horizontal="center" vertical="center"/>
    </xf>
    <xf numFmtId="0" fontId="29" fillId="0" borderId="78" xfId="0" applyFont="1" applyBorder="1" applyAlignment="1">
      <alignment horizontal="center" vertical="center"/>
    </xf>
    <xf numFmtId="0" fontId="29" fillId="0" borderId="119" xfId="0" applyFont="1" applyBorder="1" applyAlignment="1">
      <alignment horizontal="center" vertical="center"/>
    </xf>
    <xf numFmtId="0" fontId="29" fillId="0" borderId="96" xfId="0" applyFont="1" applyBorder="1" applyAlignment="1">
      <alignment horizontal="center" vertical="center"/>
    </xf>
    <xf numFmtId="2" fontId="29" fillId="0" borderId="43" xfId="0" applyNumberFormat="1" applyFont="1" applyBorder="1" applyAlignment="1">
      <alignment vertical="center" wrapText="1"/>
    </xf>
    <xf numFmtId="2" fontId="29" fillId="0" borderId="0" xfId="0" applyNumberFormat="1" applyFont="1" applyAlignment="1">
      <alignment vertical="center" wrapText="1"/>
    </xf>
    <xf numFmtId="2" fontId="29" fillId="0" borderId="43" xfId="0" applyNumberFormat="1" applyFont="1" applyBorder="1" applyAlignment="1">
      <alignment horizontal="left" vertical="center" wrapText="1"/>
    </xf>
    <xf numFmtId="2" fontId="29" fillId="0" borderId="0" xfId="0" applyNumberFormat="1" applyFont="1" applyAlignment="1">
      <alignment horizontal="left" vertical="center" wrapText="1"/>
    </xf>
    <xf numFmtId="2" fontId="66" fillId="0" borderId="0" xfId="0" applyNumberFormat="1" applyFont="1" applyAlignment="1">
      <alignment horizontal="left" vertical="center" wrapText="1"/>
    </xf>
    <xf numFmtId="0" fontId="128" fillId="10" borderId="55" xfId="0" applyFont="1" applyFill="1" applyBorder="1" applyAlignment="1">
      <alignment horizontal="center" vertical="center"/>
    </xf>
    <xf numFmtId="0" fontId="128" fillId="10" borderId="2" xfId="0" applyFont="1" applyFill="1" applyBorder="1" applyAlignment="1">
      <alignment horizontal="center" vertical="center"/>
    </xf>
    <xf numFmtId="0" fontId="128" fillId="10" borderId="5" xfId="0" applyFont="1" applyFill="1" applyBorder="1" applyAlignment="1">
      <alignment horizontal="center" vertical="center"/>
    </xf>
    <xf numFmtId="0" fontId="69" fillId="0" borderId="86" xfId="0" applyFont="1" applyBorder="1" applyAlignment="1">
      <alignment horizontal="center" vertical="center"/>
    </xf>
    <xf numFmtId="0" fontId="69" fillId="0" borderId="31" xfId="0" applyFont="1" applyBorder="1" applyAlignment="1">
      <alignment horizontal="center" vertical="center"/>
    </xf>
    <xf numFmtId="0" fontId="69" fillId="0" borderId="77" xfId="0" applyFont="1" applyBorder="1" applyAlignment="1">
      <alignment horizontal="center" vertical="center"/>
    </xf>
    <xf numFmtId="0" fontId="69" fillId="0" borderId="33" xfId="0" applyFont="1" applyBorder="1" applyAlignment="1">
      <alignment horizontal="center" vertical="center"/>
    </xf>
    <xf numFmtId="0" fontId="69" fillId="0" borderId="116" xfId="0" applyFont="1" applyBorder="1" applyAlignment="1">
      <alignment horizontal="center" vertical="center"/>
    </xf>
    <xf numFmtId="0" fontId="69" fillId="0" borderId="117" xfId="0" applyFont="1" applyBorder="1" applyAlignment="1">
      <alignment horizontal="center" vertical="center"/>
    </xf>
    <xf numFmtId="0" fontId="69" fillId="10" borderId="78" xfId="0" applyFont="1" applyFill="1" applyBorder="1" applyAlignment="1">
      <alignment horizontal="center" vertical="center" wrapText="1"/>
    </xf>
    <xf numFmtId="0" fontId="69" fillId="10" borderId="32" xfId="0" applyFont="1" applyFill="1" applyBorder="1" applyAlignment="1">
      <alignment horizontal="center" vertical="center" wrapText="1"/>
    </xf>
    <xf numFmtId="0" fontId="33" fillId="0" borderId="57" xfId="0" applyFont="1" applyBorder="1" applyAlignment="1">
      <alignment horizontal="center" vertical="center"/>
    </xf>
    <xf numFmtId="0" fontId="33" fillId="0" borderId="58" xfId="0" applyFont="1" applyBorder="1" applyAlignment="1">
      <alignment horizontal="center" vertical="center"/>
    </xf>
    <xf numFmtId="0" fontId="33" fillId="0" borderId="59" xfId="0" applyFont="1" applyBorder="1" applyAlignment="1">
      <alignment horizontal="center" vertical="center"/>
    </xf>
    <xf numFmtId="2" fontId="32" fillId="0" borderId="90" xfId="0" applyNumberFormat="1" applyFont="1" applyBorder="1" applyAlignment="1">
      <alignment horizontal="center" vertical="center"/>
    </xf>
    <xf numFmtId="2" fontId="32" fillId="0" borderId="66" xfId="0" applyNumberFormat="1" applyFont="1" applyBorder="1" applyAlignment="1">
      <alignment horizontal="center" vertical="center"/>
    </xf>
    <xf numFmtId="0" fontId="34" fillId="0" borderId="6" xfId="0" applyFont="1" applyBorder="1" applyAlignment="1">
      <alignment horizontal="right" vertical="center"/>
    </xf>
    <xf numFmtId="2" fontId="34" fillId="0" borderId="60" xfId="0" applyNumberFormat="1" applyFont="1" applyBorder="1" applyAlignment="1">
      <alignment horizontal="left" vertical="center" wrapText="1"/>
    </xf>
    <xf numFmtId="2" fontId="34" fillId="0" borderId="71" xfId="0" applyNumberFormat="1" applyFont="1" applyBorder="1" applyAlignment="1">
      <alignment horizontal="left" vertical="center" wrapText="1"/>
    </xf>
    <xf numFmtId="2" fontId="34" fillId="0" borderId="43" xfId="0" applyNumberFormat="1" applyFont="1" applyBorder="1" applyAlignment="1">
      <alignment vertical="center" wrapText="1"/>
    </xf>
    <xf numFmtId="2" fontId="34" fillId="0" borderId="0" xfId="0" applyNumberFormat="1" applyFont="1" applyAlignment="1">
      <alignment vertical="center" wrapText="1"/>
    </xf>
    <xf numFmtId="0" fontId="28" fillId="0" borderId="0" xfId="0" applyFont="1" applyAlignment="1">
      <alignment horizontal="left" vertical="center"/>
    </xf>
    <xf numFmtId="0" fontId="37" fillId="0" borderId="0" xfId="0" applyFont="1" applyAlignment="1">
      <alignment horizontal="left" vertical="center"/>
    </xf>
    <xf numFmtId="0" fontId="29" fillId="0" borderId="6" xfId="0" applyFont="1" applyBorder="1" applyAlignment="1">
      <alignment horizontal="right" vertical="center" wrapText="1"/>
    </xf>
    <xf numFmtId="0" fontId="34" fillId="0" borderId="60" xfId="0" applyFont="1" applyBorder="1" applyAlignment="1">
      <alignment horizontal="left" vertical="center" wrapText="1"/>
    </xf>
    <xf numFmtId="0" fontId="34" fillId="0" borderId="71" xfId="0" applyFont="1" applyBorder="1" applyAlignment="1">
      <alignment horizontal="left" vertical="center" wrapText="1"/>
    </xf>
    <xf numFmtId="0" fontId="85" fillId="0" borderId="0" xfId="0" applyFont="1" applyAlignment="1">
      <alignment horizontal="left" vertical="center"/>
    </xf>
    <xf numFmtId="0" fontId="85" fillId="0" borderId="39" xfId="0" applyFont="1" applyBorder="1" applyAlignment="1">
      <alignment horizontal="left" vertical="center"/>
    </xf>
    <xf numFmtId="0" fontId="29" fillId="0" borderId="56" xfId="0" applyFont="1" applyBorder="1" applyAlignment="1">
      <alignment horizontal="right" vertical="center"/>
    </xf>
    <xf numFmtId="0" fontId="29" fillId="0" borderId="33" xfId="0" applyFont="1" applyBorder="1" applyAlignment="1">
      <alignment horizontal="right" vertical="center"/>
    </xf>
    <xf numFmtId="0" fontId="29" fillId="0" borderId="56" xfId="0" applyFont="1" applyBorder="1" applyAlignment="1">
      <alignment horizontal="right" vertical="center" wrapText="1"/>
    </xf>
    <xf numFmtId="0" fontId="29" fillId="0" borderId="33" xfId="0" applyFont="1" applyBorder="1" applyAlignment="1">
      <alignment horizontal="right" vertical="center" wrapText="1"/>
    </xf>
    <xf numFmtId="2" fontId="29" fillId="0" borderId="45" xfId="0" applyNumberFormat="1" applyFont="1" applyBorder="1" applyAlignment="1">
      <alignment horizontal="left" vertical="center" wrapText="1"/>
    </xf>
    <xf numFmtId="2" fontId="16" fillId="0" borderId="0" xfId="0" applyNumberFormat="1" applyFont="1" applyAlignment="1">
      <alignment horizontal="right" vertical="center" wrapText="1"/>
    </xf>
    <xf numFmtId="2" fontId="16" fillId="0" borderId="14" xfId="0" applyNumberFormat="1" applyFont="1" applyBorder="1" applyAlignment="1">
      <alignment horizontal="right" vertical="center" wrapText="1"/>
    </xf>
    <xf numFmtId="0" fontId="29" fillId="0" borderId="0" xfId="0" applyFont="1" applyAlignment="1">
      <alignment horizontal="right" vertical="center" wrapText="1"/>
    </xf>
    <xf numFmtId="2" fontId="26" fillId="0" borderId="0" xfId="0" applyNumberFormat="1" applyFont="1" applyAlignment="1">
      <alignment horizontal="left" vertical="center" wrapText="1"/>
    </xf>
    <xf numFmtId="0" fontId="29" fillId="0" borderId="0" xfId="0" applyFont="1" applyAlignment="1">
      <alignment horizontal="left" vertical="center" wrapText="1"/>
    </xf>
    <xf numFmtId="0" fontId="29" fillId="0" borderId="0" xfId="0" applyFont="1" applyAlignment="1">
      <alignment horizontal="left" vertical="center"/>
    </xf>
    <xf numFmtId="0" fontId="29" fillId="0" borderId="112" xfId="0" applyFont="1" applyBorder="1" applyAlignment="1">
      <alignment horizontal="center" vertical="center"/>
    </xf>
    <xf numFmtId="0" fontId="29" fillId="0" borderId="68" xfId="0" applyFont="1" applyBorder="1" applyAlignment="1">
      <alignment horizontal="center" vertical="center"/>
    </xf>
    <xf numFmtId="0" fontId="29" fillId="0" borderId="113" xfId="0" applyFont="1" applyBorder="1" applyAlignment="1">
      <alignment horizontal="center" vertical="center"/>
    </xf>
    <xf numFmtId="0" fontId="29" fillId="0" borderId="114" xfId="0" applyFont="1" applyBorder="1" applyAlignment="1">
      <alignment horizontal="center" vertical="center"/>
    </xf>
    <xf numFmtId="9" fontId="29" fillId="0" borderId="0" xfId="0" applyNumberFormat="1" applyFont="1" applyAlignment="1">
      <alignment horizontal="left" vertical="center"/>
    </xf>
    <xf numFmtId="2" fontId="35" fillId="0" borderId="52" xfId="0" applyNumberFormat="1" applyFont="1" applyBorder="1" applyAlignment="1">
      <alignment horizontal="right" vertical="center"/>
    </xf>
    <xf numFmtId="2" fontId="35" fillId="0" borderId="6" xfId="0" applyNumberFormat="1" applyFont="1" applyBorder="1" applyAlignment="1">
      <alignment horizontal="right" vertical="center"/>
    </xf>
    <xf numFmtId="2" fontId="49" fillId="0" borderId="52" xfId="0" applyNumberFormat="1" applyFont="1" applyBorder="1" applyAlignment="1">
      <alignment horizontal="right" vertical="center" wrapText="1"/>
    </xf>
    <xf numFmtId="2" fontId="49" fillId="0" borderId="6" xfId="0" applyNumberFormat="1" applyFont="1" applyBorder="1" applyAlignment="1">
      <alignment horizontal="right" vertical="center" wrapText="1"/>
    </xf>
    <xf numFmtId="2" fontId="49" fillId="0" borderId="52" xfId="0" applyNumberFormat="1" applyFont="1" applyBorder="1" applyAlignment="1">
      <alignment horizontal="right" vertical="center"/>
    </xf>
    <xf numFmtId="2" fontId="49" fillId="0" borderId="6" xfId="0" applyNumberFormat="1" applyFont="1" applyBorder="1" applyAlignment="1">
      <alignment horizontal="right" vertical="center"/>
    </xf>
    <xf numFmtId="2" fontId="35" fillId="0" borderId="52" xfId="0" applyNumberFormat="1" applyFont="1" applyBorder="1" applyAlignment="1">
      <alignment horizontal="right" vertical="center" wrapText="1"/>
    </xf>
    <xf numFmtId="2" fontId="35" fillId="0" borderId="6" xfId="0" applyNumberFormat="1" applyFont="1" applyBorder="1" applyAlignment="1">
      <alignment horizontal="right" vertical="center" wrapText="1"/>
    </xf>
    <xf numFmtId="2" fontId="29" fillId="0" borderId="6" xfId="0" applyNumberFormat="1" applyFont="1" applyBorder="1" applyAlignment="1">
      <alignment horizontal="right" vertical="center" wrapText="1"/>
    </xf>
    <xf numFmtId="0" fontId="89" fillId="0" borderId="45" xfId="0" applyFont="1" applyBorder="1" applyAlignment="1">
      <alignment horizontal="center" vertical="center" wrapText="1"/>
    </xf>
    <xf numFmtId="0" fontId="39" fillId="0" borderId="0" xfId="0" applyFont="1" applyAlignment="1">
      <alignment horizontal="center" wrapText="1"/>
    </xf>
    <xf numFmtId="0" fontId="31" fillId="0" borderId="53" xfId="1" applyFont="1" applyBorder="1" applyAlignment="1">
      <alignment horizontal="center" vertical="center"/>
    </xf>
    <xf numFmtId="0" fontId="31" fillId="0" borderId="65" xfId="1" applyFont="1" applyBorder="1" applyAlignment="1">
      <alignment horizontal="center" vertical="center"/>
    </xf>
    <xf numFmtId="14" fontId="31" fillId="0" borderId="48" xfId="1" applyNumberFormat="1" applyFont="1" applyBorder="1" applyAlignment="1">
      <alignment horizontal="center" vertical="center"/>
    </xf>
    <xf numFmtId="14" fontId="31" fillId="0" borderId="84" xfId="1" applyNumberFormat="1" applyFont="1" applyBorder="1" applyAlignment="1">
      <alignment horizontal="center" vertical="center"/>
    </xf>
    <xf numFmtId="14" fontId="31" fillId="0" borderId="42" xfId="1" applyNumberFormat="1" applyFont="1" applyBorder="1" applyAlignment="1">
      <alignment horizontal="center" vertical="center"/>
    </xf>
    <xf numFmtId="14" fontId="31" fillId="0" borderId="66" xfId="1" applyNumberFormat="1" applyFont="1" applyBorder="1" applyAlignment="1">
      <alignment horizontal="center" vertical="center"/>
    </xf>
    <xf numFmtId="165" fontId="58" fillId="0" borderId="71" xfId="0" applyNumberFormat="1" applyFont="1" applyBorder="1" applyAlignment="1">
      <alignment horizontal="left" vertical="center" wrapText="1"/>
    </xf>
    <xf numFmtId="165" fontId="58" fillId="0" borderId="0" xfId="0" applyNumberFormat="1" applyFont="1" applyAlignment="1">
      <alignment horizontal="left" vertical="center" wrapText="1"/>
    </xf>
    <xf numFmtId="0" fontId="29" fillId="0" borderId="6" xfId="0" applyFont="1" applyBorder="1" applyAlignment="1">
      <alignment horizontal="right" vertical="center"/>
    </xf>
    <xf numFmtId="0" fontId="34" fillId="0" borderId="56" xfId="0" applyFont="1" applyBorder="1" applyAlignment="1">
      <alignment horizontal="center" vertical="center" wrapText="1"/>
    </xf>
    <xf numFmtId="0" fontId="34" fillId="0" borderId="60" xfId="0" applyFont="1" applyBorder="1" applyAlignment="1">
      <alignment horizontal="center" vertical="center" wrapText="1"/>
    </xf>
    <xf numFmtId="0" fontId="34" fillId="0" borderId="33" xfId="0" applyFont="1" applyBorder="1" applyAlignment="1">
      <alignment horizontal="center" vertical="center" wrapText="1"/>
    </xf>
    <xf numFmtId="0" fontId="34" fillId="0" borderId="0" xfId="0" applyFont="1" applyAlignment="1">
      <alignment horizontal="right" vertical="center"/>
    </xf>
    <xf numFmtId="0" fontId="34" fillId="0" borderId="14" xfId="0" applyFont="1" applyBorder="1" applyAlignment="1">
      <alignment horizontal="right" vertical="center"/>
    </xf>
    <xf numFmtId="0" fontId="49" fillId="0" borderId="6" xfId="0" applyFont="1" applyBorder="1" applyAlignment="1">
      <alignment horizontal="center" vertical="center"/>
    </xf>
    <xf numFmtId="0" fontId="36" fillId="0" borderId="6" xfId="0" applyFont="1" applyBorder="1" applyAlignment="1">
      <alignment horizontal="right" vertical="center"/>
    </xf>
    <xf numFmtId="0" fontId="29" fillId="0" borderId="0" xfId="0" applyFont="1" applyAlignment="1">
      <alignment horizontal="right" vertical="center"/>
    </xf>
    <xf numFmtId="0" fontId="29" fillId="0" borderId="14" xfId="0" applyFont="1" applyBorder="1" applyAlignment="1">
      <alignment horizontal="right" vertical="center"/>
    </xf>
    <xf numFmtId="0" fontId="29" fillId="0" borderId="6" xfId="0" applyFont="1" applyBorder="1" applyAlignment="1">
      <alignment horizontal="center" vertical="center"/>
    </xf>
    <xf numFmtId="0" fontId="58" fillId="0" borderId="71" xfId="0" applyFont="1" applyBorder="1" applyAlignment="1">
      <alignment horizontal="left" vertical="center" wrapText="1"/>
    </xf>
    <xf numFmtId="0" fontId="58" fillId="0" borderId="0" xfId="0" applyFont="1" applyAlignment="1">
      <alignment horizontal="left" vertical="center" wrapText="1"/>
    </xf>
    <xf numFmtId="0" fontId="26" fillId="0" borderId="34" xfId="0" applyFont="1" applyBorder="1" applyAlignment="1">
      <alignment horizontal="right" vertical="center"/>
    </xf>
    <xf numFmtId="0" fontId="26" fillId="0" borderId="35" xfId="0" applyFont="1" applyBorder="1" applyAlignment="1">
      <alignment horizontal="right" vertical="center"/>
    </xf>
    <xf numFmtId="0" fontId="30" fillId="0" borderId="42" xfId="1" applyFont="1" applyBorder="1" applyAlignment="1">
      <alignment horizontal="center" vertical="center"/>
    </xf>
    <xf numFmtId="0" fontId="30" fillId="0" borderId="66" xfId="1" applyFont="1" applyBorder="1" applyAlignment="1">
      <alignment horizontal="center" vertical="center"/>
    </xf>
    <xf numFmtId="165" fontId="29" fillId="0" borderId="0" xfId="0" applyNumberFormat="1" applyFont="1" applyAlignment="1">
      <alignment horizontal="left" vertical="center" wrapText="1"/>
    </xf>
    <xf numFmtId="0" fontId="55" fillId="0" borderId="0" xfId="0" applyFont="1" applyAlignment="1">
      <alignment horizontal="left" vertical="center" wrapText="1"/>
    </xf>
    <xf numFmtId="0" fontId="34" fillId="0" borderId="67" xfId="0" applyFont="1" applyBorder="1" applyAlignment="1">
      <alignment horizontal="left" vertical="center" wrapText="1"/>
    </xf>
    <xf numFmtId="0" fontId="34" fillId="0" borderId="0" xfId="0" applyFont="1" applyAlignment="1">
      <alignment horizontal="left" vertical="center" wrapText="1"/>
    </xf>
    <xf numFmtId="165" fontId="29" fillId="0" borderId="6" xfId="0" applyNumberFormat="1" applyFont="1" applyBorder="1" applyAlignment="1">
      <alignment horizontal="center" vertical="center"/>
    </xf>
    <xf numFmtId="0" fontId="36" fillId="0" borderId="70" xfId="0" applyFont="1" applyBorder="1" applyAlignment="1">
      <alignment horizontal="center" vertical="center" wrapText="1"/>
    </xf>
    <xf numFmtId="0" fontId="36" fillId="0" borderId="67" xfId="0" applyFont="1" applyBorder="1" applyAlignment="1">
      <alignment horizontal="center" vertical="center" wrapText="1"/>
    </xf>
    <xf numFmtId="0" fontId="36" fillId="0" borderId="35" xfId="0" applyFont="1" applyBorder="1" applyAlignment="1">
      <alignment horizontal="center" vertical="center" wrapText="1"/>
    </xf>
    <xf numFmtId="165" fontId="29" fillId="0" borderId="0" xfId="0" applyNumberFormat="1" applyFont="1" applyAlignment="1">
      <alignment vertical="center"/>
    </xf>
    <xf numFmtId="0" fontId="29" fillId="0" borderId="6" xfId="0" applyFont="1" applyBorder="1" applyAlignment="1">
      <alignment horizontal="left" vertical="center"/>
    </xf>
    <xf numFmtId="2" fontId="26" fillId="0" borderId="34" xfId="0" applyNumberFormat="1" applyFont="1" applyBorder="1" applyAlignment="1">
      <alignment horizontal="center" vertical="center"/>
    </xf>
    <xf numFmtId="0" fontId="26" fillId="0" borderId="42" xfId="0" applyFont="1" applyBorder="1" applyAlignment="1">
      <alignment horizontal="center" vertical="center"/>
    </xf>
    <xf numFmtId="0" fontId="26" fillId="0" borderId="35" xfId="0" applyFont="1" applyBorder="1" applyAlignment="1">
      <alignment horizontal="center" vertical="center"/>
    </xf>
    <xf numFmtId="2" fontId="137" fillId="10" borderId="55" xfId="0" applyNumberFormat="1" applyFont="1" applyFill="1" applyBorder="1" applyAlignment="1">
      <alignment horizontal="center" vertical="center"/>
    </xf>
    <xf numFmtId="2" fontId="137" fillId="10" borderId="2" xfId="0" applyNumberFormat="1" applyFont="1" applyFill="1" applyBorder="1" applyAlignment="1">
      <alignment horizontal="center" vertical="center"/>
    </xf>
    <xf numFmtId="2" fontId="137" fillId="10" borderId="5" xfId="0" applyNumberFormat="1" applyFont="1" applyFill="1" applyBorder="1" applyAlignment="1">
      <alignment horizontal="center" vertical="center"/>
    </xf>
    <xf numFmtId="0" fontId="69" fillId="0" borderId="20" xfId="0" applyFont="1" applyBorder="1" applyAlignment="1">
      <alignment horizontal="center" vertical="center"/>
    </xf>
    <xf numFmtId="0" fontId="69" fillId="0" borderId="22" xfId="0" applyFont="1" applyBorder="1" applyAlignment="1">
      <alignment horizontal="center" vertical="center"/>
    </xf>
    <xf numFmtId="0" fontId="69" fillId="0" borderId="13" xfId="0" applyFont="1" applyBorder="1" applyAlignment="1">
      <alignment horizontal="center" vertical="center"/>
    </xf>
    <xf numFmtId="0" fontId="69" fillId="0" borderId="6" xfId="0" applyFont="1" applyBorder="1" applyAlignment="1">
      <alignment horizontal="center" vertical="center"/>
    </xf>
    <xf numFmtId="0" fontId="69" fillId="10" borderId="21" xfId="0" applyFont="1" applyFill="1" applyBorder="1" applyAlignment="1">
      <alignment horizontal="center" vertical="center" wrapText="1"/>
    </xf>
    <xf numFmtId="0" fontId="69" fillId="10" borderId="23" xfId="0" applyFont="1" applyFill="1" applyBorder="1" applyAlignment="1">
      <alignment horizontal="center" vertical="center" wrapText="1"/>
    </xf>
    <xf numFmtId="0" fontId="39" fillId="0" borderId="0" xfId="0" applyFont="1" applyAlignment="1">
      <alignment horizontal="center" vertical="center"/>
    </xf>
    <xf numFmtId="2" fontId="35" fillId="7" borderId="63" xfId="0" applyNumberFormat="1" applyFont="1" applyFill="1" applyBorder="1" applyAlignment="1">
      <alignment horizontal="right" vertical="center" wrapText="1"/>
    </xf>
    <xf numFmtId="2" fontId="35" fillId="7" borderId="64" xfId="0" applyNumberFormat="1" applyFont="1" applyFill="1" applyBorder="1" applyAlignment="1">
      <alignment horizontal="right" vertical="center" wrapText="1"/>
    </xf>
    <xf numFmtId="0" fontId="115" fillId="0" borderId="0" xfId="0" applyFont="1" applyAlignment="1">
      <alignment horizontal="left" vertical="center"/>
    </xf>
    <xf numFmtId="0" fontId="69" fillId="10" borderId="55" xfId="0" applyFont="1" applyFill="1" applyBorder="1" applyAlignment="1">
      <alignment horizontal="center" vertical="center"/>
    </xf>
    <xf numFmtId="0" fontId="69" fillId="10" borderId="2" xfId="0" applyFont="1" applyFill="1" applyBorder="1" applyAlignment="1">
      <alignment horizontal="center" vertical="center"/>
    </xf>
    <xf numFmtId="0" fontId="69" fillId="10" borderId="5" xfId="0" applyFont="1" applyFill="1" applyBorder="1" applyAlignment="1">
      <alignment horizontal="center" vertical="center"/>
    </xf>
    <xf numFmtId="2" fontId="65" fillId="0" borderId="40" xfId="0" applyNumberFormat="1" applyFont="1" applyBorder="1" applyAlignment="1">
      <alignment horizontal="left" vertical="center" wrapText="1"/>
    </xf>
    <xf numFmtId="2" fontId="65" fillId="0" borderId="39" xfId="0" applyNumberFormat="1" applyFont="1" applyBorder="1" applyAlignment="1">
      <alignment horizontal="left" vertical="center" wrapText="1"/>
    </xf>
    <xf numFmtId="2" fontId="65" fillId="0" borderId="38" xfId="0" applyNumberFormat="1" applyFont="1" applyBorder="1" applyAlignment="1">
      <alignment horizontal="left" vertical="center" wrapText="1"/>
    </xf>
    <xf numFmtId="2" fontId="32" fillId="0" borderId="49" xfId="0" applyNumberFormat="1" applyFont="1" applyBorder="1" applyAlignment="1">
      <alignment horizontal="center" vertical="center"/>
    </xf>
    <xf numFmtId="2" fontId="32" fillId="0" borderId="67" xfId="0" applyNumberFormat="1" applyFont="1" applyBorder="1" applyAlignment="1">
      <alignment horizontal="center" vertical="center"/>
    </xf>
    <xf numFmtId="2" fontId="32" fillId="0" borderId="85" xfId="0" applyNumberFormat="1" applyFont="1" applyBorder="1" applyAlignment="1">
      <alignment horizontal="center" vertical="center"/>
    </xf>
    <xf numFmtId="2" fontId="26" fillId="0" borderId="45" xfId="0" applyNumberFormat="1" applyFont="1" applyBorder="1" applyAlignment="1">
      <alignment horizontal="left" vertical="center" wrapText="1"/>
    </xf>
    <xf numFmtId="0" fontId="64" fillId="0" borderId="6" xfId="0" applyFont="1" applyBorder="1" applyAlignment="1">
      <alignment horizontal="right" vertical="center"/>
    </xf>
    <xf numFmtId="0" fontId="83" fillId="0" borderId="71" xfId="0" applyFont="1" applyBorder="1" applyAlignment="1">
      <alignment horizontal="left" vertical="center" wrapText="1"/>
    </xf>
    <xf numFmtId="0" fontId="83" fillId="0" borderId="0" xfId="0" applyFont="1" applyAlignment="1">
      <alignment horizontal="left" vertical="center" wrapText="1"/>
    </xf>
    <xf numFmtId="0" fontId="26" fillId="0" borderId="6" xfId="0" applyFont="1" applyBorder="1" applyAlignment="1">
      <alignment horizontal="right" vertical="center"/>
    </xf>
    <xf numFmtId="0" fontId="26" fillId="0" borderId="6" xfId="0" applyFont="1" applyBorder="1" applyAlignment="1">
      <alignment horizontal="right" vertical="center" wrapText="1"/>
    </xf>
    <xf numFmtId="0" fontId="16" fillId="0" borderId="6" xfId="0" applyFont="1" applyBorder="1" applyAlignment="1">
      <alignment horizontal="right" vertical="center"/>
    </xf>
    <xf numFmtId="2" fontId="29" fillId="0" borderId="99" xfId="0" applyNumberFormat="1" applyFont="1" applyBorder="1" applyAlignment="1">
      <alignment horizontal="center" vertical="center"/>
    </xf>
    <xf numFmtId="2" fontId="29" fillId="0" borderId="123" xfId="0" applyNumberFormat="1" applyFont="1" applyBorder="1" applyAlignment="1">
      <alignment horizontal="center" vertical="center"/>
    </xf>
    <xf numFmtId="0" fontId="39" fillId="0" borderId="6" xfId="0" applyFont="1" applyBorder="1" applyAlignment="1">
      <alignment horizontal="right" vertical="center"/>
    </xf>
    <xf numFmtId="0" fontId="39" fillId="0" borderId="56" xfId="0" applyFont="1" applyBorder="1" applyAlignment="1">
      <alignment horizontal="center" vertical="center"/>
    </xf>
    <xf numFmtId="0" fontId="39" fillId="0" borderId="33" xfId="0" applyFont="1" applyBorder="1" applyAlignment="1">
      <alignment horizontal="center" vertical="center"/>
    </xf>
    <xf numFmtId="0" fontId="34" fillId="0" borderId="56" xfId="0" applyFont="1" applyBorder="1" applyAlignment="1">
      <alignment horizontal="center" vertical="center"/>
    </xf>
    <xf numFmtId="0" fontId="34" fillId="0" borderId="60" xfId="0" applyFont="1" applyBorder="1" applyAlignment="1">
      <alignment horizontal="center" vertical="center"/>
    </xf>
    <xf numFmtId="0" fontId="34" fillId="0" borderId="33" xfId="0" applyFont="1" applyBorder="1" applyAlignment="1">
      <alignment horizontal="center" vertical="center"/>
    </xf>
    <xf numFmtId="0" fontId="39" fillId="0" borderId="56" xfId="0" applyFont="1" applyBorder="1" applyAlignment="1">
      <alignment horizontal="right" vertical="center"/>
    </xf>
    <xf numFmtId="0" fontId="39" fillId="0" borderId="60" xfId="0" applyFont="1" applyBorder="1" applyAlignment="1">
      <alignment horizontal="right" vertical="center"/>
    </xf>
    <xf numFmtId="0" fontId="39" fillId="0" borderId="33" xfId="0" applyFont="1" applyBorder="1" applyAlignment="1">
      <alignment horizontal="right" vertical="center"/>
    </xf>
    <xf numFmtId="0" fontId="39" fillId="0" borderId="56" xfId="0" applyFont="1" applyBorder="1" applyAlignment="1">
      <alignment horizontal="center" vertical="center" wrapText="1"/>
    </xf>
    <xf numFmtId="0" fontId="39" fillId="0" borderId="60" xfId="0" applyFont="1" applyBorder="1" applyAlignment="1">
      <alignment horizontal="center" vertical="center" wrapText="1"/>
    </xf>
    <xf numFmtId="0" fontId="39" fillId="0" borderId="33" xfId="0" applyFont="1" applyBorder="1" applyAlignment="1">
      <alignment horizontal="center" vertical="center" wrapText="1"/>
    </xf>
    <xf numFmtId="0" fontId="35" fillId="3" borderId="55" xfId="0" applyFont="1" applyFill="1" applyBorder="1" applyAlignment="1">
      <alignment horizontal="center" vertical="center"/>
    </xf>
    <xf numFmtId="0" fontId="35" fillId="3" borderId="2" xfId="0" applyFont="1" applyFill="1" applyBorder="1" applyAlignment="1">
      <alignment horizontal="center" vertical="center"/>
    </xf>
    <xf numFmtId="0" fontId="35" fillId="3" borderId="5" xfId="0" applyFont="1" applyFill="1" applyBorder="1" applyAlignment="1">
      <alignment horizontal="center" vertical="center"/>
    </xf>
    <xf numFmtId="0" fontId="49" fillId="3" borderId="55" xfId="0" applyFont="1" applyFill="1" applyBorder="1" applyAlignment="1">
      <alignment horizontal="center" vertical="center"/>
    </xf>
    <xf numFmtId="0" fontId="49" fillId="3" borderId="2" xfId="0" applyFont="1" applyFill="1" applyBorder="1" applyAlignment="1">
      <alignment horizontal="center" vertical="center"/>
    </xf>
    <xf numFmtId="0" fontId="49" fillId="3" borderId="5" xfId="0" applyFont="1" applyFill="1" applyBorder="1" applyAlignment="1">
      <alignment horizontal="center" vertical="center"/>
    </xf>
    <xf numFmtId="0" fontId="35" fillId="3" borderId="28" xfId="0" applyFont="1" applyFill="1" applyBorder="1" applyAlignment="1">
      <alignment horizontal="center" vertical="center"/>
    </xf>
    <xf numFmtId="0" fontId="35" fillId="3" borderId="30" xfId="0" applyFont="1" applyFill="1" applyBorder="1" applyAlignment="1">
      <alignment horizontal="center" vertical="center"/>
    </xf>
    <xf numFmtId="0" fontId="35" fillId="3" borderId="29" xfId="0" applyFont="1" applyFill="1" applyBorder="1" applyAlignment="1">
      <alignment horizontal="center" vertical="center"/>
    </xf>
    <xf numFmtId="0" fontId="33" fillId="2" borderId="55" xfId="0" applyFont="1" applyFill="1" applyBorder="1" applyAlignment="1">
      <alignment horizontal="center" vertical="center"/>
    </xf>
    <xf numFmtId="0" fontId="33" fillId="2" borderId="5" xfId="0" applyFont="1" applyFill="1" applyBorder="1" applyAlignment="1">
      <alignment horizontal="center" vertical="center"/>
    </xf>
    <xf numFmtId="0" fontId="75" fillId="8" borderId="55" xfId="0" applyFont="1" applyFill="1" applyBorder="1" applyAlignment="1">
      <alignment horizontal="center" vertical="center"/>
    </xf>
    <xf numFmtId="0" fontId="75" fillId="8" borderId="2" xfId="0" applyFont="1" applyFill="1" applyBorder="1" applyAlignment="1">
      <alignment horizontal="center" vertical="center"/>
    </xf>
    <xf numFmtId="0" fontId="75" fillId="8" borderId="5" xfId="0" applyFont="1" applyFill="1" applyBorder="1" applyAlignment="1">
      <alignment horizontal="center" vertical="center"/>
    </xf>
    <xf numFmtId="0" fontId="49" fillId="3" borderId="28" xfId="0" applyFont="1" applyFill="1" applyBorder="1" applyAlignment="1">
      <alignment horizontal="center" vertical="center"/>
    </xf>
    <xf numFmtId="0" fontId="49" fillId="3" borderId="30" xfId="0" applyFont="1" applyFill="1" applyBorder="1" applyAlignment="1">
      <alignment horizontal="center" vertical="center"/>
    </xf>
    <xf numFmtId="0" fontId="49" fillId="3" borderId="29" xfId="0" applyFont="1" applyFill="1" applyBorder="1" applyAlignment="1">
      <alignment horizontal="center" vertical="center"/>
    </xf>
    <xf numFmtId="0" fontId="68" fillId="8" borderId="55" xfId="0" applyFont="1" applyFill="1" applyBorder="1" applyAlignment="1">
      <alignment horizontal="center" vertical="center"/>
    </xf>
    <xf numFmtId="0" fontId="68" fillId="8" borderId="2" xfId="0" applyFont="1" applyFill="1" applyBorder="1" applyAlignment="1">
      <alignment horizontal="center" vertical="center"/>
    </xf>
    <xf numFmtId="0" fontId="68" fillId="8" borderId="5" xfId="0" applyFont="1" applyFill="1" applyBorder="1" applyAlignment="1">
      <alignment horizontal="center" vertical="center"/>
    </xf>
    <xf numFmtId="0" fontId="35" fillId="0" borderId="0" xfId="0" applyFont="1" applyAlignment="1">
      <alignment horizontal="center" vertical="center"/>
    </xf>
    <xf numFmtId="0" fontId="35" fillId="3" borderId="55" xfId="0" applyFont="1" applyFill="1" applyBorder="1" applyAlignment="1">
      <alignment horizontal="center" vertical="center" wrapText="1"/>
    </xf>
    <xf numFmtId="0" fontId="35" fillId="3" borderId="2" xfId="0" applyFont="1" applyFill="1" applyBorder="1" applyAlignment="1">
      <alignment horizontal="center" vertical="center" wrapText="1"/>
    </xf>
    <xf numFmtId="0" fontId="35" fillId="3" borderId="5" xfId="0" applyFont="1" applyFill="1" applyBorder="1" applyAlignment="1">
      <alignment horizontal="center" vertical="center" wrapText="1"/>
    </xf>
    <xf numFmtId="165" fontId="67" fillId="0" borderId="83" xfId="0" applyNumberFormat="1" applyFont="1" applyBorder="1" applyAlignment="1">
      <alignment horizontal="center" vertical="center"/>
    </xf>
    <xf numFmtId="165" fontId="67" fillId="0" borderId="93" xfId="0" applyNumberFormat="1" applyFont="1" applyBorder="1" applyAlignment="1">
      <alignment horizontal="center" vertical="center"/>
    </xf>
    <xf numFmtId="165" fontId="67" fillId="0" borderId="31" xfId="0" applyNumberFormat="1" applyFont="1" applyBorder="1" applyAlignment="1">
      <alignment horizontal="center" vertical="center"/>
    </xf>
    <xf numFmtId="165" fontId="4" fillId="0" borderId="94" xfId="0" applyNumberFormat="1" applyFont="1" applyBorder="1" applyAlignment="1">
      <alignment horizontal="center" vertical="center"/>
    </xf>
    <xf numFmtId="165" fontId="4" fillId="0" borderId="93" xfId="0" applyNumberFormat="1" applyFont="1" applyBorder="1" applyAlignment="1">
      <alignment horizontal="center" vertical="center"/>
    </xf>
    <xf numFmtId="165" fontId="4" fillId="0" borderId="31" xfId="0" applyNumberFormat="1" applyFont="1" applyBorder="1" applyAlignment="1">
      <alignment horizontal="center" vertical="center"/>
    </xf>
    <xf numFmtId="169" fontId="16" fillId="0" borderId="93" xfId="0" applyNumberFormat="1" applyFont="1" applyBorder="1" applyAlignment="1">
      <alignment horizontal="center" vertical="center"/>
    </xf>
    <xf numFmtId="169" fontId="0" fillId="0" borderId="31" xfId="0" applyNumberFormat="1" applyBorder="1" applyAlignment="1">
      <alignment horizontal="center" vertical="center"/>
    </xf>
    <xf numFmtId="169" fontId="3" fillId="0" borderId="83" xfId="0" applyNumberFormat="1" applyFont="1" applyBorder="1" applyAlignment="1">
      <alignment horizontal="center" vertical="center"/>
    </xf>
    <xf numFmtId="169" fontId="3" fillId="0" borderId="93" xfId="0" applyNumberFormat="1" applyFont="1" applyBorder="1" applyAlignment="1">
      <alignment horizontal="center" vertical="center"/>
    </xf>
    <xf numFmtId="169" fontId="3" fillId="0" borderId="31" xfId="0" applyNumberFormat="1" applyFont="1" applyBorder="1" applyAlignment="1">
      <alignment horizontal="center" vertical="center"/>
    </xf>
    <xf numFmtId="0" fontId="39" fillId="3" borderId="55" xfId="0" applyFont="1" applyFill="1" applyBorder="1" applyAlignment="1">
      <alignment horizontal="center" vertical="center"/>
    </xf>
    <xf numFmtId="169" fontId="16" fillId="0" borderId="79" xfId="0" applyNumberFormat="1" applyFont="1" applyBorder="1" applyAlignment="1">
      <alignment horizontal="center" vertical="center"/>
    </xf>
    <xf numFmtId="169" fontId="0" fillId="0" borderId="51" xfId="0" applyNumberFormat="1" applyBorder="1" applyAlignment="1">
      <alignment horizontal="center" vertical="center"/>
    </xf>
    <xf numFmtId="165" fontId="67" fillId="0" borderId="86" xfId="0" applyNumberFormat="1" applyFont="1" applyBorder="1" applyAlignment="1">
      <alignment horizontal="center" vertical="center"/>
    </xf>
    <xf numFmtId="165" fontId="67" fillId="0" borderId="50" xfId="0" applyNumberFormat="1" applyFont="1" applyBorder="1" applyAlignment="1">
      <alignment horizontal="center" vertical="center"/>
    </xf>
    <xf numFmtId="165" fontId="4" fillId="0" borderId="14" xfId="0" applyNumberFormat="1" applyFont="1" applyBorder="1" applyAlignment="1">
      <alignment horizontal="center" vertical="center"/>
    </xf>
    <xf numFmtId="170" fontId="3" fillId="0" borderId="83" xfId="0" applyNumberFormat="1" applyFont="1" applyBorder="1" applyAlignment="1">
      <alignment horizontal="center" vertical="center"/>
    </xf>
    <xf numFmtId="170" fontId="3" fillId="0" borderId="93" xfId="0" applyNumberFormat="1" applyFont="1" applyBorder="1" applyAlignment="1">
      <alignment horizontal="center" vertical="center"/>
    </xf>
    <xf numFmtId="165" fontId="67" fillId="0" borderId="94" xfId="0" applyNumberFormat="1" applyFont="1" applyBorder="1" applyAlignment="1">
      <alignment horizontal="center" vertical="center"/>
    </xf>
    <xf numFmtId="0" fontId="36" fillId="0" borderId="3" xfId="0" applyFont="1" applyBorder="1" applyAlignment="1">
      <alignment horizontal="center" vertical="center"/>
    </xf>
    <xf numFmtId="0" fontId="36" fillId="0" borderId="36" xfId="0" applyFont="1" applyBorder="1" applyAlignment="1">
      <alignment horizontal="center" vertical="center"/>
    </xf>
    <xf numFmtId="0" fontId="36" fillId="0" borderId="86" xfId="0" applyFont="1" applyBorder="1" applyAlignment="1">
      <alignment horizontal="center" vertical="center" wrapText="1"/>
    </xf>
    <xf numFmtId="0" fontId="36" fillId="0" borderId="94" xfId="0" applyFont="1" applyBorder="1" applyAlignment="1">
      <alignment horizontal="center" vertical="center" wrapText="1"/>
    </xf>
    <xf numFmtId="0" fontId="36" fillId="0" borderId="77" xfId="0" applyFont="1" applyBorder="1" applyAlignment="1">
      <alignment horizontal="center" vertical="center" wrapText="1"/>
    </xf>
    <xf numFmtId="0" fontId="36" fillId="0" borderId="95" xfId="0" applyFont="1" applyBorder="1" applyAlignment="1">
      <alignment horizontal="center" vertical="center" wrapText="1"/>
    </xf>
    <xf numFmtId="0" fontId="36" fillId="0" borderId="78" xfId="0" applyFont="1" applyBorder="1" applyAlignment="1">
      <alignment horizontal="center" vertical="center" wrapText="1"/>
    </xf>
    <xf numFmtId="0" fontId="36" fillId="0" borderId="96" xfId="0" applyFont="1" applyBorder="1" applyAlignment="1">
      <alignment horizontal="center" vertical="center" wrapText="1"/>
    </xf>
    <xf numFmtId="170" fontId="3" fillId="0" borderId="86" xfId="0" applyNumberFormat="1" applyFont="1" applyBorder="1" applyAlignment="1">
      <alignment horizontal="center" vertical="center"/>
    </xf>
    <xf numFmtId="0" fontId="36" fillId="0" borderId="11" xfId="0" applyFont="1" applyBorder="1" applyAlignment="1">
      <alignment horizontal="center" vertical="center" wrapText="1"/>
    </xf>
    <xf numFmtId="0" fontId="36" fillId="0" borderId="12" xfId="0" applyFont="1" applyBorder="1" applyAlignment="1">
      <alignment horizontal="center" vertical="center" wrapText="1"/>
    </xf>
    <xf numFmtId="0" fontId="0" fillId="0" borderId="0" xfId="0" applyAlignment="1">
      <alignment horizontal="left"/>
    </xf>
    <xf numFmtId="0" fontId="105" fillId="0" borderId="0" xfId="0" applyFont="1" applyAlignment="1">
      <alignment horizontal="left" vertical="center"/>
    </xf>
    <xf numFmtId="0" fontId="106" fillId="0" borderId="0" xfId="0" applyFont="1" applyAlignment="1">
      <alignment horizontal="left" vertical="center"/>
    </xf>
    <xf numFmtId="0" fontId="108" fillId="0" borderId="0" xfId="0" applyFont="1" applyAlignment="1">
      <alignment horizontal="left" vertical="center"/>
    </xf>
    <xf numFmtId="0" fontId="73" fillId="0" borderId="0" xfId="0" applyFont="1" applyAlignment="1">
      <alignment horizontal="left" vertical="center" wrapText="1"/>
    </xf>
  </cellXfs>
  <cellStyles count="4">
    <cellStyle name="Normal" xfId="0" builtinId="0"/>
    <cellStyle name="Normal 2" xfId="1" xr:uid="{00000000-0005-0000-0000-000001000000}"/>
    <cellStyle name="Normal 2 2" xfId="2" xr:uid="{00000000-0005-0000-0000-000002000000}"/>
    <cellStyle name="Normal 3" xfId="3" xr:uid="{00000000-0005-0000-0000-000003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3.xml.rels><?xml version="1.0" encoding="UTF-8" standalone="yes"?>
<Relationships xmlns="http://schemas.openxmlformats.org/package/2006/relationships"><Relationship Id="rId8" Type="http://schemas.openxmlformats.org/officeDocument/2006/relationships/image" Target="../media/image20.emf"/><Relationship Id="rId3" Type="http://schemas.openxmlformats.org/officeDocument/2006/relationships/image" Target="../media/image15.emf"/><Relationship Id="rId7" Type="http://schemas.openxmlformats.org/officeDocument/2006/relationships/image" Target="../media/image19.emf"/><Relationship Id="rId2" Type="http://schemas.openxmlformats.org/officeDocument/2006/relationships/image" Target="../media/image14.emf"/><Relationship Id="rId1" Type="http://schemas.openxmlformats.org/officeDocument/2006/relationships/image" Target="../media/image13.emf"/><Relationship Id="rId6" Type="http://schemas.openxmlformats.org/officeDocument/2006/relationships/image" Target="../media/image18.emf"/><Relationship Id="rId11" Type="http://schemas.openxmlformats.org/officeDocument/2006/relationships/image" Target="../media/image23.emf"/><Relationship Id="rId5" Type="http://schemas.openxmlformats.org/officeDocument/2006/relationships/image" Target="../media/image17.emf"/><Relationship Id="rId10" Type="http://schemas.openxmlformats.org/officeDocument/2006/relationships/image" Target="../media/image22.emf"/><Relationship Id="rId4" Type="http://schemas.openxmlformats.org/officeDocument/2006/relationships/image" Target="../media/image16.emf"/><Relationship Id="rId9" Type="http://schemas.openxmlformats.org/officeDocument/2006/relationships/image" Target="../media/image21.emf"/></Relationships>
</file>

<file path=xl/drawings/_rels/drawing4.xml.rels><?xml version="1.0" encoding="UTF-8" standalone="yes"?>
<Relationships xmlns="http://schemas.openxmlformats.org/package/2006/relationships"><Relationship Id="rId1" Type="http://schemas.openxmlformats.org/officeDocument/2006/relationships/image" Target="../media/image24.emf"/></Relationships>
</file>

<file path=xl/drawings/_rels/drawing5.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26.png"/><Relationship Id="rId1" Type="http://schemas.openxmlformats.org/officeDocument/2006/relationships/image" Target="../media/image25.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10.emf"/><Relationship Id="rId3" Type="http://schemas.openxmlformats.org/officeDocument/2006/relationships/image" Target="../media/image5.emf"/><Relationship Id="rId7" Type="http://schemas.openxmlformats.org/officeDocument/2006/relationships/image" Target="../media/image9.emf"/><Relationship Id="rId2" Type="http://schemas.openxmlformats.org/officeDocument/2006/relationships/image" Target="../media/image4.emf"/><Relationship Id="rId1" Type="http://schemas.openxmlformats.org/officeDocument/2006/relationships/image" Target="../media/image3.emf"/><Relationship Id="rId6" Type="http://schemas.openxmlformats.org/officeDocument/2006/relationships/image" Target="../media/image8.emf"/><Relationship Id="rId5" Type="http://schemas.openxmlformats.org/officeDocument/2006/relationships/image" Target="../media/image7.emf"/><Relationship Id="rId10" Type="http://schemas.openxmlformats.org/officeDocument/2006/relationships/image" Target="../media/image12.emf"/><Relationship Id="rId4" Type="http://schemas.openxmlformats.org/officeDocument/2006/relationships/image" Target="../media/image6.emf"/><Relationship Id="rId9"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xdr:twoCellAnchor>
    <xdr:from>
      <xdr:col>3</xdr:col>
      <xdr:colOff>847724</xdr:colOff>
      <xdr:row>7</xdr:row>
      <xdr:rowOff>177165</xdr:rowOff>
    </xdr:from>
    <xdr:to>
      <xdr:col>6</xdr:col>
      <xdr:colOff>45720</xdr:colOff>
      <xdr:row>8</xdr:row>
      <xdr:rowOff>160020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2440304" y="1510665"/>
          <a:ext cx="1263016" cy="158115"/>
        </a:xfrm>
        <a:prstGeom prst="rect">
          <a:avLst/>
        </a:prstGeom>
        <a:solidFill>
          <a:schemeClr val="lt1"/>
        </a:solidFill>
        <a:ln w="0"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a:t>Longitudinal Length of Structure </a:t>
          </a:r>
          <a:r>
            <a:rPr lang="en-US" sz="800" baseline="0"/>
            <a:t>"L"</a:t>
          </a:r>
          <a:endParaRPr lang="en-US" sz="800"/>
        </a:p>
      </xdr:txBody>
    </xdr:sp>
    <xdr:clientData/>
  </xdr:twoCellAnchor>
  <xdr:twoCellAnchor>
    <xdr:from>
      <xdr:col>3</xdr:col>
      <xdr:colOff>843280</xdr:colOff>
      <xdr:row>17</xdr:row>
      <xdr:rowOff>3810</xdr:rowOff>
    </xdr:from>
    <xdr:to>
      <xdr:col>3</xdr:col>
      <xdr:colOff>1163320</xdr:colOff>
      <xdr:row>18</xdr:row>
      <xdr:rowOff>3810</xdr:rowOff>
    </xdr:to>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2435860" y="3021330"/>
          <a:ext cx="0" cy="167640"/>
        </a:xfrm>
        <a:prstGeom prst="rect">
          <a:avLst/>
        </a:prstGeom>
        <a:solidFill>
          <a:schemeClr val="lt1"/>
        </a:solidFill>
        <a:ln w="0"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900"/>
            <a:t>c</a:t>
          </a:r>
        </a:p>
      </xdr:txBody>
    </xdr:sp>
    <xdr:clientData/>
  </xdr:twoCellAnchor>
  <xdr:twoCellAnchor>
    <xdr:from>
      <xdr:col>3</xdr:col>
      <xdr:colOff>978535</xdr:colOff>
      <xdr:row>15</xdr:row>
      <xdr:rowOff>48895</xdr:rowOff>
    </xdr:from>
    <xdr:to>
      <xdr:col>3</xdr:col>
      <xdr:colOff>1186181</xdr:colOff>
      <xdr:row>16</xdr:row>
      <xdr:rowOff>48895</xdr:rowOff>
    </xdr:to>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4041775" y="2868295"/>
          <a:ext cx="207646" cy="190500"/>
        </a:xfrm>
        <a:prstGeom prst="rect">
          <a:avLst/>
        </a:prstGeom>
        <a:solidFill>
          <a:schemeClr val="lt1"/>
        </a:solidFill>
        <a:ln w="0"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900"/>
            <a:t>t</a:t>
          </a:r>
          <a:endParaRPr lang="en-US" sz="900" baseline="-25000"/>
        </a:p>
      </xdr:txBody>
    </xdr:sp>
    <xdr:clientData/>
  </xdr:twoCellAnchor>
  <xdr:twoCellAnchor>
    <xdr:from>
      <xdr:col>6</xdr:col>
      <xdr:colOff>38100</xdr:colOff>
      <xdr:row>16</xdr:row>
      <xdr:rowOff>137160</xdr:rowOff>
    </xdr:from>
    <xdr:to>
      <xdr:col>6</xdr:col>
      <xdr:colOff>297180</xdr:colOff>
      <xdr:row>17</xdr:row>
      <xdr:rowOff>160020</xdr:rowOff>
    </xdr:to>
    <xdr:sp macro="" textlink="">
      <xdr:nvSpPr>
        <xdr:cNvPr id="25901" name="Oval 366">
          <a:extLst>
            <a:ext uri="{FF2B5EF4-FFF2-40B4-BE49-F238E27FC236}">
              <a16:creationId xmlns:a16="http://schemas.microsoft.com/office/drawing/2014/main" id="{00000000-0008-0000-0100-00002D650000}"/>
            </a:ext>
          </a:extLst>
        </xdr:cNvPr>
        <xdr:cNvSpPr>
          <a:spLocks noChangeArrowheads="1"/>
        </xdr:cNvSpPr>
      </xdr:nvSpPr>
      <xdr:spPr bwMode="auto">
        <a:xfrm>
          <a:off x="5913120" y="3147060"/>
          <a:ext cx="259080" cy="213360"/>
        </a:xfrm>
        <a:prstGeom prst="ellipse">
          <a:avLst/>
        </a:prstGeom>
        <a:solidFill>
          <a:srgbClr val="FFFFFF"/>
        </a:solidFill>
        <a:ln w="3175" algn="ctr">
          <a:solidFill>
            <a:srgbClr val="000000"/>
          </a:solidFill>
          <a:round/>
          <a:headEnd/>
          <a:tailEnd/>
        </a:ln>
      </xdr:spPr>
    </xdr:sp>
    <xdr:clientData/>
  </xdr:twoCellAnchor>
  <xdr:twoCellAnchor>
    <xdr:from>
      <xdr:col>5</xdr:col>
      <xdr:colOff>106045</xdr:colOff>
      <xdr:row>13</xdr:row>
      <xdr:rowOff>97155</xdr:rowOff>
    </xdr:from>
    <xdr:to>
      <xdr:col>5</xdr:col>
      <xdr:colOff>327025</xdr:colOff>
      <xdr:row>14</xdr:row>
      <xdr:rowOff>97155</xdr:rowOff>
    </xdr:to>
    <xdr:sp macro="" textlink="">
      <xdr:nvSpPr>
        <xdr:cNvPr id="8" name="TextBox 7">
          <a:extLst>
            <a:ext uri="{FF2B5EF4-FFF2-40B4-BE49-F238E27FC236}">
              <a16:creationId xmlns:a16="http://schemas.microsoft.com/office/drawing/2014/main" id="{00000000-0008-0000-0100-000008000000}"/>
            </a:ext>
          </a:extLst>
        </xdr:cNvPr>
        <xdr:cNvSpPr txBox="1"/>
      </xdr:nvSpPr>
      <xdr:spPr>
        <a:xfrm>
          <a:off x="3154045" y="2444115"/>
          <a:ext cx="220980" cy="167640"/>
        </a:xfrm>
        <a:prstGeom prst="rect">
          <a:avLst/>
        </a:prstGeom>
        <a:solidFill>
          <a:schemeClr val="lt1"/>
        </a:solidFill>
        <a:ln w="0"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900"/>
            <a:t>A</a:t>
          </a:r>
        </a:p>
      </xdr:txBody>
    </xdr:sp>
    <xdr:clientData/>
  </xdr:twoCellAnchor>
  <xdr:twoCellAnchor>
    <xdr:from>
      <xdr:col>5</xdr:col>
      <xdr:colOff>115570</xdr:colOff>
      <xdr:row>17</xdr:row>
      <xdr:rowOff>85725</xdr:rowOff>
    </xdr:from>
    <xdr:to>
      <xdr:col>5</xdr:col>
      <xdr:colOff>336550</xdr:colOff>
      <xdr:row>18</xdr:row>
      <xdr:rowOff>85725</xdr:rowOff>
    </xdr:to>
    <xdr:sp macro="" textlink="">
      <xdr:nvSpPr>
        <xdr:cNvPr id="9" name="TextBox 8">
          <a:extLst>
            <a:ext uri="{FF2B5EF4-FFF2-40B4-BE49-F238E27FC236}">
              <a16:creationId xmlns:a16="http://schemas.microsoft.com/office/drawing/2014/main" id="{00000000-0008-0000-0100-000009000000}"/>
            </a:ext>
          </a:extLst>
        </xdr:cNvPr>
        <xdr:cNvSpPr txBox="1"/>
      </xdr:nvSpPr>
      <xdr:spPr>
        <a:xfrm>
          <a:off x="3163570" y="3103245"/>
          <a:ext cx="220980" cy="167640"/>
        </a:xfrm>
        <a:prstGeom prst="rect">
          <a:avLst/>
        </a:prstGeom>
        <a:solidFill>
          <a:schemeClr val="lt1"/>
        </a:solidFill>
        <a:ln w="0"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900"/>
            <a:t>A</a:t>
          </a:r>
        </a:p>
      </xdr:txBody>
    </xdr:sp>
    <xdr:clientData/>
  </xdr:twoCellAnchor>
  <xdr:twoCellAnchor>
    <xdr:from>
      <xdr:col>4</xdr:col>
      <xdr:colOff>571500</xdr:colOff>
      <xdr:row>15</xdr:row>
      <xdr:rowOff>74295</xdr:rowOff>
    </xdr:from>
    <xdr:to>
      <xdr:col>4</xdr:col>
      <xdr:colOff>792480</xdr:colOff>
      <xdr:row>16</xdr:row>
      <xdr:rowOff>74295</xdr:rowOff>
    </xdr:to>
    <xdr:sp macro="" textlink="">
      <xdr:nvSpPr>
        <xdr:cNvPr id="10" name="TextBox 9">
          <a:extLst>
            <a:ext uri="{FF2B5EF4-FFF2-40B4-BE49-F238E27FC236}">
              <a16:creationId xmlns:a16="http://schemas.microsoft.com/office/drawing/2014/main" id="{00000000-0008-0000-0100-00000A000000}"/>
            </a:ext>
          </a:extLst>
        </xdr:cNvPr>
        <xdr:cNvSpPr txBox="1"/>
      </xdr:nvSpPr>
      <xdr:spPr>
        <a:xfrm>
          <a:off x="3009900" y="2756535"/>
          <a:ext cx="38100" cy="167640"/>
        </a:xfrm>
        <a:prstGeom prst="rect">
          <a:avLst/>
        </a:prstGeom>
        <a:solidFill>
          <a:schemeClr val="lt1"/>
        </a:solidFill>
        <a:ln w="0"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900"/>
            <a:t>R</a:t>
          </a:r>
        </a:p>
      </xdr:txBody>
    </xdr:sp>
    <xdr:clientData/>
  </xdr:twoCellAnchor>
  <xdr:twoCellAnchor>
    <xdr:from>
      <xdr:col>1</xdr:col>
      <xdr:colOff>57150</xdr:colOff>
      <xdr:row>9</xdr:row>
      <xdr:rowOff>184785</xdr:rowOff>
    </xdr:from>
    <xdr:to>
      <xdr:col>1</xdr:col>
      <xdr:colOff>314325</xdr:colOff>
      <xdr:row>11</xdr:row>
      <xdr:rowOff>22860</xdr:rowOff>
    </xdr:to>
    <xdr:sp macro="" textlink="">
      <xdr:nvSpPr>
        <xdr:cNvPr id="11" name="TextBox 10">
          <a:extLst>
            <a:ext uri="{FF2B5EF4-FFF2-40B4-BE49-F238E27FC236}">
              <a16:creationId xmlns:a16="http://schemas.microsoft.com/office/drawing/2014/main" id="{00000000-0008-0000-0100-00000B000000}"/>
            </a:ext>
          </a:extLst>
        </xdr:cNvPr>
        <xdr:cNvSpPr txBox="1"/>
      </xdr:nvSpPr>
      <xdr:spPr>
        <a:xfrm>
          <a:off x="666750" y="1845945"/>
          <a:ext cx="257175" cy="188595"/>
        </a:xfrm>
        <a:prstGeom prst="rect">
          <a:avLst/>
        </a:prstGeom>
        <a:solidFill>
          <a:schemeClr val="lt1"/>
        </a:solidFill>
        <a:ln w="0"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900"/>
            <a:t>R</a:t>
          </a:r>
        </a:p>
      </xdr:txBody>
    </xdr:sp>
    <xdr:clientData/>
  </xdr:twoCellAnchor>
  <xdr:twoCellAnchor>
    <xdr:from>
      <xdr:col>2</xdr:col>
      <xdr:colOff>146685</xdr:colOff>
      <xdr:row>7</xdr:row>
      <xdr:rowOff>60325</xdr:rowOff>
    </xdr:from>
    <xdr:to>
      <xdr:col>2</xdr:col>
      <xdr:colOff>403860</xdr:colOff>
      <xdr:row>8</xdr:row>
      <xdr:rowOff>34290</xdr:rowOff>
    </xdr:to>
    <xdr:sp macro="" textlink="">
      <xdr:nvSpPr>
        <xdr:cNvPr id="12" name="TextBox 11">
          <a:extLst>
            <a:ext uri="{FF2B5EF4-FFF2-40B4-BE49-F238E27FC236}">
              <a16:creationId xmlns:a16="http://schemas.microsoft.com/office/drawing/2014/main" id="{00000000-0008-0000-0100-00000C000000}"/>
            </a:ext>
          </a:extLst>
        </xdr:cNvPr>
        <xdr:cNvSpPr txBox="1"/>
      </xdr:nvSpPr>
      <xdr:spPr>
        <a:xfrm>
          <a:off x="1365885" y="1401445"/>
          <a:ext cx="257175" cy="141605"/>
        </a:xfrm>
        <a:prstGeom prst="rect">
          <a:avLst/>
        </a:prstGeom>
        <a:solidFill>
          <a:schemeClr val="lt1"/>
        </a:solidFill>
        <a:ln w="0"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900"/>
            <a:t>S</a:t>
          </a:r>
        </a:p>
      </xdr:txBody>
    </xdr:sp>
    <xdr:clientData/>
  </xdr:twoCellAnchor>
  <xdr:twoCellAnchor>
    <xdr:from>
      <xdr:col>2</xdr:col>
      <xdr:colOff>2301240</xdr:colOff>
      <xdr:row>10</xdr:row>
      <xdr:rowOff>213360</xdr:rowOff>
    </xdr:from>
    <xdr:to>
      <xdr:col>2</xdr:col>
      <xdr:colOff>1996440</xdr:colOff>
      <xdr:row>10</xdr:row>
      <xdr:rowOff>213360</xdr:rowOff>
    </xdr:to>
    <xdr:cxnSp macro="">
      <xdr:nvCxnSpPr>
        <xdr:cNvPr id="25907" name="Straight Connector 59">
          <a:extLst>
            <a:ext uri="{FF2B5EF4-FFF2-40B4-BE49-F238E27FC236}">
              <a16:creationId xmlns:a16="http://schemas.microsoft.com/office/drawing/2014/main" id="{00000000-0008-0000-0100-000033650000}"/>
            </a:ext>
          </a:extLst>
        </xdr:cNvPr>
        <xdr:cNvCxnSpPr>
          <a:cxnSpLocks noChangeShapeType="1"/>
        </xdr:cNvCxnSpPr>
      </xdr:nvCxnSpPr>
      <xdr:spPr bwMode="auto">
        <a:xfrm rot="10800000">
          <a:off x="3063240" y="2057400"/>
          <a:ext cx="0" cy="0"/>
        </a:xfrm>
        <a:prstGeom prst="line">
          <a:avLst/>
        </a:prstGeom>
        <a:noFill/>
        <a:ln w="3175" algn="ctr">
          <a:solidFill>
            <a:srgbClr val="000000"/>
          </a:solidFill>
          <a:round/>
          <a:headEnd/>
          <a:tailEnd/>
        </a:ln>
      </xdr:spPr>
    </xdr:cxnSp>
    <xdr:clientData/>
  </xdr:twoCellAnchor>
  <xdr:twoCellAnchor>
    <xdr:from>
      <xdr:col>2</xdr:col>
      <xdr:colOff>2301240</xdr:colOff>
      <xdr:row>11</xdr:row>
      <xdr:rowOff>76200</xdr:rowOff>
    </xdr:from>
    <xdr:to>
      <xdr:col>2</xdr:col>
      <xdr:colOff>1996440</xdr:colOff>
      <xdr:row>11</xdr:row>
      <xdr:rowOff>76200</xdr:rowOff>
    </xdr:to>
    <xdr:cxnSp macro="">
      <xdr:nvCxnSpPr>
        <xdr:cNvPr id="25908" name="Straight Connector 63">
          <a:extLst>
            <a:ext uri="{FF2B5EF4-FFF2-40B4-BE49-F238E27FC236}">
              <a16:creationId xmlns:a16="http://schemas.microsoft.com/office/drawing/2014/main" id="{00000000-0008-0000-0100-000034650000}"/>
            </a:ext>
          </a:extLst>
        </xdr:cNvPr>
        <xdr:cNvCxnSpPr>
          <a:cxnSpLocks noChangeShapeType="1"/>
        </xdr:cNvCxnSpPr>
      </xdr:nvCxnSpPr>
      <xdr:spPr bwMode="auto">
        <a:xfrm>
          <a:off x="3063240" y="2133600"/>
          <a:ext cx="0" cy="0"/>
        </a:xfrm>
        <a:prstGeom prst="line">
          <a:avLst/>
        </a:prstGeom>
        <a:noFill/>
        <a:ln w="3175" algn="ctr">
          <a:solidFill>
            <a:srgbClr val="000000"/>
          </a:solidFill>
          <a:round/>
          <a:headEnd/>
          <a:tailEnd/>
        </a:ln>
      </xdr:spPr>
    </xdr:cxnSp>
    <xdr:clientData/>
  </xdr:twoCellAnchor>
  <xdr:twoCellAnchor>
    <xdr:from>
      <xdr:col>1</xdr:col>
      <xdr:colOff>569666</xdr:colOff>
      <xdr:row>8</xdr:row>
      <xdr:rowOff>187126</xdr:rowOff>
    </xdr:from>
    <xdr:to>
      <xdr:col>2</xdr:col>
      <xdr:colOff>912566</xdr:colOff>
      <xdr:row>15</xdr:row>
      <xdr:rowOff>129277</xdr:rowOff>
    </xdr:to>
    <xdr:sp macro="" textlink="">
      <xdr:nvSpPr>
        <xdr:cNvPr id="15" name="Chord 14">
          <a:extLst>
            <a:ext uri="{FF2B5EF4-FFF2-40B4-BE49-F238E27FC236}">
              <a16:creationId xmlns:a16="http://schemas.microsoft.com/office/drawing/2014/main" id="{00000000-0008-0000-0100-00000F000000}"/>
            </a:ext>
          </a:extLst>
        </xdr:cNvPr>
        <xdr:cNvSpPr/>
      </xdr:nvSpPr>
      <xdr:spPr bwMode="auto">
        <a:xfrm rot="5400000">
          <a:off x="933870" y="1918422"/>
          <a:ext cx="1138491" cy="647700"/>
        </a:xfrm>
        <a:prstGeom prst="chord">
          <a:avLst>
            <a:gd name="adj1" fmla="val 5400845"/>
            <a:gd name="adj2" fmla="val 16200000"/>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endParaRPr lang="en-US"/>
        </a:p>
      </xdr:txBody>
    </xdr:sp>
    <xdr:clientData/>
  </xdr:twoCellAnchor>
  <xdr:twoCellAnchor>
    <xdr:from>
      <xdr:col>2</xdr:col>
      <xdr:colOff>746760</xdr:colOff>
      <xdr:row>11</xdr:row>
      <xdr:rowOff>154305</xdr:rowOff>
    </xdr:from>
    <xdr:to>
      <xdr:col>2</xdr:col>
      <xdr:colOff>849630</xdr:colOff>
      <xdr:row>11</xdr:row>
      <xdr:rowOff>154305</xdr:rowOff>
    </xdr:to>
    <xdr:cxnSp macro="">
      <xdr:nvCxnSpPr>
        <xdr:cNvPr id="16" name="Straight Connector 15">
          <a:extLst>
            <a:ext uri="{FF2B5EF4-FFF2-40B4-BE49-F238E27FC236}">
              <a16:creationId xmlns:a16="http://schemas.microsoft.com/office/drawing/2014/main" id="{00000000-0008-0000-0100-000010000000}"/>
            </a:ext>
          </a:extLst>
        </xdr:cNvPr>
        <xdr:cNvCxnSpPr/>
      </xdr:nvCxnSpPr>
      <xdr:spPr bwMode="auto">
        <a:xfrm>
          <a:off x="1828800" y="2165985"/>
          <a:ext cx="0" cy="0"/>
        </a:xfrm>
        <a:prstGeom prst="line">
          <a:avLst/>
        </a:prstGeom>
        <a:ln w="6350">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853440</xdr:colOff>
      <xdr:row>11</xdr:row>
      <xdr:rowOff>152400</xdr:rowOff>
    </xdr:from>
    <xdr:to>
      <xdr:col>2</xdr:col>
      <xdr:colOff>853440</xdr:colOff>
      <xdr:row>12</xdr:row>
      <xdr:rowOff>60960</xdr:rowOff>
    </xdr:to>
    <xdr:cxnSp macro="">
      <xdr:nvCxnSpPr>
        <xdr:cNvPr id="25911" name="Straight Connector 11">
          <a:extLst>
            <a:ext uri="{FF2B5EF4-FFF2-40B4-BE49-F238E27FC236}">
              <a16:creationId xmlns:a16="http://schemas.microsoft.com/office/drawing/2014/main" id="{00000000-0008-0000-0100-000037650000}"/>
            </a:ext>
          </a:extLst>
        </xdr:cNvPr>
        <xdr:cNvCxnSpPr>
          <a:cxnSpLocks noChangeShapeType="1"/>
        </xdr:cNvCxnSpPr>
      </xdr:nvCxnSpPr>
      <xdr:spPr bwMode="auto">
        <a:xfrm rot="5400000">
          <a:off x="1870710" y="2259330"/>
          <a:ext cx="99060" cy="0"/>
        </a:xfrm>
        <a:prstGeom prst="line">
          <a:avLst/>
        </a:prstGeom>
        <a:noFill/>
        <a:ln w="6350" algn="ctr">
          <a:solidFill>
            <a:srgbClr val="000000"/>
          </a:solidFill>
          <a:round/>
          <a:headEnd/>
          <a:tailEnd/>
        </a:ln>
      </xdr:spPr>
    </xdr:cxnSp>
    <xdr:clientData/>
  </xdr:twoCellAnchor>
  <xdr:twoCellAnchor>
    <xdr:from>
      <xdr:col>2</xdr:col>
      <xdr:colOff>845820</xdr:colOff>
      <xdr:row>12</xdr:row>
      <xdr:rowOff>60960</xdr:rowOff>
    </xdr:from>
    <xdr:to>
      <xdr:col>2</xdr:col>
      <xdr:colOff>967740</xdr:colOff>
      <xdr:row>12</xdr:row>
      <xdr:rowOff>60960</xdr:rowOff>
    </xdr:to>
    <xdr:cxnSp macro="">
      <xdr:nvCxnSpPr>
        <xdr:cNvPr id="25912" name="Straight Connector 13">
          <a:extLst>
            <a:ext uri="{FF2B5EF4-FFF2-40B4-BE49-F238E27FC236}">
              <a16:creationId xmlns:a16="http://schemas.microsoft.com/office/drawing/2014/main" id="{00000000-0008-0000-0100-000038650000}"/>
            </a:ext>
          </a:extLst>
        </xdr:cNvPr>
        <xdr:cNvCxnSpPr>
          <a:cxnSpLocks noChangeShapeType="1"/>
        </xdr:cNvCxnSpPr>
      </xdr:nvCxnSpPr>
      <xdr:spPr bwMode="auto">
        <a:xfrm>
          <a:off x="1912620" y="2308860"/>
          <a:ext cx="121920" cy="0"/>
        </a:xfrm>
        <a:prstGeom prst="line">
          <a:avLst/>
        </a:prstGeom>
        <a:noFill/>
        <a:ln w="6350" algn="ctr">
          <a:solidFill>
            <a:srgbClr val="000000"/>
          </a:solidFill>
          <a:round/>
          <a:headEnd/>
          <a:tailEnd/>
        </a:ln>
      </xdr:spPr>
    </xdr:cxnSp>
    <xdr:clientData/>
  </xdr:twoCellAnchor>
  <xdr:twoCellAnchor>
    <xdr:from>
      <xdr:col>2</xdr:col>
      <xdr:colOff>967740</xdr:colOff>
      <xdr:row>11</xdr:row>
      <xdr:rowOff>152400</xdr:rowOff>
    </xdr:from>
    <xdr:to>
      <xdr:col>2</xdr:col>
      <xdr:colOff>967740</xdr:colOff>
      <xdr:row>12</xdr:row>
      <xdr:rowOff>60960</xdr:rowOff>
    </xdr:to>
    <xdr:cxnSp macro="">
      <xdr:nvCxnSpPr>
        <xdr:cNvPr id="25913" name="Straight Connector 17">
          <a:extLst>
            <a:ext uri="{FF2B5EF4-FFF2-40B4-BE49-F238E27FC236}">
              <a16:creationId xmlns:a16="http://schemas.microsoft.com/office/drawing/2014/main" id="{00000000-0008-0000-0100-000039650000}"/>
            </a:ext>
          </a:extLst>
        </xdr:cNvPr>
        <xdr:cNvCxnSpPr>
          <a:cxnSpLocks noChangeShapeType="1"/>
        </xdr:cNvCxnSpPr>
      </xdr:nvCxnSpPr>
      <xdr:spPr bwMode="auto">
        <a:xfrm rot="5400000" flipH="1" flipV="1">
          <a:off x="1985010" y="2259330"/>
          <a:ext cx="99060" cy="0"/>
        </a:xfrm>
        <a:prstGeom prst="line">
          <a:avLst/>
        </a:prstGeom>
        <a:noFill/>
        <a:ln w="6350" algn="ctr">
          <a:solidFill>
            <a:srgbClr val="000000"/>
          </a:solidFill>
          <a:round/>
          <a:headEnd/>
          <a:tailEnd/>
        </a:ln>
      </xdr:spPr>
    </xdr:cxnSp>
    <xdr:clientData/>
  </xdr:twoCellAnchor>
  <xdr:twoCellAnchor>
    <xdr:from>
      <xdr:col>2</xdr:col>
      <xdr:colOff>967740</xdr:colOff>
      <xdr:row>11</xdr:row>
      <xdr:rowOff>152400</xdr:rowOff>
    </xdr:from>
    <xdr:to>
      <xdr:col>2</xdr:col>
      <xdr:colOff>1059180</xdr:colOff>
      <xdr:row>11</xdr:row>
      <xdr:rowOff>152400</xdr:rowOff>
    </xdr:to>
    <xdr:cxnSp macro="">
      <xdr:nvCxnSpPr>
        <xdr:cNvPr id="25914" name="Straight Connector 19">
          <a:extLst>
            <a:ext uri="{FF2B5EF4-FFF2-40B4-BE49-F238E27FC236}">
              <a16:creationId xmlns:a16="http://schemas.microsoft.com/office/drawing/2014/main" id="{00000000-0008-0000-0100-00003A650000}"/>
            </a:ext>
          </a:extLst>
        </xdr:cNvPr>
        <xdr:cNvCxnSpPr>
          <a:cxnSpLocks noChangeShapeType="1"/>
        </xdr:cNvCxnSpPr>
      </xdr:nvCxnSpPr>
      <xdr:spPr bwMode="auto">
        <a:xfrm>
          <a:off x="2034540" y="2209800"/>
          <a:ext cx="91440" cy="0"/>
        </a:xfrm>
        <a:prstGeom prst="line">
          <a:avLst/>
        </a:prstGeom>
        <a:noFill/>
        <a:ln w="6350" algn="ctr">
          <a:solidFill>
            <a:srgbClr val="000000"/>
          </a:solidFill>
          <a:round/>
          <a:headEnd/>
          <a:tailEnd/>
        </a:ln>
      </xdr:spPr>
    </xdr:cxnSp>
    <xdr:clientData/>
  </xdr:twoCellAnchor>
  <xdr:twoCellAnchor>
    <xdr:from>
      <xdr:col>2</xdr:col>
      <xdr:colOff>1059180</xdr:colOff>
      <xdr:row>11</xdr:row>
      <xdr:rowOff>152400</xdr:rowOff>
    </xdr:from>
    <xdr:to>
      <xdr:col>2</xdr:col>
      <xdr:colOff>1059180</xdr:colOff>
      <xdr:row>12</xdr:row>
      <xdr:rowOff>144780</xdr:rowOff>
    </xdr:to>
    <xdr:cxnSp macro="">
      <xdr:nvCxnSpPr>
        <xdr:cNvPr id="25915" name="Straight Connector 25">
          <a:extLst>
            <a:ext uri="{FF2B5EF4-FFF2-40B4-BE49-F238E27FC236}">
              <a16:creationId xmlns:a16="http://schemas.microsoft.com/office/drawing/2014/main" id="{00000000-0008-0000-0100-00003B650000}"/>
            </a:ext>
          </a:extLst>
        </xdr:cNvPr>
        <xdr:cNvCxnSpPr>
          <a:cxnSpLocks noChangeShapeType="1"/>
        </xdr:cNvCxnSpPr>
      </xdr:nvCxnSpPr>
      <xdr:spPr bwMode="auto">
        <a:xfrm rot="5400000">
          <a:off x="2034540" y="2301240"/>
          <a:ext cx="182880" cy="0"/>
        </a:xfrm>
        <a:prstGeom prst="line">
          <a:avLst/>
        </a:prstGeom>
        <a:noFill/>
        <a:ln w="6350" algn="ctr">
          <a:solidFill>
            <a:srgbClr val="000000"/>
          </a:solidFill>
          <a:round/>
          <a:headEnd/>
          <a:tailEnd/>
        </a:ln>
      </xdr:spPr>
    </xdr:cxnSp>
    <xdr:clientData/>
  </xdr:twoCellAnchor>
  <xdr:twoCellAnchor>
    <xdr:from>
      <xdr:col>2</xdr:col>
      <xdr:colOff>746760</xdr:colOff>
      <xdr:row>12</xdr:row>
      <xdr:rowOff>144780</xdr:rowOff>
    </xdr:from>
    <xdr:to>
      <xdr:col>2</xdr:col>
      <xdr:colOff>1059180</xdr:colOff>
      <xdr:row>12</xdr:row>
      <xdr:rowOff>144780</xdr:rowOff>
    </xdr:to>
    <xdr:cxnSp macro="">
      <xdr:nvCxnSpPr>
        <xdr:cNvPr id="25916" name="Straight Connector 27">
          <a:extLst>
            <a:ext uri="{FF2B5EF4-FFF2-40B4-BE49-F238E27FC236}">
              <a16:creationId xmlns:a16="http://schemas.microsoft.com/office/drawing/2014/main" id="{00000000-0008-0000-0100-00003C650000}"/>
            </a:ext>
          </a:extLst>
        </xdr:cNvPr>
        <xdr:cNvCxnSpPr>
          <a:cxnSpLocks noChangeShapeType="1"/>
        </xdr:cNvCxnSpPr>
      </xdr:nvCxnSpPr>
      <xdr:spPr bwMode="auto">
        <a:xfrm rot="10800000">
          <a:off x="1813560" y="2392680"/>
          <a:ext cx="312420" cy="0"/>
        </a:xfrm>
        <a:prstGeom prst="line">
          <a:avLst/>
        </a:prstGeom>
        <a:noFill/>
        <a:ln w="6350" algn="ctr">
          <a:solidFill>
            <a:srgbClr val="000000"/>
          </a:solidFill>
          <a:round/>
          <a:headEnd/>
          <a:tailEnd/>
        </a:ln>
      </xdr:spPr>
    </xdr:cxnSp>
    <xdr:clientData/>
  </xdr:twoCellAnchor>
  <xdr:twoCellAnchor>
    <xdr:from>
      <xdr:col>2</xdr:col>
      <xdr:colOff>746760</xdr:colOff>
      <xdr:row>11</xdr:row>
      <xdr:rowOff>152400</xdr:rowOff>
    </xdr:from>
    <xdr:to>
      <xdr:col>2</xdr:col>
      <xdr:colOff>746760</xdr:colOff>
      <xdr:row>12</xdr:row>
      <xdr:rowOff>144780</xdr:rowOff>
    </xdr:to>
    <xdr:cxnSp macro="">
      <xdr:nvCxnSpPr>
        <xdr:cNvPr id="25917" name="Straight Connector 29">
          <a:extLst>
            <a:ext uri="{FF2B5EF4-FFF2-40B4-BE49-F238E27FC236}">
              <a16:creationId xmlns:a16="http://schemas.microsoft.com/office/drawing/2014/main" id="{00000000-0008-0000-0100-00003D650000}"/>
            </a:ext>
          </a:extLst>
        </xdr:cNvPr>
        <xdr:cNvCxnSpPr>
          <a:cxnSpLocks noChangeShapeType="1"/>
        </xdr:cNvCxnSpPr>
      </xdr:nvCxnSpPr>
      <xdr:spPr bwMode="auto">
        <a:xfrm rot="5400000" flipH="1" flipV="1">
          <a:off x="1722120" y="2301240"/>
          <a:ext cx="182880" cy="0"/>
        </a:xfrm>
        <a:prstGeom prst="line">
          <a:avLst/>
        </a:prstGeom>
        <a:noFill/>
        <a:ln w="6350" algn="ctr">
          <a:solidFill>
            <a:srgbClr val="000000"/>
          </a:solidFill>
          <a:round/>
          <a:headEnd/>
          <a:tailEnd/>
        </a:ln>
      </xdr:spPr>
    </xdr:cxnSp>
    <xdr:clientData/>
  </xdr:twoCellAnchor>
  <xdr:twoCellAnchor>
    <xdr:from>
      <xdr:col>1</xdr:col>
      <xdr:colOff>403860</xdr:colOff>
      <xdr:row>11</xdr:row>
      <xdr:rowOff>158115</xdr:rowOff>
    </xdr:from>
    <xdr:to>
      <xdr:col>1</xdr:col>
      <xdr:colOff>506730</xdr:colOff>
      <xdr:row>11</xdr:row>
      <xdr:rowOff>158115</xdr:rowOff>
    </xdr:to>
    <xdr:cxnSp macro="">
      <xdr:nvCxnSpPr>
        <xdr:cNvPr id="24" name="Straight Connector 23">
          <a:extLst>
            <a:ext uri="{FF2B5EF4-FFF2-40B4-BE49-F238E27FC236}">
              <a16:creationId xmlns:a16="http://schemas.microsoft.com/office/drawing/2014/main" id="{00000000-0008-0000-0100-000018000000}"/>
            </a:ext>
          </a:extLst>
        </xdr:cNvPr>
        <xdr:cNvCxnSpPr/>
      </xdr:nvCxnSpPr>
      <xdr:spPr bwMode="auto">
        <a:xfrm>
          <a:off x="1013460" y="2169795"/>
          <a:ext cx="102870" cy="0"/>
        </a:xfrm>
        <a:prstGeom prst="line">
          <a:avLst/>
        </a:prstGeom>
        <a:ln w="6350">
          <a:headEnd type="non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502920</xdr:colOff>
      <xdr:row>11</xdr:row>
      <xdr:rowOff>160020</xdr:rowOff>
    </xdr:from>
    <xdr:to>
      <xdr:col>1</xdr:col>
      <xdr:colOff>502920</xdr:colOff>
      <xdr:row>12</xdr:row>
      <xdr:rowOff>68580</xdr:rowOff>
    </xdr:to>
    <xdr:cxnSp macro="">
      <xdr:nvCxnSpPr>
        <xdr:cNvPr id="25919" name="Straight Connector 75">
          <a:extLst>
            <a:ext uri="{FF2B5EF4-FFF2-40B4-BE49-F238E27FC236}">
              <a16:creationId xmlns:a16="http://schemas.microsoft.com/office/drawing/2014/main" id="{00000000-0008-0000-0100-00003F650000}"/>
            </a:ext>
          </a:extLst>
        </xdr:cNvPr>
        <xdr:cNvCxnSpPr>
          <a:cxnSpLocks noChangeShapeType="1"/>
        </xdr:cNvCxnSpPr>
      </xdr:nvCxnSpPr>
      <xdr:spPr bwMode="auto">
        <a:xfrm rot="5400000">
          <a:off x="575310" y="2266950"/>
          <a:ext cx="99060" cy="0"/>
        </a:xfrm>
        <a:prstGeom prst="line">
          <a:avLst/>
        </a:prstGeom>
        <a:noFill/>
        <a:ln w="6350" algn="ctr">
          <a:solidFill>
            <a:srgbClr val="000000"/>
          </a:solidFill>
          <a:round/>
          <a:headEnd/>
          <a:tailEnd/>
        </a:ln>
      </xdr:spPr>
    </xdr:cxnSp>
    <xdr:clientData/>
  </xdr:twoCellAnchor>
  <xdr:twoCellAnchor>
    <xdr:from>
      <xdr:col>1</xdr:col>
      <xdr:colOff>502920</xdr:colOff>
      <xdr:row>12</xdr:row>
      <xdr:rowOff>68580</xdr:rowOff>
    </xdr:from>
    <xdr:to>
      <xdr:col>1</xdr:col>
      <xdr:colOff>624840</xdr:colOff>
      <xdr:row>12</xdr:row>
      <xdr:rowOff>68580</xdr:rowOff>
    </xdr:to>
    <xdr:cxnSp macro="">
      <xdr:nvCxnSpPr>
        <xdr:cNvPr id="25920" name="Straight Connector 76">
          <a:extLst>
            <a:ext uri="{FF2B5EF4-FFF2-40B4-BE49-F238E27FC236}">
              <a16:creationId xmlns:a16="http://schemas.microsoft.com/office/drawing/2014/main" id="{00000000-0008-0000-0100-000040650000}"/>
            </a:ext>
          </a:extLst>
        </xdr:cNvPr>
        <xdr:cNvCxnSpPr>
          <a:cxnSpLocks noChangeShapeType="1"/>
        </xdr:cNvCxnSpPr>
      </xdr:nvCxnSpPr>
      <xdr:spPr bwMode="auto">
        <a:xfrm>
          <a:off x="624840" y="2316480"/>
          <a:ext cx="121920" cy="0"/>
        </a:xfrm>
        <a:prstGeom prst="line">
          <a:avLst/>
        </a:prstGeom>
        <a:noFill/>
        <a:ln w="6350" algn="ctr">
          <a:solidFill>
            <a:srgbClr val="000000"/>
          </a:solidFill>
          <a:round/>
          <a:headEnd/>
          <a:tailEnd/>
        </a:ln>
      </xdr:spPr>
    </xdr:cxnSp>
    <xdr:clientData/>
  </xdr:twoCellAnchor>
  <xdr:twoCellAnchor>
    <xdr:from>
      <xdr:col>1</xdr:col>
      <xdr:colOff>624840</xdr:colOff>
      <xdr:row>11</xdr:row>
      <xdr:rowOff>160020</xdr:rowOff>
    </xdr:from>
    <xdr:to>
      <xdr:col>1</xdr:col>
      <xdr:colOff>624840</xdr:colOff>
      <xdr:row>12</xdr:row>
      <xdr:rowOff>68580</xdr:rowOff>
    </xdr:to>
    <xdr:cxnSp macro="">
      <xdr:nvCxnSpPr>
        <xdr:cNvPr id="25921" name="Straight Connector 77">
          <a:extLst>
            <a:ext uri="{FF2B5EF4-FFF2-40B4-BE49-F238E27FC236}">
              <a16:creationId xmlns:a16="http://schemas.microsoft.com/office/drawing/2014/main" id="{00000000-0008-0000-0100-000041650000}"/>
            </a:ext>
          </a:extLst>
        </xdr:cNvPr>
        <xdr:cNvCxnSpPr>
          <a:cxnSpLocks noChangeShapeType="1"/>
        </xdr:cNvCxnSpPr>
      </xdr:nvCxnSpPr>
      <xdr:spPr bwMode="auto">
        <a:xfrm rot="5400000" flipH="1" flipV="1">
          <a:off x="697230" y="2266950"/>
          <a:ext cx="99060" cy="0"/>
        </a:xfrm>
        <a:prstGeom prst="line">
          <a:avLst/>
        </a:prstGeom>
        <a:noFill/>
        <a:ln w="6350" algn="ctr">
          <a:solidFill>
            <a:srgbClr val="000000"/>
          </a:solidFill>
          <a:round/>
          <a:headEnd/>
          <a:tailEnd/>
        </a:ln>
      </xdr:spPr>
    </xdr:cxnSp>
    <xdr:clientData/>
  </xdr:twoCellAnchor>
  <xdr:twoCellAnchor>
    <xdr:from>
      <xdr:col>1</xdr:col>
      <xdr:colOff>624840</xdr:colOff>
      <xdr:row>11</xdr:row>
      <xdr:rowOff>160020</xdr:rowOff>
    </xdr:from>
    <xdr:to>
      <xdr:col>1</xdr:col>
      <xdr:colOff>716280</xdr:colOff>
      <xdr:row>11</xdr:row>
      <xdr:rowOff>160020</xdr:rowOff>
    </xdr:to>
    <xdr:cxnSp macro="">
      <xdr:nvCxnSpPr>
        <xdr:cNvPr id="25922" name="Straight Connector 78">
          <a:extLst>
            <a:ext uri="{FF2B5EF4-FFF2-40B4-BE49-F238E27FC236}">
              <a16:creationId xmlns:a16="http://schemas.microsoft.com/office/drawing/2014/main" id="{00000000-0008-0000-0100-000042650000}"/>
            </a:ext>
          </a:extLst>
        </xdr:cNvPr>
        <xdr:cNvCxnSpPr>
          <a:cxnSpLocks noChangeShapeType="1"/>
        </xdr:cNvCxnSpPr>
      </xdr:nvCxnSpPr>
      <xdr:spPr bwMode="auto">
        <a:xfrm>
          <a:off x="746760" y="2217420"/>
          <a:ext cx="91440" cy="0"/>
        </a:xfrm>
        <a:prstGeom prst="line">
          <a:avLst/>
        </a:prstGeom>
        <a:noFill/>
        <a:ln w="6350" algn="ctr">
          <a:solidFill>
            <a:srgbClr val="000000"/>
          </a:solidFill>
          <a:round/>
          <a:headEnd/>
          <a:tailEnd/>
        </a:ln>
      </xdr:spPr>
    </xdr:cxnSp>
    <xdr:clientData/>
  </xdr:twoCellAnchor>
  <xdr:twoCellAnchor>
    <xdr:from>
      <xdr:col>1</xdr:col>
      <xdr:colOff>716280</xdr:colOff>
      <xdr:row>11</xdr:row>
      <xdr:rowOff>160020</xdr:rowOff>
    </xdr:from>
    <xdr:to>
      <xdr:col>1</xdr:col>
      <xdr:colOff>716280</xdr:colOff>
      <xdr:row>12</xdr:row>
      <xdr:rowOff>152400</xdr:rowOff>
    </xdr:to>
    <xdr:cxnSp macro="">
      <xdr:nvCxnSpPr>
        <xdr:cNvPr id="25923" name="Straight Connector 79">
          <a:extLst>
            <a:ext uri="{FF2B5EF4-FFF2-40B4-BE49-F238E27FC236}">
              <a16:creationId xmlns:a16="http://schemas.microsoft.com/office/drawing/2014/main" id="{00000000-0008-0000-0100-000043650000}"/>
            </a:ext>
          </a:extLst>
        </xdr:cNvPr>
        <xdr:cNvCxnSpPr>
          <a:cxnSpLocks noChangeShapeType="1"/>
        </xdr:cNvCxnSpPr>
      </xdr:nvCxnSpPr>
      <xdr:spPr bwMode="auto">
        <a:xfrm rot="5400000">
          <a:off x="746760" y="2308860"/>
          <a:ext cx="182880" cy="0"/>
        </a:xfrm>
        <a:prstGeom prst="line">
          <a:avLst/>
        </a:prstGeom>
        <a:noFill/>
        <a:ln w="6350" algn="ctr">
          <a:solidFill>
            <a:srgbClr val="000000"/>
          </a:solidFill>
          <a:round/>
          <a:headEnd/>
          <a:tailEnd/>
        </a:ln>
      </xdr:spPr>
    </xdr:cxnSp>
    <xdr:clientData/>
  </xdr:twoCellAnchor>
  <xdr:twoCellAnchor>
    <xdr:from>
      <xdr:col>1</xdr:col>
      <xdr:colOff>403860</xdr:colOff>
      <xdr:row>12</xdr:row>
      <xdr:rowOff>152400</xdr:rowOff>
    </xdr:from>
    <xdr:to>
      <xdr:col>1</xdr:col>
      <xdr:colOff>716280</xdr:colOff>
      <xdr:row>12</xdr:row>
      <xdr:rowOff>152400</xdr:rowOff>
    </xdr:to>
    <xdr:cxnSp macro="">
      <xdr:nvCxnSpPr>
        <xdr:cNvPr id="25924" name="Straight Connector 80">
          <a:extLst>
            <a:ext uri="{FF2B5EF4-FFF2-40B4-BE49-F238E27FC236}">
              <a16:creationId xmlns:a16="http://schemas.microsoft.com/office/drawing/2014/main" id="{00000000-0008-0000-0100-000044650000}"/>
            </a:ext>
          </a:extLst>
        </xdr:cNvPr>
        <xdr:cNvCxnSpPr>
          <a:cxnSpLocks noChangeShapeType="1"/>
        </xdr:cNvCxnSpPr>
      </xdr:nvCxnSpPr>
      <xdr:spPr bwMode="auto">
        <a:xfrm rot="10800000">
          <a:off x="525780" y="2400300"/>
          <a:ext cx="312420" cy="0"/>
        </a:xfrm>
        <a:prstGeom prst="line">
          <a:avLst/>
        </a:prstGeom>
        <a:noFill/>
        <a:ln w="6350" algn="ctr">
          <a:solidFill>
            <a:srgbClr val="000000"/>
          </a:solidFill>
          <a:round/>
          <a:headEnd/>
          <a:tailEnd/>
        </a:ln>
      </xdr:spPr>
    </xdr:cxnSp>
    <xdr:clientData/>
  </xdr:twoCellAnchor>
  <xdr:twoCellAnchor>
    <xdr:from>
      <xdr:col>1</xdr:col>
      <xdr:colOff>403860</xdr:colOff>
      <xdr:row>11</xdr:row>
      <xdr:rowOff>160020</xdr:rowOff>
    </xdr:from>
    <xdr:to>
      <xdr:col>1</xdr:col>
      <xdr:colOff>403860</xdr:colOff>
      <xdr:row>12</xdr:row>
      <xdr:rowOff>152400</xdr:rowOff>
    </xdr:to>
    <xdr:cxnSp macro="">
      <xdr:nvCxnSpPr>
        <xdr:cNvPr id="25925" name="Straight Connector 81">
          <a:extLst>
            <a:ext uri="{FF2B5EF4-FFF2-40B4-BE49-F238E27FC236}">
              <a16:creationId xmlns:a16="http://schemas.microsoft.com/office/drawing/2014/main" id="{00000000-0008-0000-0100-000045650000}"/>
            </a:ext>
          </a:extLst>
        </xdr:cNvPr>
        <xdr:cNvCxnSpPr>
          <a:cxnSpLocks noChangeShapeType="1"/>
        </xdr:cNvCxnSpPr>
      </xdr:nvCxnSpPr>
      <xdr:spPr bwMode="auto">
        <a:xfrm rot="5400000" flipH="1" flipV="1">
          <a:off x="434340" y="2308860"/>
          <a:ext cx="182880" cy="0"/>
        </a:xfrm>
        <a:prstGeom prst="line">
          <a:avLst/>
        </a:prstGeom>
        <a:noFill/>
        <a:ln w="6350" algn="ctr">
          <a:solidFill>
            <a:srgbClr val="000000"/>
          </a:solidFill>
          <a:round/>
          <a:headEnd/>
          <a:tailEnd/>
        </a:ln>
      </xdr:spPr>
    </xdr:cxnSp>
    <xdr:clientData/>
  </xdr:twoCellAnchor>
  <xdr:twoCellAnchor>
    <xdr:from>
      <xdr:col>2</xdr:col>
      <xdr:colOff>38100</xdr:colOff>
      <xdr:row>12</xdr:row>
      <xdr:rowOff>60960</xdr:rowOff>
    </xdr:from>
    <xdr:to>
      <xdr:col>2</xdr:col>
      <xdr:colOff>99060</xdr:colOff>
      <xdr:row>12</xdr:row>
      <xdr:rowOff>160020</xdr:rowOff>
    </xdr:to>
    <xdr:cxnSp macro="">
      <xdr:nvCxnSpPr>
        <xdr:cNvPr id="25926" name="Straight Connector 90">
          <a:extLst>
            <a:ext uri="{FF2B5EF4-FFF2-40B4-BE49-F238E27FC236}">
              <a16:creationId xmlns:a16="http://schemas.microsoft.com/office/drawing/2014/main" id="{00000000-0008-0000-0100-000046650000}"/>
            </a:ext>
          </a:extLst>
        </xdr:cNvPr>
        <xdr:cNvCxnSpPr>
          <a:cxnSpLocks noChangeShapeType="1"/>
        </xdr:cNvCxnSpPr>
      </xdr:nvCxnSpPr>
      <xdr:spPr bwMode="auto">
        <a:xfrm rot="5400000">
          <a:off x="1085850" y="2327910"/>
          <a:ext cx="99060" cy="60960"/>
        </a:xfrm>
        <a:prstGeom prst="line">
          <a:avLst/>
        </a:prstGeom>
        <a:noFill/>
        <a:ln w="3175" algn="ctr">
          <a:solidFill>
            <a:srgbClr val="000000"/>
          </a:solidFill>
          <a:round/>
          <a:headEnd/>
          <a:tailEnd/>
        </a:ln>
      </xdr:spPr>
    </xdr:cxnSp>
    <xdr:clientData/>
  </xdr:twoCellAnchor>
  <xdr:twoCellAnchor>
    <xdr:from>
      <xdr:col>2</xdr:col>
      <xdr:colOff>68580</xdr:colOff>
      <xdr:row>12</xdr:row>
      <xdr:rowOff>60960</xdr:rowOff>
    </xdr:from>
    <xdr:to>
      <xdr:col>2</xdr:col>
      <xdr:colOff>121920</xdr:colOff>
      <xdr:row>12</xdr:row>
      <xdr:rowOff>152400</xdr:rowOff>
    </xdr:to>
    <xdr:cxnSp macro="">
      <xdr:nvCxnSpPr>
        <xdr:cNvPr id="25927" name="Straight Connector 92">
          <a:extLst>
            <a:ext uri="{FF2B5EF4-FFF2-40B4-BE49-F238E27FC236}">
              <a16:creationId xmlns:a16="http://schemas.microsoft.com/office/drawing/2014/main" id="{00000000-0008-0000-0100-000047650000}"/>
            </a:ext>
          </a:extLst>
        </xdr:cNvPr>
        <xdr:cNvCxnSpPr>
          <a:cxnSpLocks noChangeShapeType="1"/>
        </xdr:cNvCxnSpPr>
      </xdr:nvCxnSpPr>
      <xdr:spPr bwMode="auto">
        <a:xfrm rot="5400000">
          <a:off x="1116330" y="2327910"/>
          <a:ext cx="91440" cy="53340"/>
        </a:xfrm>
        <a:prstGeom prst="line">
          <a:avLst/>
        </a:prstGeom>
        <a:noFill/>
        <a:ln w="3175" algn="ctr">
          <a:solidFill>
            <a:srgbClr val="000000"/>
          </a:solidFill>
          <a:round/>
          <a:headEnd/>
          <a:tailEnd/>
        </a:ln>
      </xdr:spPr>
    </xdr:cxnSp>
    <xdr:clientData/>
  </xdr:twoCellAnchor>
  <xdr:twoCellAnchor>
    <xdr:from>
      <xdr:col>2</xdr:col>
      <xdr:colOff>91440</xdr:colOff>
      <xdr:row>12</xdr:row>
      <xdr:rowOff>68580</xdr:rowOff>
    </xdr:from>
    <xdr:to>
      <xdr:col>2</xdr:col>
      <xdr:colOff>144780</xdr:colOff>
      <xdr:row>12</xdr:row>
      <xdr:rowOff>160020</xdr:rowOff>
    </xdr:to>
    <xdr:cxnSp macro="">
      <xdr:nvCxnSpPr>
        <xdr:cNvPr id="25928" name="Straight Connector 93">
          <a:extLst>
            <a:ext uri="{FF2B5EF4-FFF2-40B4-BE49-F238E27FC236}">
              <a16:creationId xmlns:a16="http://schemas.microsoft.com/office/drawing/2014/main" id="{00000000-0008-0000-0100-000048650000}"/>
            </a:ext>
          </a:extLst>
        </xdr:cNvPr>
        <xdr:cNvCxnSpPr>
          <a:cxnSpLocks noChangeShapeType="1"/>
        </xdr:cNvCxnSpPr>
      </xdr:nvCxnSpPr>
      <xdr:spPr bwMode="auto">
        <a:xfrm rot="5400000">
          <a:off x="1139190" y="2335530"/>
          <a:ext cx="91440" cy="53340"/>
        </a:xfrm>
        <a:prstGeom prst="line">
          <a:avLst/>
        </a:prstGeom>
        <a:noFill/>
        <a:ln w="3175" algn="ctr">
          <a:solidFill>
            <a:srgbClr val="000000"/>
          </a:solidFill>
          <a:round/>
          <a:headEnd/>
          <a:tailEnd/>
        </a:ln>
      </xdr:spPr>
    </xdr:cxnSp>
    <xdr:clientData/>
  </xdr:twoCellAnchor>
  <xdr:twoCellAnchor>
    <xdr:from>
      <xdr:col>2</xdr:col>
      <xdr:colOff>114300</xdr:colOff>
      <xdr:row>12</xdr:row>
      <xdr:rowOff>68580</xdr:rowOff>
    </xdr:from>
    <xdr:to>
      <xdr:col>2</xdr:col>
      <xdr:colOff>175260</xdr:colOff>
      <xdr:row>12</xdr:row>
      <xdr:rowOff>160020</xdr:rowOff>
    </xdr:to>
    <xdr:cxnSp macro="">
      <xdr:nvCxnSpPr>
        <xdr:cNvPr id="25929" name="Straight Connector 94">
          <a:extLst>
            <a:ext uri="{FF2B5EF4-FFF2-40B4-BE49-F238E27FC236}">
              <a16:creationId xmlns:a16="http://schemas.microsoft.com/office/drawing/2014/main" id="{00000000-0008-0000-0100-000049650000}"/>
            </a:ext>
          </a:extLst>
        </xdr:cNvPr>
        <xdr:cNvCxnSpPr>
          <a:cxnSpLocks noChangeShapeType="1"/>
        </xdr:cNvCxnSpPr>
      </xdr:nvCxnSpPr>
      <xdr:spPr bwMode="auto">
        <a:xfrm rot="5400000">
          <a:off x="1165860" y="2331720"/>
          <a:ext cx="91440" cy="60960"/>
        </a:xfrm>
        <a:prstGeom prst="line">
          <a:avLst/>
        </a:prstGeom>
        <a:noFill/>
        <a:ln w="3175" algn="ctr">
          <a:solidFill>
            <a:srgbClr val="000000"/>
          </a:solidFill>
          <a:round/>
          <a:headEnd/>
          <a:tailEnd/>
        </a:ln>
      </xdr:spPr>
    </xdr:cxnSp>
    <xdr:clientData/>
  </xdr:twoCellAnchor>
  <xdr:twoCellAnchor>
    <xdr:from>
      <xdr:col>2</xdr:col>
      <xdr:colOff>236220</xdr:colOff>
      <xdr:row>12</xdr:row>
      <xdr:rowOff>60960</xdr:rowOff>
    </xdr:from>
    <xdr:to>
      <xdr:col>2</xdr:col>
      <xdr:colOff>289560</xdr:colOff>
      <xdr:row>12</xdr:row>
      <xdr:rowOff>160020</xdr:rowOff>
    </xdr:to>
    <xdr:cxnSp macro="">
      <xdr:nvCxnSpPr>
        <xdr:cNvPr id="25930" name="Straight Connector 99">
          <a:extLst>
            <a:ext uri="{FF2B5EF4-FFF2-40B4-BE49-F238E27FC236}">
              <a16:creationId xmlns:a16="http://schemas.microsoft.com/office/drawing/2014/main" id="{00000000-0008-0000-0100-00004A650000}"/>
            </a:ext>
          </a:extLst>
        </xdr:cNvPr>
        <xdr:cNvCxnSpPr>
          <a:cxnSpLocks noChangeShapeType="1"/>
        </xdr:cNvCxnSpPr>
      </xdr:nvCxnSpPr>
      <xdr:spPr bwMode="auto">
        <a:xfrm rot="5400000">
          <a:off x="1280160" y="2331720"/>
          <a:ext cx="99060" cy="53340"/>
        </a:xfrm>
        <a:prstGeom prst="line">
          <a:avLst/>
        </a:prstGeom>
        <a:noFill/>
        <a:ln w="3175" algn="ctr">
          <a:solidFill>
            <a:srgbClr val="000000"/>
          </a:solidFill>
          <a:round/>
          <a:headEnd/>
          <a:tailEnd/>
        </a:ln>
      </xdr:spPr>
    </xdr:cxnSp>
    <xdr:clientData/>
  </xdr:twoCellAnchor>
  <xdr:twoCellAnchor>
    <xdr:from>
      <xdr:col>2</xdr:col>
      <xdr:colOff>266700</xdr:colOff>
      <xdr:row>12</xdr:row>
      <xdr:rowOff>60960</xdr:rowOff>
    </xdr:from>
    <xdr:to>
      <xdr:col>2</xdr:col>
      <xdr:colOff>320040</xdr:colOff>
      <xdr:row>12</xdr:row>
      <xdr:rowOff>152400</xdr:rowOff>
    </xdr:to>
    <xdr:cxnSp macro="">
      <xdr:nvCxnSpPr>
        <xdr:cNvPr id="25931" name="Straight Connector 100">
          <a:extLst>
            <a:ext uri="{FF2B5EF4-FFF2-40B4-BE49-F238E27FC236}">
              <a16:creationId xmlns:a16="http://schemas.microsoft.com/office/drawing/2014/main" id="{00000000-0008-0000-0100-00004B650000}"/>
            </a:ext>
          </a:extLst>
        </xdr:cNvPr>
        <xdr:cNvCxnSpPr>
          <a:cxnSpLocks noChangeShapeType="1"/>
        </xdr:cNvCxnSpPr>
      </xdr:nvCxnSpPr>
      <xdr:spPr bwMode="auto">
        <a:xfrm rot="5400000">
          <a:off x="1314450" y="2327910"/>
          <a:ext cx="91440" cy="53340"/>
        </a:xfrm>
        <a:prstGeom prst="line">
          <a:avLst/>
        </a:prstGeom>
        <a:noFill/>
        <a:ln w="3175" algn="ctr">
          <a:solidFill>
            <a:srgbClr val="000000"/>
          </a:solidFill>
          <a:round/>
          <a:headEnd/>
          <a:tailEnd/>
        </a:ln>
      </xdr:spPr>
    </xdr:cxnSp>
    <xdr:clientData/>
  </xdr:twoCellAnchor>
  <xdr:twoCellAnchor>
    <xdr:from>
      <xdr:col>2</xdr:col>
      <xdr:colOff>289560</xdr:colOff>
      <xdr:row>12</xdr:row>
      <xdr:rowOff>68580</xdr:rowOff>
    </xdr:from>
    <xdr:to>
      <xdr:col>2</xdr:col>
      <xdr:colOff>350520</xdr:colOff>
      <xdr:row>12</xdr:row>
      <xdr:rowOff>160020</xdr:rowOff>
    </xdr:to>
    <xdr:cxnSp macro="">
      <xdr:nvCxnSpPr>
        <xdr:cNvPr id="25932" name="Straight Connector 101">
          <a:extLst>
            <a:ext uri="{FF2B5EF4-FFF2-40B4-BE49-F238E27FC236}">
              <a16:creationId xmlns:a16="http://schemas.microsoft.com/office/drawing/2014/main" id="{00000000-0008-0000-0100-00004C650000}"/>
            </a:ext>
          </a:extLst>
        </xdr:cNvPr>
        <xdr:cNvCxnSpPr>
          <a:cxnSpLocks noChangeShapeType="1"/>
        </xdr:cNvCxnSpPr>
      </xdr:nvCxnSpPr>
      <xdr:spPr bwMode="auto">
        <a:xfrm rot="5400000">
          <a:off x="1341120" y="2331720"/>
          <a:ext cx="91440" cy="60960"/>
        </a:xfrm>
        <a:prstGeom prst="line">
          <a:avLst/>
        </a:prstGeom>
        <a:noFill/>
        <a:ln w="3175" algn="ctr">
          <a:solidFill>
            <a:srgbClr val="000000"/>
          </a:solidFill>
          <a:round/>
          <a:headEnd/>
          <a:tailEnd/>
        </a:ln>
      </xdr:spPr>
    </xdr:cxnSp>
    <xdr:clientData/>
  </xdr:twoCellAnchor>
  <xdr:twoCellAnchor>
    <xdr:from>
      <xdr:col>2</xdr:col>
      <xdr:colOff>320040</xdr:colOff>
      <xdr:row>12</xdr:row>
      <xdr:rowOff>68580</xdr:rowOff>
    </xdr:from>
    <xdr:to>
      <xdr:col>2</xdr:col>
      <xdr:colOff>373380</xdr:colOff>
      <xdr:row>12</xdr:row>
      <xdr:rowOff>160020</xdr:rowOff>
    </xdr:to>
    <xdr:cxnSp macro="">
      <xdr:nvCxnSpPr>
        <xdr:cNvPr id="25933" name="Straight Connector 102">
          <a:extLst>
            <a:ext uri="{FF2B5EF4-FFF2-40B4-BE49-F238E27FC236}">
              <a16:creationId xmlns:a16="http://schemas.microsoft.com/office/drawing/2014/main" id="{00000000-0008-0000-0100-00004D650000}"/>
            </a:ext>
          </a:extLst>
        </xdr:cNvPr>
        <xdr:cNvCxnSpPr>
          <a:cxnSpLocks noChangeShapeType="1"/>
        </xdr:cNvCxnSpPr>
      </xdr:nvCxnSpPr>
      <xdr:spPr bwMode="auto">
        <a:xfrm rot="5400000">
          <a:off x="1367790" y="2335530"/>
          <a:ext cx="91440" cy="53340"/>
        </a:xfrm>
        <a:prstGeom prst="line">
          <a:avLst/>
        </a:prstGeom>
        <a:noFill/>
        <a:ln w="3175" algn="ctr">
          <a:solidFill>
            <a:srgbClr val="000000"/>
          </a:solidFill>
          <a:round/>
          <a:headEnd/>
          <a:tailEnd/>
        </a:ln>
      </xdr:spPr>
    </xdr:cxnSp>
    <xdr:clientData/>
  </xdr:twoCellAnchor>
  <xdr:twoCellAnchor>
    <xdr:from>
      <xdr:col>2</xdr:col>
      <xdr:colOff>175260</xdr:colOff>
      <xdr:row>12</xdr:row>
      <xdr:rowOff>83820</xdr:rowOff>
    </xdr:from>
    <xdr:to>
      <xdr:col>2</xdr:col>
      <xdr:colOff>266700</xdr:colOff>
      <xdr:row>12</xdr:row>
      <xdr:rowOff>83820</xdr:rowOff>
    </xdr:to>
    <xdr:cxnSp macro="">
      <xdr:nvCxnSpPr>
        <xdr:cNvPr id="25934" name="Straight Connector 104">
          <a:extLst>
            <a:ext uri="{FF2B5EF4-FFF2-40B4-BE49-F238E27FC236}">
              <a16:creationId xmlns:a16="http://schemas.microsoft.com/office/drawing/2014/main" id="{00000000-0008-0000-0100-00004E650000}"/>
            </a:ext>
          </a:extLst>
        </xdr:cNvPr>
        <xdr:cNvCxnSpPr>
          <a:cxnSpLocks noChangeShapeType="1"/>
        </xdr:cNvCxnSpPr>
      </xdr:nvCxnSpPr>
      <xdr:spPr bwMode="auto">
        <a:xfrm>
          <a:off x="1242060" y="2331720"/>
          <a:ext cx="91440" cy="0"/>
        </a:xfrm>
        <a:prstGeom prst="line">
          <a:avLst/>
        </a:prstGeom>
        <a:noFill/>
        <a:ln w="3175" algn="ctr">
          <a:solidFill>
            <a:srgbClr val="000000"/>
          </a:solidFill>
          <a:round/>
          <a:headEnd/>
          <a:tailEnd/>
        </a:ln>
      </xdr:spPr>
    </xdr:cxnSp>
    <xdr:clientData/>
  </xdr:twoCellAnchor>
  <xdr:twoCellAnchor>
    <xdr:from>
      <xdr:col>2</xdr:col>
      <xdr:colOff>160020</xdr:colOff>
      <xdr:row>12</xdr:row>
      <xdr:rowOff>106680</xdr:rowOff>
    </xdr:from>
    <xdr:to>
      <xdr:col>2</xdr:col>
      <xdr:colOff>251460</xdr:colOff>
      <xdr:row>12</xdr:row>
      <xdr:rowOff>106680</xdr:rowOff>
    </xdr:to>
    <xdr:cxnSp macro="">
      <xdr:nvCxnSpPr>
        <xdr:cNvPr id="25935" name="Straight Connector 107">
          <a:extLst>
            <a:ext uri="{FF2B5EF4-FFF2-40B4-BE49-F238E27FC236}">
              <a16:creationId xmlns:a16="http://schemas.microsoft.com/office/drawing/2014/main" id="{00000000-0008-0000-0100-00004F650000}"/>
            </a:ext>
          </a:extLst>
        </xdr:cNvPr>
        <xdr:cNvCxnSpPr>
          <a:cxnSpLocks noChangeShapeType="1"/>
        </xdr:cNvCxnSpPr>
      </xdr:nvCxnSpPr>
      <xdr:spPr bwMode="auto">
        <a:xfrm>
          <a:off x="1226820" y="2354580"/>
          <a:ext cx="91440" cy="0"/>
        </a:xfrm>
        <a:prstGeom prst="line">
          <a:avLst/>
        </a:prstGeom>
        <a:noFill/>
        <a:ln w="3175" algn="ctr">
          <a:solidFill>
            <a:srgbClr val="000000"/>
          </a:solidFill>
          <a:round/>
          <a:headEnd/>
          <a:tailEnd/>
        </a:ln>
      </xdr:spPr>
    </xdr:cxnSp>
    <xdr:clientData/>
  </xdr:twoCellAnchor>
  <xdr:twoCellAnchor>
    <xdr:from>
      <xdr:col>2</xdr:col>
      <xdr:colOff>137160</xdr:colOff>
      <xdr:row>12</xdr:row>
      <xdr:rowOff>160020</xdr:rowOff>
    </xdr:from>
    <xdr:to>
      <xdr:col>2</xdr:col>
      <xdr:colOff>228600</xdr:colOff>
      <xdr:row>12</xdr:row>
      <xdr:rowOff>160020</xdr:rowOff>
    </xdr:to>
    <xdr:cxnSp macro="">
      <xdr:nvCxnSpPr>
        <xdr:cNvPr id="25936" name="Straight Connector 111">
          <a:extLst>
            <a:ext uri="{FF2B5EF4-FFF2-40B4-BE49-F238E27FC236}">
              <a16:creationId xmlns:a16="http://schemas.microsoft.com/office/drawing/2014/main" id="{00000000-0008-0000-0100-000050650000}"/>
            </a:ext>
          </a:extLst>
        </xdr:cNvPr>
        <xdr:cNvCxnSpPr>
          <a:cxnSpLocks noChangeShapeType="1"/>
        </xdr:cNvCxnSpPr>
      </xdr:nvCxnSpPr>
      <xdr:spPr bwMode="auto">
        <a:xfrm>
          <a:off x="1203960" y="2407920"/>
          <a:ext cx="91440" cy="0"/>
        </a:xfrm>
        <a:prstGeom prst="line">
          <a:avLst/>
        </a:prstGeom>
        <a:noFill/>
        <a:ln w="3175" algn="ctr">
          <a:solidFill>
            <a:srgbClr val="000000"/>
          </a:solidFill>
          <a:round/>
          <a:headEnd/>
          <a:tailEnd/>
        </a:ln>
      </xdr:spPr>
    </xdr:cxnSp>
    <xdr:clientData/>
  </xdr:twoCellAnchor>
  <xdr:twoCellAnchor>
    <xdr:from>
      <xdr:col>2</xdr:col>
      <xdr:colOff>144780</xdr:colOff>
      <xdr:row>12</xdr:row>
      <xdr:rowOff>137160</xdr:rowOff>
    </xdr:from>
    <xdr:to>
      <xdr:col>2</xdr:col>
      <xdr:colOff>243840</xdr:colOff>
      <xdr:row>12</xdr:row>
      <xdr:rowOff>137160</xdr:rowOff>
    </xdr:to>
    <xdr:cxnSp macro="">
      <xdr:nvCxnSpPr>
        <xdr:cNvPr id="25937" name="Straight Connector 113">
          <a:extLst>
            <a:ext uri="{FF2B5EF4-FFF2-40B4-BE49-F238E27FC236}">
              <a16:creationId xmlns:a16="http://schemas.microsoft.com/office/drawing/2014/main" id="{00000000-0008-0000-0100-000051650000}"/>
            </a:ext>
          </a:extLst>
        </xdr:cNvPr>
        <xdr:cNvCxnSpPr>
          <a:cxnSpLocks noChangeShapeType="1"/>
        </xdr:cNvCxnSpPr>
      </xdr:nvCxnSpPr>
      <xdr:spPr bwMode="auto">
        <a:xfrm>
          <a:off x="1211580" y="2385060"/>
          <a:ext cx="99060" cy="0"/>
        </a:xfrm>
        <a:prstGeom prst="line">
          <a:avLst/>
        </a:prstGeom>
        <a:noFill/>
        <a:ln w="3175" algn="ctr">
          <a:solidFill>
            <a:srgbClr val="000000"/>
          </a:solidFill>
          <a:round/>
          <a:headEnd/>
          <a:tailEnd/>
        </a:ln>
      </xdr:spPr>
    </xdr:cxnSp>
    <xdr:clientData/>
  </xdr:twoCellAnchor>
  <xdr:twoCellAnchor>
    <xdr:from>
      <xdr:col>1</xdr:col>
      <xdr:colOff>563880</xdr:colOff>
      <xdr:row>8</xdr:row>
      <xdr:rowOff>45720</xdr:rowOff>
    </xdr:from>
    <xdr:to>
      <xdr:col>2</xdr:col>
      <xdr:colOff>906780</xdr:colOff>
      <xdr:row>8</xdr:row>
      <xdr:rowOff>45720</xdr:rowOff>
    </xdr:to>
    <xdr:cxnSp macro="">
      <xdr:nvCxnSpPr>
        <xdr:cNvPr id="25938" name="Straight Arrow Connector 115">
          <a:extLst>
            <a:ext uri="{FF2B5EF4-FFF2-40B4-BE49-F238E27FC236}">
              <a16:creationId xmlns:a16="http://schemas.microsoft.com/office/drawing/2014/main" id="{00000000-0008-0000-0100-000052650000}"/>
            </a:ext>
          </a:extLst>
        </xdr:cNvPr>
        <xdr:cNvCxnSpPr>
          <a:cxnSpLocks noChangeShapeType="1"/>
        </xdr:cNvCxnSpPr>
      </xdr:nvCxnSpPr>
      <xdr:spPr bwMode="auto">
        <a:xfrm>
          <a:off x="685800" y="1531620"/>
          <a:ext cx="1287780" cy="0"/>
        </a:xfrm>
        <a:prstGeom prst="straightConnector1">
          <a:avLst/>
        </a:prstGeom>
        <a:noFill/>
        <a:ln w="3175" algn="ctr">
          <a:solidFill>
            <a:srgbClr val="000000"/>
          </a:solidFill>
          <a:round/>
          <a:headEnd type="stealth" w="sm" len="sm"/>
          <a:tailEnd type="stealth" w="sm" len="sm"/>
        </a:ln>
      </xdr:spPr>
    </xdr:cxnSp>
    <xdr:clientData/>
  </xdr:twoCellAnchor>
  <xdr:twoCellAnchor>
    <xdr:from>
      <xdr:col>1</xdr:col>
      <xdr:colOff>274320</xdr:colOff>
      <xdr:row>8</xdr:row>
      <xdr:rowOff>182880</xdr:rowOff>
    </xdr:from>
    <xdr:to>
      <xdr:col>1</xdr:col>
      <xdr:colOff>274320</xdr:colOff>
      <xdr:row>12</xdr:row>
      <xdr:rowOff>68580</xdr:rowOff>
    </xdr:to>
    <xdr:cxnSp macro="">
      <xdr:nvCxnSpPr>
        <xdr:cNvPr id="25939" name="Straight Arrow Connector 117">
          <a:extLst>
            <a:ext uri="{FF2B5EF4-FFF2-40B4-BE49-F238E27FC236}">
              <a16:creationId xmlns:a16="http://schemas.microsoft.com/office/drawing/2014/main" id="{00000000-0008-0000-0100-000053650000}"/>
            </a:ext>
          </a:extLst>
        </xdr:cNvPr>
        <xdr:cNvCxnSpPr>
          <a:cxnSpLocks noChangeShapeType="1"/>
        </xdr:cNvCxnSpPr>
      </xdr:nvCxnSpPr>
      <xdr:spPr bwMode="auto">
        <a:xfrm rot="5400000" flipH="1" flipV="1">
          <a:off x="72390" y="1992630"/>
          <a:ext cx="647700" cy="0"/>
        </a:xfrm>
        <a:prstGeom prst="straightConnector1">
          <a:avLst/>
        </a:prstGeom>
        <a:noFill/>
        <a:ln w="3175" algn="ctr">
          <a:solidFill>
            <a:srgbClr val="000000"/>
          </a:solidFill>
          <a:round/>
          <a:headEnd type="stealth" w="sm" len="sm"/>
          <a:tailEnd type="stealth" w="sm" len="sm"/>
        </a:ln>
      </xdr:spPr>
    </xdr:cxnSp>
    <xdr:clientData/>
  </xdr:twoCellAnchor>
  <xdr:twoCellAnchor>
    <xdr:from>
      <xdr:col>1</xdr:col>
      <xdr:colOff>198120</xdr:colOff>
      <xdr:row>12</xdr:row>
      <xdr:rowOff>68580</xdr:rowOff>
    </xdr:from>
    <xdr:to>
      <xdr:col>1</xdr:col>
      <xdr:colOff>441960</xdr:colOff>
      <xdr:row>12</xdr:row>
      <xdr:rowOff>68580</xdr:rowOff>
    </xdr:to>
    <xdr:cxnSp macro="">
      <xdr:nvCxnSpPr>
        <xdr:cNvPr id="25940" name="Straight Connector 119">
          <a:extLst>
            <a:ext uri="{FF2B5EF4-FFF2-40B4-BE49-F238E27FC236}">
              <a16:creationId xmlns:a16="http://schemas.microsoft.com/office/drawing/2014/main" id="{00000000-0008-0000-0100-000054650000}"/>
            </a:ext>
          </a:extLst>
        </xdr:cNvPr>
        <xdr:cNvCxnSpPr>
          <a:cxnSpLocks noChangeShapeType="1"/>
        </xdr:cNvCxnSpPr>
      </xdr:nvCxnSpPr>
      <xdr:spPr bwMode="auto">
        <a:xfrm rot="10800000">
          <a:off x="320040" y="2316480"/>
          <a:ext cx="243840" cy="0"/>
        </a:xfrm>
        <a:prstGeom prst="line">
          <a:avLst/>
        </a:prstGeom>
        <a:noFill/>
        <a:ln w="6350" algn="ctr">
          <a:solidFill>
            <a:srgbClr val="000000"/>
          </a:solidFill>
          <a:round/>
          <a:headEnd/>
          <a:tailEnd/>
        </a:ln>
      </xdr:spPr>
    </xdr:cxnSp>
    <xdr:clientData/>
  </xdr:twoCellAnchor>
  <xdr:twoCellAnchor>
    <xdr:from>
      <xdr:col>1</xdr:col>
      <xdr:colOff>175260</xdr:colOff>
      <xdr:row>8</xdr:row>
      <xdr:rowOff>182880</xdr:rowOff>
    </xdr:from>
    <xdr:to>
      <xdr:col>2</xdr:col>
      <xdr:colOff>144780</xdr:colOff>
      <xdr:row>8</xdr:row>
      <xdr:rowOff>182880</xdr:rowOff>
    </xdr:to>
    <xdr:cxnSp macro="">
      <xdr:nvCxnSpPr>
        <xdr:cNvPr id="25941" name="Straight Connector 121">
          <a:extLst>
            <a:ext uri="{FF2B5EF4-FFF2-40B4-BE49-F238E27FC236}">
              <a16:creationId xmlns:a16="http://schemas.microsoft.com/office/drawing/2014/main" id="{00000000-0008-0000-0100-000055650000}"/>
            </a:ext>
          </a:extLst>
        </xdr:cNvPr>
        <xdr:cNvCxnSpPr>
          <a:cxnSpLocks noChangeShapeType="1"/>
        </xdr:cNvCxnSpPr>
      </xdr:nvCxnSpPr>
      <xdr:spPr bwMode="auto">
        <a:xfrm rot="10800000">
          <a:off x="297180" y="1668780"/>
          <a:ext cx="914400" cy="0"/>
        </a:xfrm>
        <a:prstGeom prst="line">
          <a:avLst/>
        </a:prstGeom>
        <a:noFill/>
        <a:ln w="6350" algn="ctr">
          <a:solidFill>
            <a:srgbClr val="000000"/>
          </a:solidFill>
          <a:round/>
          <a:headEnd/>
          <a:tailEnd/>
        </a:ln>
      </xdr:spPr>
    </xdr:cxnSp>
    <xdr:clientData/>
  </xdr:twoCellAnchor>
  <xdr:twoCellAnchor>
    <xdr:from>
      <xdr:col>1</xdr:col>
      <xdr:colOff>571500</xdr:colOff>
      <xdr:row>7</xdr:row>
      <xdr:rowOff>236220</xdr:rowOff>
    </xdr:from>
    <xdr:to>
      <xdr:col>1</xdr:col>
      <xdr:colOff>571500</xdr:colOff>
      <xdr:row>11</xdr:row>
      <xdr:rowOff>45720</xdr:rowOff>
    </xdr:to>
    <xdr:cxnSp macro="">
      <xdr:nvCxnSpPr>
        <xdr:cNvPr id="25942" name="Straight Connector 124">
          <a:extLst>
            <a:ext uri="{FF2B5EF4-FFF2-40B4-BE49-F238E27FC236}">
              <a16:creationId xmlns:a16="http://schemas.microsoft.com/office/drawing/2014/main" id="{00000000-0008-0000-0100-000056650000}"/>
            </a:ext>
          </a:extLst>
        </xdr:cNvPr>
        <xdr:cNvCxnSpPr>
          <a:cxnSpLocks noChangeShapeType="1"/>
        </xdr:cNvCxnSpPr>
      </xdr:nvCxnSpPr>
      <xdr:spPr bwMode="auto">
        <a:xfrm rot="5400000" flipH="1" flipV="1">
          <a:off x="384810" y="1794510"/>
          <a:ext cx="617220" cy="0"/>
        </a:xfrm>
        <a:prstGeom prst="line">
          <a:avLst/>
        </a:prstGeom>
        <a:noFill/>
        <a:ln w="6350" algn="ctr">
          <a:solidFill>
            <a:srgbClr val="000000"/>
          </a:solidFill>
          <a:round/>
          <a:headEnd/>
          <a:tailEnd/>
        </a:ln>
      </xdr:spPr>
    </xdr:cxnSp>
    <xdr:clientData/>
  </xdr:twoCellAnchor>
  <xdr:twoCellAnchor>
    <xdr:from>
      <xdr:col>2</xdr:col>
      <xdr:colOff>914400</xdr:colOff>
      <xdr:row>7</xdr:row>
      <xdr:rowOff>228600</xdr:rowOff>
    </xdr:from>
    <xdr:to>
      <xdr:col>2</xdr:col>
      <xdr:colOff>914400</xdr:colOff>
      <xdr:row>11</xdr:row>
      <xdr:rowOff>68580</xdr:rowOff>
    </xdr:to>
    <xdr:cxnSp macro="">
      <xdr:nvCxnSpPr>
        <xdr:cNvPr id="25943" name="Straight Connector 126">
          <a:extLst>
            <a:ext uri="{FF2B5EF4-FFF2-40B4-BE49-F238E27FC236}">
              <a16:creationId xmlns:a16="http://schemas.microsoft.com/office/drawing/2014/main" id="{00000000-0008-0000-0100-000057650000}"/>
            </a:ext>
          </a:extLst>
        </xdr:cNvPr>
        <xdr:cNvCxnSpPr>
          <a:cxnSpLocks noChangeShapeType="1"/>
        </xdr:cNvCxnSpPr>
      </xdr:nvCxnSpPr>
      <xdr:spPr bwMode="auto">
        <a:xfrm rot="5400000" flipH="1" flipV="1">
          <a:off x="1657350" y="1802130"/>
          <a:ext cx="647700" cy="0"/>
        </a:xfrm>
        <a:prstGeom prst="line">
          <a:avLst/>
        </a:prstGeom>
        <a:noFill/>
        <a:ln w="6350" algn="ctr">
          <a:solidFill>
            <a:srgbClr val="000000"/>
          </a:solidFill>
          <a:round/>
          <a:headEnd/>
          <a:tailEnd/>
        </a:ln>
      </xdr:spPr>
    </xdr:cxnSp>
    <xdr:clientData/>
  </xdr:twoCellAnchor>
  <xdr:twoCellAnchor>
    <xdr:from>
      <xdr:col>1</xdr:col>
      <xdr:colOff>845820</xdr:colOff>
      <xdr:row>16</xdr:row>
      <xdr:rowOff>68580</xdr:rowOff>
    </xdr:from>
    <xdr:to>
      <xdr:col>2</xdr:col>
      <xdr:colOff>731520</xdr:colOff>
      <xdr:row>20</xdr:row>
      <xdr:rowOff>137160</xdr:rowOff>
    </xdr:to>
    <xdr:sp macro="" textlink="">
      <xdr:nvSpPr>
        <xdr:cNvPr id="25944" name="Oval 59">
          <a:extLst>
            <a:ext uri="{FF2B5EF4-FFF2-40B4-BE49-F238E27FC236}">
              <a16:creationId xmlns:a16="http://schemas.microsoft.com/office/drawing/2014/main" id="{00000000-0008-0000-0100-000058650000}"/>
            </a:ext>
          </a:extLst>
        </xdr:cNvPr>
        <xdr:cNvSpPr>
          <a:spLocks noChangeArrowheads="1"/>
        </xdr:cNvSpPr>
      </xdr:nvSpPr>
      <xdr:spPr bwMode="auto">
        <a:xfrm>
          <a:off x="967740" y="3078480"/>
          <a:ext cx="830580" cy="830580"/>
        </a:xfrm>
        <a:prstGeom prst="ellipse">
          <a:avLst/>
        </a:prstGeom>
        <a:solidFill>
          <a:srgbClr val="FFFFFF"/>
        </a:solidFill>
        <a:ln w="9525" algn="ctr">
          <a:solidFill>
            <a:srgbClr val="000000"/>
          </a:solidFill>
          <a:round/>
          <a:headEnd/>
          <a:tailEnd/>
        </a:ln>
      </xdr:spPr>
    </xdr:sp>
    <xdr:clientData/>
  </xdr:twoCellAnchor>
  <xdr:twoCellAnchor>
    <xdr:from>
      <xdr:col>1</xdr:col>
      <xdr:colOff>845820</xdr:colOff>
      <xdr:row>18</xdr:row>
      <xdr:rowOff>106680</xdr:rowOff>
    </xdr:from>
    <xdr:to>
      <xdr:col>2</xdr:col>
      <xdr:colOff>731520</xdr:colOff>
      <xdr:row>18</xdr:row>
      <xdr:rowOff>106680</xdr:rowOff>
    </xdr:to>
    <xdr:cxnSp macro="">
      <xdr:nvCxnSpPr>
        <xdr:cNvPr id="25945" name="Straight Arrow Connector 64">
          <a:extLst>
            <a:ext uri="{FF2B5EF4-FFF2-40B4-BE49-F238E27FC236}">
              <a16:creationId xmlns:a16="http://schemas.microsoft.com/office/drawing/2014/main" id="{00000000-0008-0000-0100-000059650000}"/>
            </a:ext>
          </a:extLst>
        </xdr:cNvPr>
        <xdr:cNvCxnSpPr>
          <a:cxnSpLocks noChangeShapeType="1"/>
          <a:stCxn id="25944" idx="2"/>
          <a:endCxn id="25944" idx="6"/>
        </xdr:cNvCxnSpPr>
      </xdr:nvCxnSpPr>
      <xdr:spPr bwMode="auto">
        <a:xfrm>
          <a:off x="967740" y="3497580"/>
          <a:ext cx="830580" cy="0"/>
        </a:xfrm>
        <a:prstGeom prst="straightConnector1">
          <a:avLst/>
        </a:prstGeom>
        <a:noFill/>
        <a:ln w="3175" algn="ctr">
          <a:solidFill>
            <a:srgbClr val="000000"/>
          </a:solidFill>
          <a:round/>
          <a:headEnd type="stealth" w="sm" len="sm"/>
          <a:tailEnd type="stealth" w="sm" len="sm"/>
        </a:ln>
      </xdr:spPr>
    </xdr:cxnSp>
    <xdr:clientData/>
  </xdr:twoCellAnchor>
  <xdr:twoCellAnchor>
    <xdr:from>
      <xdr:col>2</xdr:col>
      <xdr:colOff>304801</xdr:colOff>
      <xdr:row>16</xdr:row>
      <xdr:rowOff>171450</xdr:rowOff>
    </xdr:from>
    <xdr:to>
      <xdr:col>2</xdr:col>
      <xdr:colOff>529591</xdr:colOff>
      <xdr:row>17</xdr:row>
      <xdr:rowOff>173355</xdr:rowOff>
    </xdr:to>
    <xdr:sp macro="" textlink="">
      <xdr:nvSpPr>
        <xdr:cNvPr id="52" name="TextBox 51">
          <a:extLst>
            <a:ext uri="{FF2B5EF4-FFF2-40B4-BE49-F238E27FC236}">
              <a16:creationId xmlns:a16="http://schemas.microsoft.com/office/drawing/2014/main" id="{00000000-0008-0000-0100-000034000000}"/>
            </a:ext>
          </a:extLst>
        </xdr:cNvPr>
        <xdr:cNvSpPr txBox="1"/>
      </xdr:nvSpPr>
      <xdr:spPr>
        <a:xfrm>
          <a:off x="1524001" y="3013710"/>
          <a:ext cx="224790" cy="169545"/>
        </a:xfrm>
        <a:prstGeom prst="rect">
          <a:avLst/>
        </a:prstGeom>
        <a:solidFill>
          <a:schemeClr val="lt1"/>
        </a:solidFill>
        <a:ln w="0"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900"/>
            <a:t>R</a:t>
          </a:r>
        </a:p>
      </xdr:txBody>
    </xdr:sp>
    <xdr:clientData/>
  </xdr:twoCellAnchor>
  <xdr:twoCellAnchor>
    <xdr:from>
      <xdr:col>2</xdr:col>
      <xdr:colOff>320040</xdr:colOff>
      <xdr:row>16</xdr:row>
      <xdr:rowOff>68580</xdr:rowOff>
    </xdr:from>
    <xdr:to>
      <xdr:col>2</xdr:col>
      <xdr:colOff>320040</xdr:colOff>
      <xdr:row>20</xdr:row>
      <xdr:rowOff>137160</xdr:rowOff>
    </xdr:to>
    <xdr:cxnSp macro="">
      <xdr:nvCxnSpPr>
        <xdr:cNvPr id="25947" name="Straight Arrow Connector 66">
          <a:extLst>
            <a:ext uri="{FF2B5EF4-FFF2-40B4-BE49-F238E27FC236}">
              <a16:creationId xmlns:a16="http://schemas.microsoft.com/office/drawing/2014/main" id="{00000000-0008-0000-0100-00005B650000}"/>
            </a:ext>
          </a:extLst>
        </xdr:cNvPr>
        <xdr:cNvCxnSpPr>
          <a:cxnSpLocks noChangeShapeType="1"/>
          <a:stCxn id="25944" idx="0"/>
          <a:endCxn id="25944" idx="4"/>
        </xdr:cNvCxnSpPr>
      </xdr:nvCxnSpPr>
      <xdr:spPr bwMode="auto">
        <a:xfrm>
          <a:off x="1386840" y="3078480"/>
          <a:ext cx="0" cy="830580"/>
        </a:xfrm>
        <a:prstGeom prst="straightConnector1">
          <a:avLst/>
        </a:prstGeom>
        <a:noFill/>
        <a:ln w="3175" algn="ctr">
          <a:solidFill>
            <a:srgbClr val="000000"/>
          </a:solidFill>
          <a:round/>
          <a:headEnd type="stealth" w="sm" len="sm"/>
          <a:tailEnd type="stealth" w="sm" len="sm"/>
        </a:ln>
      </xdr:spPr>
    </xdr:cxnSp>
    <xdr:clientData/>
  </xdr:twoCellAnchor>
  <xdr:twoCellAnchor>
    <xdr:from>
      <xdr:col>2</xdr:col>
      <xdr:colOff>21590</xdr:colOff>
      <xdr:row>17</xdr:row>
      <xdr:rowOff>45720</xdr:rowOff>
    </xdr:from>
    <xdr:to>
      <xdr:col>2</xdr:col>
      <xdr:colOff>253999</xdr:colOff>
      <xdr:row>18</xdr:row>
      <xdr:rowOff>40005</xdr:rowOff>
    </xdr:to>
    <xdr:sp macro="" textlink="">
      <xdr:nvSpPr>
        <xdr:cNvPr id="54" name="TextBox 53">
          <a:extLst>
            <a:ext uri="{FF2B5EF4-FFF2-40B4-BE49-F238E27FC236}">
              <a16:creationId xmlns:a16="http://schemas.microsoft.com/office/drawing/2014/main" id="{00000000-0008-0000-0100-000036000000}"/>
            </a:ext>
          </a:extLst>
        </xdr:cNvPr>
        <xdr:cNvSpPr txBox="1"/>
      </xdr:nvSpPr>
      <xdr:spPr>
        <a:xfrm>
          <a:off x="1240790" y="3063240"/>
          <a:ext cx="232409" cy="161925"/>
        </a:xfrm>
        <a:prstGeom prst="rect">
          <a:avLst/>
        </a:prstGeom>
        <a:solidFill>
          <a:schemeClr val="lt1"/>
        </a:solidFill>
        <a:ln w="0"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900"/>
            <a:t>S</a:t>
          </a:r>
        </a:p>
      </xdr:txBody>
    </xdr:sp>
    <xdr:clientData/>
  </xdr:twoCellAnchor>
  <xdr:twoCellAnchor>
    <xdr:from>
      <xdr:col>2</xdr:col>
      <xdr:colOff>312420</xdr:colOff>
      <xdr:row>17</xdr:row>
      <xdr:rowOff>190500</xdr:rowOff>
    </xdr:from>
    <xdr:to>
      <xdr:col>2</xdr:col>
      <xdr:colOff>434340</xdr:colOff>
      <xdr:row>18</xdr:row>
      <xdr:rowOff>45720</xdr:rowOff>
    </xdr:to>
    <xdr:cxnSp macro="">
      <xdr:nvCxnSpPr>
        <xdr:cNvPr id="25949" name="Straight Connector 70">
          <a:extLst>
            <a:ext uri="{FF2B5EF4-FFF2-40B4-BE49-F238E27FC236}">
              <a16:creationId xmlns:a16="http://schemas.microsoft.com/office/drawing/2014/main" id="{00000000-0008-0000-0100-00005D650000}"/>
            </a:ext>
          </a:extLst>
        </xdr:cNvPr>
        <xdr:cNvCxnSpPr>
          <a:cxnSpLocks noChangeShapeType="1"/>
        </xdr:cNvCxnSpPr>
      </xdr:nvCxnSpPr>
      <xdr:spPr bwMode="auto">
        <a:xfrm flipV="1">
          <a:off x="1379220" y="3390900"/>
          <a:ext cx="121920" cy="45720"/>
        </a:xfrm>
        <a:prstGeom prst="line">
          <a:avLst/>
        </a:prstGeom>
        <a:noFill/>
        <a:ln w="3175" algn="ctr">
          <a:solidFill>
            <a:srgbClr val="000000"/>
          </a:solidFill>
          <a:round/>
          <a:headEnd/>
          <a:tailEnd/>
        </a:ln>
      </xdr:spPr>
    </xdr:cxnSp>
    <xdr:clientData/>
  </xdr:twoCellAnchor>
  <xdr:twoCellAnchor>
    <xdr:from>
      <xdr:col>2</xdr:col>
      <xdr:colOff>160020</xdr:colOff>
      <xdr:row>18</xdr:row>
      <xdr:rowOff>53340</xdr:rowOff>
    </xdr:from>
    <xdr:to>
      <xdr:col>2</xdr:col>
      <xdr:colOff>266700</xdr:colOff>
      <xdr:row>18</xdr:row>
      <xdr:rowOff>106680</xdr:rowOff>
    </xdr:to>
    <xdr:cxnSp macro="">
      <xdr:nvCxnSpPr>
        <xdr:cNvPr id="25950" name="Straight Connector 88">
          <a:extLst>
            <a:ext uri="{FF2B5EF4-FFF2-40B4-BE49-F238E27FC236}">
              <a16:creationId xmlns:a16="http://schemas.microsoft.com/office/drawing/2014/main" id="{00000000-0008-0000-0100-00005E650000}"/>
            </a:ext>
          </a:extLst>
        </xdr:cNvPr>
        <xdr:cNvCxnSpPr>
          <a:cxnSpLocks noChangeShapeType="1"/>
        </xdr:cNvCxnSpPr>
      </xdr:nvCxnSpPr>
      <xdr:spPr bwMode="auto">
        <a:xfrm rot="10800000">
          <a:off x="1226820" y="3444240"/>
          <a:ext cx="106680" cy="53340"/>
        </a:xfrm>
        <a:prstGeom prst="line">
          <a:avLst/>
        </a:prstGeom>
        <a:noFill/>
        <a:ln w="3175" algn="ctr">
          <a:solidFill>
            <a:srgbClr val="000000"/>
          </a:solidFill>
          <a:round/>
          <a:headEnd/>
          <a:tailEnd/>
        </a:ln>
      </xdr:spPr>
    </xdr:cxnSp>
    <xdr:clientData/>
  </xdr:twoCellAnchor>
  <xdr:twoCellAnchor>
    <xdr:from>
      <xdr:col>1</xdr:col>
      <xdr:colOff>701040</xdr:colOff>
      <xdr:row>24</xdr:row>
      <xdr:rowOff>167640</xdr:rowOff>
    </xdr:from>
    <xdr:to>
      <xdr:col>2</xdr:col>
      <xdr:colOff>800100</xdr:colOff>
      <xdr:row>27</xdr:row>
      <xdr:rowOff>190500</xdr:rowOff>
    </xdr:to>
    <xdr:sp macro="" textlink="">
      <xdr:nvSpPr>
        <xdr:cNvPr id="25951" name="Freeform 109">
          <a:extLst>
            <a:ext uri="{FF2B5EF4-FFF2-40B4-BE49-F238E27FC236}">
              <a16:creationId xmlns:a16="http://schemas.microsoft.com/office/drawing/2014/main" id="{00000000-0008-0000-0100-00005F650000}"/>
            </a:ext>
          </a:extLst>
        </xdr:cNvPr>
        <xdr:cNvSpPr>
          <a:spLocks/>
        </xdr:cNvSpPr>
      </xdr:nvSpPr>
      <xdr:spPr bwMode="auto">
        <a:xfrm>
          <a:off x="822960" y="4701540"/>
          <a:ext cx="1043940" cy="594360"/>
        </a:xfrm>
        <a:custGeom>
          <a:avLst/>
          <a:gdLst>
            <a:gd name="T0" fmla="*/ 18411 w 1043094"/>
            <a:gd name="T1" fmla="*/ 360679 h 588010"/>
            <a:gd name="T2" fmla="*/ 193076 w 1043094"/>
            <a:gd name="T3" fmla="*/ 56210 h 588010"/>
            <a:gd name="T4" fmla="*/ 414021 w 1043094"/>
            <a:gd name="T5" fmla="*/ 51526 h 588010"/>
            <a:gd name="T6" fmla="*/ 594658 w 1043094"/>
            <a:gd name="T7" fmla="*/ 365363 h 588010"/>
            <a:gd name="T8" fmla="*/ 303550 w 1043094"/>
            <a:gd name="T9" fmla="*/ 541020 h 588010"/>
            <a:gd name="T10" fmla="*/ 18411 w 1043094"/>
            <a:gd name="T11" fmla="*/ 360679 h 588010"/>
            <a:gd name="T12" fmla="*/ 0 60000 65536"/>
            <a:gd name="T13" fmla="*/ 0 60000 65536"/>
            <a:gd name="T14" fmla="*/ 0 60000 65536"/>
            <a:gd name="T15" fmla="*/ 0 60000 65536"/>
            <a:gd name="T16" fmla="*/ 0 60000 65536"/>
            <a:gd name="T17" fmla="*/ 0 60000 65536"/>
            <a:gd name="T18" fmla="*/ 0 w 1043094"/>
            <a:gd name="T19" fmla="*/ 0 h 588010"/>
            <a:gd name="T20" fmla="*/ 1043094 w 1043094"/>
            <a:gd name="T21" fmla="*/ 588010 h 588010"/>
          </a:gdLst>
          <a:ahLst/>
          <a:cxnLst>
            <a:cxn ang="T12">
              <a:pos x="T0" y="T1"/>
            </a:cxn>
            <a:cxn ang="T13">
              <a:pos x="T2" y="T3"/>
            </a:cxn>
            <a:cxn ang="T14">
              <a:pos x="T4" y="T5"/>
            </a:cxn>
            <a:cxn ang="T15">
              <a:pos x="T6" y="T7"/>
            </a:cxn>
            <a:cxn ang="T16">
              <a:pos x="T8" y="T9"/>
            </a:cxn>
            <a:cxn ang="T17">
              <a:pos x="T10" y="T11"/>
            </a:cxn>
          </a:cxnLst>
          <a:rect l="T18" t="T19" r="T20" b="T21"/>
          <a:pathLst>
            <a:path w="1043094" h="588010">
              <a:moveTo>
                <a:pt x="31327" y="391160"/>
              </a:moveTo>
              <a:cubicBezTo>
                <a:pt x="0" y="303530"/>
                <a:pt x="216324" y="116840"/>
                <a:pt x="328507" y="60960"/>
              </a:cubicBezTo>
              <a:cubicBezTo>
                <a:pt x="440690" y="5080"/>
                <a:pt x="590550" y="0"/>
                <a:pt x="704427" y="55880"/>
              </a:cubicBezTo>
              <a:cubicBezTo>
                <a:pt x="818304" y="111760"/>
                <a:pt x="1043094" y="307763"/>
                <a:pt x="1011767" y="396240"/>
              </a:cubicBezTo>
              <a:cubicBezTo>
                <a:pt x="980440" y="484717"/>
                <a:pt x="679450" y="588010"/>
                <a:pt x="516467" y="586740"/>
              </a:cubicBezTo>
              <a:cubicBezTo>
                <a:pt x="353484" y="585470"/>
                <a:pt x="62654" y="478790"/>
                <a:pt x="31327" y="391160"/>
              </a:cubicBezTo>
              <a:close/>
            </a:path>
          </a:pathLst>
        </a:custGeom>
        <a:solidFill>
          <a:srgbClr val="FFFFFF"/>
        </a:solidFill>
        <a:ln w="9525" cap="flat" cmpd="sng" algn="ctr">
          <a:solidFill>
            <a:srgbClr val="000000"/>
          </a:solidFill>
          <a:prstDash val="solid"/>
          <a:round/>
          <a:headEnd type="none" w="med" len="med"/>
          <a:tailEnd type="none" w="med" len="med"/>
        </a:ln>
      </xdr:spPr>
    </xdr:sp>
    <xdr:clientData/>
  </xdr:twoCellAnchor>
  <xdr:twoCellAnchor>
    <xdr:from>
      <xdr:col>2</xdr:col>
      <xdr:colOff>332740</xdr:colOff>
      <xdr:row>25</xdr:row>
      <xdr:rowOff>91440</xdr:rowOff>
    </xdr:from>
    <xdr:to>
      <xdr:col>2</xdr:col>
      <xdr:colOff>505460</xdr:colOff>
      <xdr:row>26</xdr:row>
      <xdr:rowOff>73660</xdr:rowOff>
    </xdr:to>
    <xdr:sp macro="" textlink="">
      <xdr:nvSpPr>
        <xdr:cNvPr id="58" name="TextBox 57">
          <a:extLst>
            <a:ext uri="{FF2B5EF4-FFF2-40B4-BE49-F238E27FC236}">
              <a16:creationId xmlns:a16="http://schemas.microsoft.com/office/drawing/2014/main" id="{00000000-0008-0000-0100-00003A000000}"/>
            </a:ext>
          </a:extLst>
        </xdr:cNvPr>
        <xdr:cNvSpPr txBox="1"/>
      </xdr:nvSpPr>
      <xdr:spPr>
        <a:xfrm>
          <a:off x="1551940" y="4450080"/>
          <a:ext cx="172720" cy="149860"/>
        </a:xfrm>
        <a:prstGeom prst="rect">
          <a:avLst/>
        </a:prstGeom>
        <a:solidFill>
          <a:schemeClr val="lt1"/>
        </a:solidFill>
        <a:ln w="0"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900"/>
            <a:t>R</a:t>
          </a:r>
        </a:p>
      </xdr:txBody>
    </xdr:sp>
    <xdr:clientData/>
  </xdr:twoCellAnchor>
  <xdr:twoCellAnchor>
    <xdr:from>
      <xdr:col>2</xdr:col>
      <xdr:colOff>281940</xdr:colOff>
      <xdr:row>24</xdr:row>
      <xdr:rowOff>182880</xdr:rowOff>
    </xdr:from>
    <xdr:to>
      <xdr:col>2</xdr:col>
      <xdr:colOff>289560</xdr:colOff>
      <xdr:row>27</xdr:row>
      <xdr:rowOff>190500</xdr:rowOff>
    </xdr:to>
    <xdr:cxnSp macro="">
      <xdr:nvCxnSpPr>
        <xdr:cNvPr id="25953" name="Straight Arrow Connector 92">
          <a:extLst>
            <a:ext uri="{FF2B5EF4-FFF2-40B4-BE49-F238E27FC236}">
              <a16:creationId xmlns:a16="http://schemas.microsoft.com/office/drawing/2014/main" id="{00000000-0008-0000-0100-000061650000}"/>
            </a:ext>
          </a:extLst>
        </xdr:cNvPr>
        <xdr:cNvCxnSpPr>
          <a:cxnSpLocks noChangeShapeType="1"/>
        </xdr:cNvCxnSpPr>
      </xdr:nvCxnSpPr>
      <xdr:spPr bwMode="auto">
        <a:xfrm rot="5400000">
          <a:off x="1062990" y="5002530"/>
          <a:ext cx="579120" cy="7620"/>
        </a:xfrm>
        <a:prstGeom prst="straightConnector1">
          <a:avLst/>
        </a:prstGeom>
        <a:noFill/>
        <a:ln w="3175" algn="ctr">
          <a:solidFill>
            <a:srgbClr val="000000"/>
          </a:solidFill>
          <a:round/>
          <a:headEnd type="stealth" w="sm" len="sm"/>
          <a:tailEnd type="stealth" w="sm" len="sm"/>
        </a:ln>
      </xdr:spPr>
    </xdr:cxnSp>
    <xdr:clientData/>
  </xdr:twoCellAnchor>
  <xdr:twoCellAnchor>
    <xdr:from>
      <xdr:col>2</xdr:col>
      <xdr:colOff>10160</xdr:colOff>
      <xdr:row>25</xdr:row>
      <xdr:rowOff>124460</xdr:rowOff>
    </xdr:from>
    <xdr:to>
      <xdr:col>2</xdr:col>
      <xdr:colOff>215900</xdr:colOff>
      <xdr:row>26</xdr:row>
      <xdr:rowOff>95091</xdr:rowOff>
    </xdr:to>
    <xdr:sp macro="" textlink="">
      <xdr:nvSpPr>
        <xdr:cNvPr id="60" name="TextBox 59">
          <a:extLst>
            <a:ext uri="{FF2B5EF4-FFF2-40B4-BE49-F238E27FC236}">
              <a16:creationId xmlns:a16="http://schemas.microsoft.com/office/drawing/2014/main" id="{00000000-0008-0000-0100-00003C000000}"/>
            </a:ext>
          </a:extLst>
        </xdr:cNvPr>
        <xdr:cNvSpPr txBox="1"/>
      </xdr:nvSpPr>
      <xdr:spPr>
        <a:xfrm>
          <a:off x="1229360" y="4483100"/>
          <a:ext cx="205740" cy="138271"/>
        </a:xfrm>
        <a:prstGeom prst="rect">
          <a:avLst/>
        </a:prstGeom>
        <a:solidFill>
          <a:schemeClr val="lt1"/>
        </a:solidFill>
        <a:ln w="0"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900"/>
            <a:t>S</a:t>
          </a:r>
        </a:p>
      </xdr:txBody>
    </xdr:sp>
    <xdr:clientData/>
  </xdr:twoCellAnchor>
  <xdr:twoCellAnchor>
    <xdr:from>
      <xdr:col>2</xdr:col>
      <xdr:colOff>289560</xdr:colOff>
      <xdr:row>26</xdr:row>
      <xdr:rowOff>53340</xdr:rowOff>
    </xdr:from>
    <xdr:to>
      <xdr:col>2</xdr:col>
      <xdr:colOff>403860</xdr:colOff>
      <xdr:row>26</xdr:row>
      <xdr:rowOff>106680</xdr:rowOff>
    </xdr:to>
    <xdr:cxnSp macro="">
      <xdr:nvCxnSpPr>
        <xdr:cNvPr id="25955" name="Straight Connector 94">
          <a:extLst>
            <a:ext uri="{FF2B5EF4-FFF2-40B4-BE49-F238E27FC236}">
              <a16:creationId xmlns:a16="http://schemas.microsoft.com/office/drawing/2014/main" id="{00000000-0008-0000-0100-000063650000}"/>
            </a:ext>
          </a:extLst>
        </xdr:cNvPr>
        <xdr:cNvCxnSpPr>
          <a:cxnSpLocks noChangeShapeType="1"/>
        </xdr:cNvCxnSpPr>
      </xdr:nvCxnSpPr>
      <xdr:spPr bwMode="auto">
        <a:xfrm flipV="1">
          <a:off x="1356360" y="4968240"/>
          <a:ext cx="114300" cy="53340"/>
        </a:xfrm>
        <a:prstGeom prst="line">
          <a:avLst/>
        </a:prstGeom>
        <a:noFill/>
        <a:ln w="3175" algn="ctr">
          <a:solidFill>
            <a:srgbClr val="000000"/>
          </a:solidFill>
          <a:round/>
          <a:headEnd/>
          <a:tailEnd/>
        </a:ln>
      </xdr:spPr>
    </xdr:cxnSp>
    <xdr:clientData/>
  </xdr:twoCellAnchor>
  <xdr:twoCellAnchor>
    <xdr:from>
      <xdr:col>2</xdr:col>
      <xdr:colOff>121920</xdr:colOff>
      <xdr:row>26</xdr:row>
      <xdr:rowOff>106680</xdr:rowOff>
    </xdr:from>
    <xdr:to>
      <xdr:col>2</xdr:col>
      <xdr:colOff>228600</xdr:colOff>
      <xdr:row>26</xdr:row>
      <xdr:rowOff>160020</xdr:rowOff>
    </xdr:to>
    <xdr:cxnSp macro="">
      <xdr:nvCxnSpPr>
        <xdr:cNvPr id="25956" name="Straight Connector 95">
          <a:extLst>
            <a:ext uri="{FF2B5EF4-FFF2-40B4-BE49-F238E27FC236}">
              <a16:creationId xmlns:a16="http://schemas.microsoft.com/office/drawing/2014/main" id="{00000000-0008-0000-0100-000064650000}"/>
            </a:ext>
          </a:extLst>
        </xdr:cNvPr>
        <xdr:cNvCxnSpPr>
          <a:cxnSpLocks noChangeShapeType="1"/>
        </xdr:cNvCxnSpPr>
      </xdr:nvCxnSpPr>
      <xdr:spPr bwMode="auto">
        <a:xfrm rot="10800000">
          <a:off x="1188720" y="5021580"/>
          <a:ext cx="106680" cy="53340"/>
        </a:xfrm>
        <a:prstGeom prst="line">
          <a:avLst/>
        </a:prstGeom>
        <a:noFill/>
        <a:ln w="3175" algn="ctr">
          <a:solidFill>
            <a:srgbClr val="000000"/>
          </a:solidFill>
          <a:round/>
          <a:headEnd/>
          <a:tailEnd/>
        </a:ln>
      </xdr:spPr>
    </xdr:cxnSp>
    <xdr:clientData/>
  </xdr:twoCellAnchor>
  <xdr:twoCellAnchor>
    <xdr:from>
      <xdr:col>1</xdr:col>
      <xdr:colOff>731520</xdr:colOff>
      <xdr:row>26</xdr:row>
      <xdr:rowOff>160020</xdr:rowOff>
    </xdr:from>
    <xdr:to>
      <xdr:col>2</xdr:col>
      <xdr:colOff>762000</xdr:colOff>
      <xdr:row>26</xdr:row>
      <xdr:rowOff>160020</xdr:rowOff>
    </xdr:to>
    <xdr:cxnSp macro="">
      <xdr:nvCxnSpPr>
        <xdr:cNvPr id="25957" name="Straight Arrow Connector 102">
          <a:extLst>
            <a:ext uri="{FF2B5EF4-FFF2-40B4-BE49-F238E27FC236}">
              <a16:creationId xmlns:a16="http://schemas.microsoft.com/office/drawing/2014/main" id="{00000000-0008-0000-0100-000065650000}"/>
            </a:ext>
          </a:extLst>
        </xdr:cNvPr>
        <xdr:cNvCxnSpPr>
          <a:cxnSpLocks noChangeShapeType="1"/>
        </xdr:cNvCxnSpPr>
      </xdr:nvCxnSpPr>
      <xdr:spPr bwMode="auto">
        <a:xfrm>
          <a:off x="853440" y="5074920"/>
          <a:ext cx="975360" cy="0"/>
        </a:xfrm>
        <a:prstGeom prst="straightConnector1">
          <a:avLst/>
        </a:prstGeom>
        <a:noFill/>
        <a:ln w="3175" algn="ctr">
          <a:solidFill>
            <a:srgbClr val="000000"/>
          </a:solidFill>
          <a:round/>
          <a:headEnd type="stealth" w="sm" len="sm"/>
          <a:tailEnd type="stealth" w="sm" len="sm"/>
        </a:ln>
      </xdr:spPr>
    </xdr:cxnSp>
    <xdr:clientData/>
  </xdr:twoCellAnchor>
  <xdr:twoCellAnchor>
    <xdr:from>
      <xdr:col>1</xdr:col>
      <xdr:colOff>792480</xdr:colOff>
      <xdr:row>13</xdr:row>
      <xdr:rowOff>38100</xdr:rowOff>
    </xdr:from>
    <xdr:to>
      <xdr:col>2</xdr:col>
      <xdr:colOff>960120</xdr:colOff>
      <xdr:row>15</xdr:row>
      <xdr:rowOff>83820</xdr:rowOff>
    </xdr:to>
    <xdr:sp macro="" textlink="">
      <xdr:nvSpPr>
        <xdr:cNvPr id="64" name="TextBox 63">
          <a:extLst>
            <a:ext uri="{FF2B5EF4-FFF2-40B4-BE49-F238E27FC236}">
              <a16:creationId xmlns:a16="http://schemas.microsoft.com/office/drawing/2014/main" id="{00000000-0008-0000-0100-000040000000}"/>
            </a:ext>
          </a:extLst>
        </xdr:cNvPr>
        <xdr:cNvSpPr txBox="1"/>
      </xdr:nvSpPr>
      <xdr:spPr>
        <a:xfrm>
          <a:off x="914400" y="2476500"/>
          <a:ext cx="1112520" cy="4267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1" u="sng"/>
            <a:t>Section</a:t>
          </a:r>
          <a:r>
            <a:rPr lang="en-US" sz="1100" b="1" u="sng" baseline="0"/>
            <a:t> A-A</a:t>
          </a:r>
        </a:p>
        <a:p>
          <a:r>
            <a:rPr lang="en-US" sz="800" u="none" baseline="0"/>
            <a:t>       (ARCH)</a:t>
          </a:r>
          <a:endParaRPr lang="en-US" sz="800" u="none"/>
        </a:p>
      </xdr:txBody>
    </xdr:sp>
    <xdr:clientData/>
  </xdr:twoCellAnchor>
  <xdr:twoCellAnchor>
    <xdr:from>
      <xdr:col>1</xdr:col>
      <xdr:colOff>826770</xdr:colOff>
      <xdr:row>20</xdr:row>
      <xdr:rowOff>167640</xdr:rowOff>
    </xdr:from>
    <xdr:to>
      <xdr:col>2</xdr:col>
      <xdr:colOff>883920</xdr:colOff>
      <xdr:row>24</xdr:row>
      <xdr:rowOff>7620</xdr:rowOff>
    </xdr:to>
    <xdr:sp macro="" textlink="">
      <xdr:nvSpPr>
        <xdr:cNvPr id="65" name="TextBox 64">
          <a:extLst>
            <a:ext uri="{FF2B5EF4-FFF2-40B4-BE49-F238E27FC236}">
              <a16:creationId xmlns:a16="http://schemas.microsoft.com/office/drawing/2014/main" id="{00000000-0008-0000-0100-000041000000}"/>
            </a:ext>
          </a:extLst>
        </xdr:cNvPr>
        <xdr:cNvSpPr txBox="1"/>
      </xdr:nvSpPr>
      <xdr:spPr>
        <a:xfrm>
          <a:off x="1215390" y="3688080"/>
          <a:ext cx="613410" cy="51054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1" u="sng"/>
            <a:t>Section</a:t>
          </a:r>
          <a:r>
            <a:rPr lang="en-US" sz="1100" b="1" u="sng" baseline="0"/>
            <a:t> A-A</a:t>
          </a:r>
        </a:p>
        <a:p>
          <a:r>
            <a:rPr lang="en-US" sz="800" u="none" baseline="0"/>
            <a:t>    (CIRCULAR)</a:t>
          </a:r>
          <a:endParaRPr lang="en-US" sz="800" u="none"/>
        </a:p>
      </xdr:txBody>
    </xdr:sp>
    <xdr:clientData/>
  </xdr:twoCellAnchor>
  <xdr:twoCellAnchor>
    <xdr:from>
      <xdr:col>1</xdr:col>
      <xdr:colOff>834390</xdr:colOff>
      <xdr:row>27</xdr:row>
      <xdr:rowOff>247650</xdr:rowOff>
    </xdr:from>
    <xdr:to>
      <xdr:col>2</xdr:col>
      <xdr:colOff>880110</xdr:colOff>
      <xdr:row>27</xdr:row>
      <xdr:rowOff>708660</xdr:rowOff>
    </xdr:to>
    <xdr:sp macro="" textlink="">
      <xdr:nvSpPr>
        <xdr:cNvPr id="66" name="TextBox 65">
          <a:extLst>
            <a:ext uri="{FF2B5EF4-FFF2-40B4-BE49-F238E27FC236}">
              <a16:creationId xmlns:a16="http://schemas.microsoft.com/office/drawing/2014/main" id="{00000000-0008-0000-0100-000042000000}"/>
            </a:ext>
          </a:extLst>
        </xdr:cNvPr>
        <xdr:cNvSpPr txBox="1"/>
      </xdr:nvSpPr>
      <xdr:spPr>
        <a:xfrm>
          <a:off x="1215390" y="4857750"/>
          <a:ext cx="609600" cy="381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1" u="sng"/>
            <a:t>Section</a:t>
          </a:r>
          <a:r>
            <a:rPr lang="en-US" sz="1100" b="1" u="sng" baseline="0"/>
            <a:t> A-A</a:t>
          </a:r>
        </a:p>
        <a:p>
          <a:r>
            <a:rPr lang="en-US" sz="800" u="none" baseline="0"/>
            <a:t>   (PIPE ARCH)</a:t>
          </a:r>
          <a:endParaRPr lang="en-US" sz="800" u="none"/>
        </a:p>
      </xdr:txBody>
    </xdr:sp>
    <xdr:clientData/>
  </xdr:twoCellAnchor>
  <xdr:twoCellAnchor>
    <xdr:from>
      <xdr:col>3</xdr:col>
      <xdr:colOff>167640</xdr:colOff>
      <xdr:row>8</xdr:row>
      <xdr:rowOff>91440</xdr:rowOff>
    </xdr:from>
    <xdr:to>
      <xdr:col>3</xdr:col>
      <xdr:colOff>167640</xdr:colOff>
      <xdr:row>14</xdr:row>
      <xdr:rowOff>121920</xdr:rowOff>
    </xdr:to>
    <xdr:cxnSp macro="">
      <xdr:nvCxnSpPr>
        <xdr:cNvPr id="25961" name="Straight Connector 129">
          <a:extLst>
            <a:ext uri="{FF2B5EF4-FFF2-40B4-BE49-F238E27FC236}">
              <a16:creationId xmlns:a16="http://schemas.microsoft.com/office/drawing/2014/main" id="{00000000-0008-0000-0100-000069650000}"/>
            </a:ext>
          </a:extLst>
        </xdr:cNvPr>
        <xdr:cNvCxnSpPr>
          <a:cxnSpLocks noChangeShapeType="1"/>
        </xdr:cNvCxnSpPr>
      </xdr:nvCxnSpPr>
      <xdr:spPr bwMode="auto">
        <a:xfrm rot="5400000">
          <a:off x="2644140" y="2164080"/>
          <a:ext cx="1173480" cy="0"/>
        </a:xfrm>
        <a:prstGeom prst="line">
          <a:avLst/>
        </a:prstGeom>
        <a:noFill/>
        <a:ln w="6350" algn="ctr">
          <a:solidFill>
            <a:srgbClr val="000000"/>
          </a:solidFill>
          <a:round/>
          <a:headEnd/>
          <a:tailEnd/>
        </a:ln>
      </xdr:spPr>
    </xdr:cxnSp>
    <xdr:clientData/>
  </xdr:twoCellAnchor>
  <xdr:twoCellAnchor>
    <xdr:from>
      <xdr:col>6</xdr:col>
      <xdr:colOff>449580</xdr:colOff>
      <xdr:row>8</xdr:row>
      <xdr:rowOff>106680</xdr:rowOff>
    </xdr:from>
    <xdr:to>
      <xdr:col>6</xdr:col>
      <xdr:colOff>449580</xdr:colOff>
      <xdr:row>14</xdr:row>
      <xdr:rowOff>99060</xdr:rowOff>
    </xdr:to>
    <xdr:cxnSp macro="">
      <xdr:nvCxnSpPr>
        <xdr:cNvPr id="25962" name="Straight Connector 135">
          <a:extLst>
            <a:ext uri="{FF2B5EF4-FFF2-40B4-BE49-F238E27FC236}">
              <a16:creationId xmlns:a16="http://schemas.microsoft.com/office/drawing/2014/main" id="{00000000-0008-0000-0100-00006A650000}"/>
            </a:ext>
          </a:extLst>
        </xdr:cNvPr>
        <xdr:cNvCxnSpPr>
          <a:cxnSpLocks noChangeShapeType="1"/>
        </xdr:cNvCxnSpPr>
      </xdr:nvCxnSpPr>
      <xdr:spPr bwMode="auto">
        <a:xfrm rot="5400000">
          <a:off x="5756910" y="2160270"/>
          <a:ext cx="1135380" cy="0"/>
        </a:xfrm>
        <a:prstGeom prst="line">
          <a:avLst/>
        </a:prstGeom>
        <a:noFill/>
        <a:ln w="6350" algn="ctr">
          <a:solidFill>
            <a:srgbClr val="000000"/>
          </a:solidFill>
          <a:round/>
          <a:headEnd/>
          <a:tailEnd/>
        </a:ln>
      </xdr:spPr>
    </xdr:cxnSp>
    <xdr:clientData/>
  </xdr:twoCellAnchor>
  <xdr:twoCellAnchor>
    <xdr:from>
      <xdr:col>3</xdr:col>
      <xdr:colOff>1021080</xdr:colOff>
      <xdr:row>10</xdr:row>
      <xdr:rowOff>129540</xdr:rowOff>
    </xdr:from>
    <xdr:to>
      <xdr:col>4</xdr:col>
      <xdr:colOff>571500</xdr:colOff>
      <xdr:row>11</xdr:row>
      <xdr:rowOff>22860</xdr:rowOff>
    </xdr:to>
    <xdr:cxnSp macro="">
      <xdr:nvCxnSpPr>
        <xdr:cNvPr id="25963" name="Straight Connector 137">
          <a:extLst>
            <a:ext uri="{FF2B5EF4-FFF2-40B4-BE49-F238E27FC236}">
              <a16:creationId xmlns:a16="http://schemas.microsoft.com/office/drawing/2014/main" id="{00000000-0008-0000-0100-00006B650000}"/>
            </a:ext>
          </a:extLst>
        </xdr:cNvPr>
        <xdr:cNvCxnSpPr>
          <a:cxnSpLocks noChangeShapeType="1"/>
        </xdr:cNvCxnSpPr>
      </xdr:nvCxnSpPr>
      <xdr:spPr bwMode="auto">
        <a:xfrm rot="10800000" flipV="1">
          <a:off x="4084320" y="1996440"/>
          <a:ext cx="754380" cy="83820"/>
        </a:xfrm>
        <a:prstGeom prst="line">
          <a:avLst/>
        </a:prstGeom>
        <a:noFill/>
        <a:ln w="9525" algn="ctr">
          <a:solidFill>
            <a:srgbClr val="000000"/>
          </a:solidFill>
          <a:round/>
          <a:headEnd/>
          <a:tailEnd/>
        </a:ln>
      </xdr:spPr>
    </xdr:cxnSp>
    <xdr:clientData/>
  </xdr:twoCellAnchor>
  <xdr:twoCellAnchor>
    <xdr:from>
      <xdr:col>3</xdr:col>
      <xdr:colOff>388620</xdr:colOff>
      <xdr:row>11</xdr:row>
      <xdr:rowOff>30480</xdr:rowOff>
    </xdr:from>
    <xdr:to>
      <xdr:col>3</xdr:col>
      <xdr:colOff>1013460</xdr:colOff>
      <xdr:row>14</xdr:row>
      <xdr:rowOff>129540</xdr:rowOff>
    </xdr:to>
    <xdr:cxnSp macro="">
      <xdr:nvCxnSpPr>
        <xdr:cNvPr id="25964" name="Straight Connector 139">
          <a:extLst>
            <a:ext uri="{FF2B5EF4-FFF2-40B4-BE49-F238E27FC236}">
              <a16:creationId xmlns:a16="http://schemas.microsoft.com/office/drawing/2014/main" id="{00000000-0008-0000-0100-00006C650000}"/>
            </a:ext>
          </a:extLst>
        </xdr:cNvPr>
        <xdr:cNvCxnSpPr>
          <a:cxnSpLocks noChangeShapeType="1"/>
          <a:endCxn id="26007" idx="3"/>
        </xdr:cNvCxnSpPr>
      </xdr:nvCxnSpPr>
      <xdr:spPr bwMode="auto">
        <a:xfrm rot="5400000">
          <a:off x="3429000" y="2110740"/>
          <a:ext cx="670560" cy="624840"/>
        </a:xfrm>
        <a:prstGeom prst="line">
          <a:avLst/>
        </a:prstGeom>
        <a:noFill/>
        <a:ln w="9525" algn="ctr">
          <a:solidFill>
            <a:srgbClr val="000000"/>
          </a:solidFill>
          <a:round/>
          <a:headEnd/>
          <a:tailEnd/>
        </a:ln>
      </xdr:spPr>
    </xdr:cxnSp>
    <xdr:clientData/>
  </xdr:twoCellAnchor>
  <xdr:twoCellAnchor>
    <xdr:from>
      <xdr:col>3</xdr:col>
      <xdr:colOff>175260</xdr:colOff>
      <xdr:row>14</xdr:row>
      <xdr:rowOff>175260</xdr:rowOff>
    </xdr:from>
    <xdr:to>
      <xdr:col>3</xdr:col>
      <xdr:colOff>175260</xdr:colOff>
      <xdr:row>17</xdr:row>
      <xdr:rowOff>60960</xdr:rowOff>
    </xdr:to>
    <xdr:cxnSp macro="">
      <xdr:nvCxnSpPr>
        <xdr:cNvPr id="25965" name="Straight Connector 143">
          <a:extLst>
            <a:ext uri="{FF2B5EF4-FFF2-40B4-BE49-F238E27FC236}">
              <a16:creationId xmlns:a16="http://schemas.microsoft.com/office/drawing/2014/main" id="{00000000-0008-0000-0100-00006D650000}"/>
            </a:ext>
          </a:extLst>
        </xdr:cNvPr>
        <xdr:cNvCxnSpPr>
          <a:cxnSpLocks noChangeShapeType="1"/>
        </xdr:cNvCxnSpPr>
      </xdr:nvCxnSpPr>
      <xdr:spPr bwMode="auto">
        <a:xfrm rot="5400000">
          <a:off x="3009900" y="3032760"/>
          <a:ext cx="457200" cy="0"/>
        </a:xfrm>
        <a:prstGeom prst="line">
          <a:avLst/>
        </a:prstGeom>
        <a:noFill/>
        <a:ln w="9525" algn="ctr">
          <a:solidFill>
            <a:srgbClr val="000000"/>
          </a:solidFill>
          <a:round/>
          <a:headEnd/>
          <a:tailEnd/>
        </a:ln>
      </xdr:spPr>
    </xdr:cxnSp>
    <xdr:clientData/>
  </xdr:twoCellAnchor>
  <xdr:twoCellAnchor>
    <xdr:from>
      <xdr:col>4</xdr:col>
      <xdr:colOff>571500</xdr:colOff>
      <xdr:row>10</xdr:row>
      <xdr:rowOff>129540</xdr:rowOff>
    </xdr:from>
    <xdr:to>
      <xdr:col>5</xdr:col>
      <xdr:colOff>419100</xdr:colOff>
      <xdr:row>11</xdr:row>
      <xdr:rowOff>22860</xdr:rowOff>
    </xdr:to>
    <xdr:cxnSp macro="">
      <xdr:nvCxnSpPr>
        <xdr:cNvPr id="25966" name="Straight Connector 146">
          <a:extLst>
            <a:ext uri="{FF2B5EF4-FFF2-40B4-BE49-F238E27FC236}">
              <a16:creationId xmlns:a16="http://schemas.microsoft.com/office/drawing/2014/main" id="{00000000-0008-0000-0100-00006E650000}"/>
            </a:ext>
          </a:extLst>
        </xdr:cNvPr>
        <xdr:cNvCxnSpPr>
          <a:cxnSpLocks noChangeShapeType="1"/>
        </xdr:cNvCxnSpPr>
      </xdr:nvCxnSpPr>
      <xdr:spPr bwMode="auto">
        <a:xfrm>
          <a:off x="4838700" y="1996440"/>
          <a:ext cx="678180" cy="83820"/>
        </a:xfrm>
        <a:prstGeom prst="line">
          <a:avLst/>
        </a:prstGeom>
        <a:noFill/>
        <a:ln w="9525" algn="ctr">
          <a:solidFill>
            <a:srgbClr val="000000"/>
          </a:solidFill>
          <a:round/>
          <a:headEnd/>
          <a:tailEnd/>
        </a:ln>
      </xdr:spPr>
    </xdr:cxnSp>
    <xdr:clientData/>
  </xdr:twoCellAnchor>
  <xdr:twoCellAnchor>
    <xdr:from>
      <xdr:col>5</xdr:col>
      <xdr:colOff>411480</xdr:colOff>
      <xdr:row>11</xdr:row>
      <xdr:rowOff>22860</xdr:rowOff>
    </xdr:from>
    <xdr:to>
      <xdr:col>6</xdr:col>
      <xdr:colOff>312420</xdr:colOff>
      <xdr:row>14</xdr:row>
      <xdr:rowOff>129540</xdr:rowOff>
    </xdr:to>
    <xdr:cxnSp macro="">
      <xdr:nvCxnSpPr>
        <xdr:cNvPr id="25967" name="Straight Connector 148">
          <a:extLst>
            <a:ext uri="{FF2B5EF4-FFF2-40B4-BE49-F238E27FC236}">
              <a16:creationId xmlns:a16="http://schemas.microsoft.com/office/drawing/2014/main" id="{00000000-0008-0000-0100-00006F650000}"/>
            </a:ext>
          </a:extLst>
        </xdr:cNvPr>
        <xdr:cNvCxnSpPr>
          <a:cxnSpLocks noChangeShapeType="1"/>
          <a:endCxn id="26007" idx="43"/>
        </xdr:cNvCxnSpPr>
      </xdr:nvCxnSpPr>
      <xdr:spPr bwMode="auto">
        <a:xfrm rot="16200000" flipH="1">
          <a:off x="5509260" y="2080260"/>
          <a:ext cx="678180" cy="678180"/>
        </a:xfrm>
        <a:prstGeom prst="line">
          <a:avLst/>
        </a:prstGeom>
        <a:noFill/>
        <a:ln w="9525" algn="ctr">
          <a:solidFill>
            <a:srgbClr val="000000"/>
          </a:solidFill>
          <a:round/>
          <a:headEnd/>
          <a:tailEnd/>
        </a:ln>
      </xdr:spPr>
    </xdr:cxnSp>
    <xdr:clientData/>
  </xdr:twoCellAnchor>
  <xdr:twoCellAnchor>
    <xdr:from>
      <xdr:col>6</xdr:col>
      <xdr:colOff>449580</xdr:colOff>
      <xdr:row>14</xdr:row>
      <xdr:rowOff>129540</xdr:rowOff>
    </xdr:from>
    <xdr:to>
      <xdr:col>6</xdr:col>
      <xdr:colOff>449580</xdr:colOff>
      <xdr:row>17</xdr:row>
      <xdr:rowOff>15240</xdr:rowOff>
    </xdr:to>
    <xdr:cxnSp macro="">
      <xdr:nvCxnSpPr>
        <xdr:cNvPr id="25968" name="Straight Connector 150">
          <a:extLst>
            <a:ext uri="{FF2B5EF4-FFF2-40B4-BE49-F238E27FC236}">
              <a16:creationId xmlns:a16="http://schemas.microsoft.com/office/drawing/2014/main" id="{00000000-0008-0000-0100-000070650000}"/>
            </a:ext>
          </a:extLst>
        </xdr:cNvPr>
        <xdr:cNvCxnSpPr>
          <a:cxnSpLocks noChangeShapeType="1"/>
        </xdr:cNvCxnSpPr>
      </xdr:nvCxnSpPr>
      <xdr:spPr bwMode="auto">
        <a:xfrm rot="5400000">
          <a:off x="6096000" y="2987040"/>
          <a:ext cx="457200" cy="0"/>
        </a:xfrm>
        <a:prstGeom prst="line">
          <a:avLst/>
        </a:prstGeom>
        <a:noFill/>
        <a:ln w="9525" algn="ctr">
          <a:solidFill>
            <a:srgbClr val="000000"/>
          </a:solidFill>
          <a:round/>
          <a:headEnd/>
          <a:tailEnd/>
        </a:ln>
      </xdr:spPr>
    </xdr:cxnSp>
    <xdr:clientData/>
  </xdr:twoCellAnchor>
  <xdr:twoCellAnchor>
    <xdr:from>
      <xdr:col>2</xdr:col>
      <xdr:colOff>1554480</xdr:colOff>
      <xdr:row>17</xdr:row>
      <xdr:rowOff>60960</xdr:rowOff>
    </xdr:from>
    <xdr:to>
      <xdr:col>3</xdr:col>
      <xdr:colOff>175260</xdr:colOff>
      <xdr:row>17</xdr:row>
      <xdr:rowOff>60960</xdr:rowOff>
    </xdr:to>
    <xdr:cxnSp macro="">
      <xdr:nvCxnSpPr>
        <xdr:cNvPr id="25969" name="Straight Connector 154">
          <a:extLst>
            <a:ext uri="{FF2B5EF4-FFF2-40B4-BE49-F238E27FC236}">
              <a16:creationId xmlns:a16="http://schemas.microsoft.com/office/drawing/2014/main" id="{00000000-0008-0000-0100-000071650000}"/>
            </a:ext>
          </a:extLst>
        </xdr:cNvPr>
        <xdr:cNvCxnSpPr>
          <a:cxnSpLocks noChangeShapeType="1"/>
        </xdr:cNvCxnSpPr>
      </xdr:nvCxnSpPr>
      <xdr:spPr bwMode="auto">
        <a:xfrm rot="10800000">
          <a:off x="2621280" y="3261360"/>
          <a:ext cx="617220" cy="0"/>
        </a:xfrm>
        <a:prstGeom prst="line">
          <a:avLst/>
        </a:prstGeom>
        <a:noFill/>
        <a:ln w="6350" algn="ctr">
          <a:solidFill>
            <a:srgbClr val="000000"/>
          </a:solidFill>
          <a:round/>
          <a:headEnd/>
          <a:tailEnd/>
        </a:ln>
      </xdr:spPr>
    </xdr:cxnSp>
    <xdr:clientData/>
  </xdr:twoCellAnchor>
  <xdr:twoCellAnchor>
    <xdr:from>
      <xdr:col>6</xdr:col>
      <xdr:colOff>449580</xdr:colOff>
      <xdr:row>17</xdr:row>
      <xdr:rowOff>15240</xdr:rowOff>
    </xdr:from>
    <xdr:to>
      <xdr:col>8</xdr:col>
      <xdr:colOff>137160</xdr:colOff>
      <xdr:row>17</xdr:row>
      <xdr:rowOff>15240</xdr:rowOff>
    </xdr:to>
    <xdr:cxnSp macro="">
      <xdr:nvCxnSpPr>
        <xdr:cNvPr id="25970" name="Straight Connector 156">
          <a:extLst>
            <a:ext uri="{FF2B5EF4-FFF2-40B4-BE49-F238E27FC236}">
              <a16:creationId xmlns:a16="http://schemas.microsoft.com/office/drawing/2014/main" id="{00000000-0008-0000-0100-000072650000}"/>
            </a:ext>
          </a:extLst>
        </xdr:cNvPr>
        <xdr:cNvCxnSpPr>
          <a:cxnSpLocks noChangeShapeType="1"/>
        </xdr:cNvCxnSpPr>
      </xdr:nvCxnSpPr>
      <xdr:spPr bwMode="auto">
        <a:xfrm>
          <a:off x="6324600" y="3215640"/>
          <a:ext cx="624840" cy="0"/>
        </a:xfrm>
        <a:prstGeom prst="line">
          <a:avLst/>
        </a:prstGeom>
        <a:noFill/>
        <a:ln w="6350" algn="ctr">
          <a:solidFill>
            <a:srgbClr val="000000"/>
          </a:solidFill>
          <a:round/>
          <a:headEnd/>
          <a:tailEnd/>
        </a:ln>
      </xdr:spPr>
    </xdr:cxnSp>
    <xdr:clientData/>
  </xdr:twoCellAnchor>
  <xdr:twoCellAnchor>
    <xdr:from>
      <xdr:col>3</xdr:col>
      <xdr:colOff>167640</xdr:colOff>
      <xdr:row>8</xdr:row>
      <xdr:rowOff>152400</xdr:rowOff>
    </xdr:from>
    <xdr:to>
      <xdr:col>6</xdr:col>
      <xdr:colOff>449580</xdr:colOff>
      <xdr:row>8</xdr:row>
      <xdr:rowOff>152400</xdr:rowOff>
    </xdr:to>
    <xdr:cxnSp macro="">
      <xdr:nvCxnSpPr>
        <xdr:cNvPr id="25971" name="Straight Arrow Connector 158">
          <a:extLst>
            <a:ext uri="{FF2B5EF4-FFF2-40B4-BE49-F238E27FC236}">
              <a16:creationId xmlns:a16="http://schemas.microsoft.com/office/drawing/2014/main" id="{00000000-0008-0000-0100-000073650000}"/>
            </a:ext>
          </a:extLst>
        </xdr:cNvPr>
        <xdr:cNvCxnSpPr>
          <a:cxnSpLocks noChangeShapeType="1"/>
        </xdr:cNvCxnSpPr>
      </xdr:nvCxnSpPr>
      <xdr:spPr bwMode="auto">
        <a:xfrm>
          <a:off x="3230880" y="1638300"/>
          <a:ext cx="3093720" cy="0"/>
        </a:xfrm>
        <a:prstGeom prst="straightConnector1">
          <a:avLst/>
        </a:prstGeom>
        <a:noFill/>
        <a:ln w="0" algn="ctr">
          <a:solidFill>
            <a:srgbClr val="000000"/>
          </a:solidFill>
          <a:round/>
          <a:headEnd type="stealth" w="sm" len="sm"/>
          <a:tailEnd type="stealth" w="sm" len="sm"/>
        </a:ln>
      </xdr:spPr>
    </xdr:cxnSp>
    <xdr:clientData/>
  </xdr:twoCellAnchor>
  <xdr:twoCellAnchor>
    <xdr:from>
      <xdr:col>4</xdr:col>
      <xdr:colOff>640080</xdr:colOff>
      <xdr:row>14</xdr:row>
      <xdr:rowOff>175260</xdr:rowOff>
    </xdr:from>
    <xdr:to>
      <xdr:col>4</xdr:col>
      <xdr:colOff>640080</xdr:colOff>
      <xdr:row>17</xdr:row>
      <xdr:rowOff>7620</xdr:rowOff>
    </xdr:to>
    <xdr:cxnSp macro="">
      <xdr:nvCxnSpPr>
        <xdr:cNvPr id="25975" name="Straight Arrow Connector 184">
          <a:extLst>
            <a:ext uri="{FF2B5EF4-FFF2-40B4-BE49-F238E27FC236}">
              <a16:creationId xmlns:a16="http://schemas.microsoft.com/office/drawing/2014/main" id="{00000000-0008-0000-0100-000077650000}"/>
            </a:ext>
          </a:extLst>
        </xdr:cNvPr>
        <xdr:cNvCxnSpPr>
          <a:cxnSpLocks noChangeShapeType="1"/>
        </xdr:cNvCxnSpPr>
      </xdr:nvCxnSpPr>
      <xdr:spPr bwMode="auto">
        <a:xfrm rot="5400000">
          <a:off x="4705350" y="3006090"/>
          <a:ext cx="403860" cy="0"/>
        </a:xfrm>
        <a:prstGeom prst="straightConnector1">
          <a:avLst/>
        </a:prstGeom>
        <a:noFill/>
        <a:ln w="3175" algn="ctr">
          <a:solidFill>
            <a:srgbClr val="000000"/>
          </a:solidFill>
          <a:round/>
          <a:headEnd type="stealth" w="sm" len="sm"/>
          <a:tailEnd type="stealth" w="sm" len="sm"/>
        </a:ln>
      </xdr:spPr>
    </xdr:cxnSp>
    <xdr:clientData/>
  </xdr:twoCellAnchor>
  <xdr:twoCellAnchor>
    <xdr:from>
      <xdr:col>2</xdr:col>
      <xdr:colOff>1668780</xdr:colOff>
      <xdr:row>17</xdr:row>
      <xdr:rowOff>60960</xdr:rowOff>
    </xdr:from>
    <xdr:to>
      <xdr:col>2</xdr:col>
      <xdr:colOff>1729740</xdr:colOff>
      <xdr:row>17</xdr:row>
      <xdr:rowOff>160020</xdr:rowOff>
    </xdr:to>
    <xdr:cxnSp macro="">
      <xdr:nvCxnSpPr>
        <xdr:cNvPr id="25976" name="Straight Connector 90">
          <a:extLst>
            <a:ext uri="{FF2B5EF4-FFF2-40B4-BE49-F238E27FC236}">
              <a16:creationId xmlns:a16="http://schemas.microsoft.com/office/drawing/2014/main" id="{00000000-0008-0000-0100-000078650000}"/>
            </a:ext>
          </a:extLst>
        </xdr:cNvPr>
        <xdr:cNvCxnSpPr>
          <a:cxnSpLocks noChangeShapeType="1"/>
        </xdr:cNvCxnSpPr>
      </xdr:nvCxnSpPr>
      <xdr:spPr bwMode="auto">
        <a:xfrm rot="5400000">
          <a:off x="2716530" y="3280410"/>
          <a:ext cx="99060" cy="60960"/>
        </a:xfrm>
        <a:prstGeom prst="line">
          <a:avLst/>
        </a:prstGeom>
        <a:noFill/>
        <a:ln w="3175" algn="ctr">
          <a:solidFill>
            <a:srgbClr val="000000"/>
          </a:solidFill>
          <a:round/>
          <a:headEnd/>
          <a:tailEnd/>
        </a:ln>
      </xdr:spPr>
    </xdr:cxnSp>
    <xdr:clientData/>
  </xdr:twoCellAnchor>
  <xdr:twoCellAnchor>
    <xdr:from>
      <xdr:col>2</xdr:col>
      <xdr:colOff>1699260</xdr:colOff>
      <xdr:row>17</xdr:row>
      <xdr:rowOff>60960</xdr:rowOff>
    </xdr:from>
    <xdr:to>
      <xdr:col>2</xdr:col>
      <xdr:colOff>1752600</xdr:colOff>
      <xdr:row>17</xdr:row>
      <xdr:rowOff>152400</xdr:rowOff>
    </xdr:to>
    <xdr:cxnSp macro="">
      <xdr:nvCxnSpPr>
        <xdr:cNvPr id="25977" name="Straight Connector 92">
          <a:extLst>
            <a:ext uri="{FF2B5EF4-FFF2-40B4-BE49-F238E27FC236}">
              <a16:creationId xmlns:a16="http://schemas.microsoft.com/office/drawing/2014/main" id="{00000000-0008-0000-0100-000079650000}"/>
            </a:ext>
          </a:extLst>
        </xdr:cNvPr>
        <xdr:cNvCxnSpPr>
          <a:cxnSpLocks noChangeShapeType="1"/>
        </xdr:cNvCxnSpPr>
      </xdr:nvCxnSpPr>
      <xdr:spPr bwMode="auto">
        <a:xfrm rot="5400000">
          <a:off x="2747010" y="3280410"/>
          <a:ext cx="91440" cy="53340"/>
        </a:xfrm>
        <a:prstGeom prst="line">
          <a:avLst/>
        </a:prstGeom>
        <a:noFill/>
        <a:ln w="3175" algn="ctr">
          <a:solidFill>
            <a:srgbClr val="000000"/>
          </a:solidFill>
          <a:round/>
          <a:headEnd/>
          <a:tailEnd/>
        </a:ln>
      </xdr:spPr>
    </xdr:cxnSp>
    <xdr:clientData/>
  </xdr:twoCellAnchor>
  <xdr:twoCellAnchor>
    <xdr:from>
      <xdr:col>2</xdr:col>
      <xdr:colOff>1722120</xdr:colOff>
      <xdr:row>17</xdr:row>
      <xdr:rowOff>68580</xdr:rowOff>
    </xdr:from>
    <xdr:to>
      <xdr:col>2</xdr:col>
      <xdr:colOff>1775460</xdr:colOff>
      <xdr:row>17</xdr:row>
      <xdr:rowOff>160020</xdr:rowOff>
    </xdr:to>
    <xdr:cxnSp macro="">
      <xdr:nvCxnSpPr>
        <xdr:cNvPr id="25978" name="Straight Connector 93">
          <a:extLst>
            <a:ext uri="{FF2B5EF4-FFF2-40B4-BE49-F238E27FC236}">
              <a16:creationId xmlns:a16="http://schemas.microsoft.com/office/drawing/2014/main" id="{00000000-0008-0000-0100-00007A650000}"/>
            </a:ext>
          </a:extLst>
        </xdr:cNvPr>
        <xdr:cNvCxnSpPr>
          <a:cxnSpLocks noChangeShapeType="1"/>
        </xdr:cNvCxnSpPr>
      </xdr:nvCxnSpPr>
      <xdr:spPr bwMode="auto">
        <a:xfrm rot="5400000">
          <a:off x="2769870" y="3288030"/>
          <a:ext cx="91440" cy="53340"/>
        </a:xfrm>
        <a:prstGeom prst="line">
          <a:avLst/>
        </a:prstGeom>
        <a:noFill/>
        <a:ln w="3175" algn="ctr">
          <a:solidFill>
            <a:srgbClr val="000000"/>
          </a:solidFill>
          <a:round/>
          <a:headEnd/>
          <a:tailEnd/>
        </a:ln>
      </xdr:spPr>
    </xdr:cxnSp>
    <xdr:clientData/>
  </xdr:twoCellAnchor>
  <xdr:twoCellAnchor>
    <xdr:from>
      <xdr:col>2</xdr:col>
      <xdr:colOff>1859280</xdr:colOff>
      <xdr:row>17</xdr:row>
      <xdr:rowOff>60960</xdr:rowOff>
    </xdr:from>
    <xdr:to>
      <xdr:col>2</xdr:col>
      <xdr:colOff>1912620</xdr:colOff>
      <xdr:row>17</xdr:row>
      <xdr:rowOff>160020</xdr:rowOff>
    </xdr:to>
    <xdr:cxnSp macro="">
      <xdr:nvCxnSpPr>
        <xdr:cNvPr id="25979" name="Straight Connector 99">
          <a:extLst>
            <a:ext uri="{FF2B5EF4-FFF2-40B4-BE49-F238E27FC236}">
              <a16:creationId xmlns:a16="http://schemas.microsoft.com/office/drawing/2014/main" id="{00000000-0008-0000-0100-00007B650000}"/>
            </a:ext>
          </a:extLst>
        </xdr:cNvPr>
        <xdr:cNvCxnSpPr>
          <a:cxnSpLocks noChangeShapeType="1"/>
        </xdr:cNvCxnSpPr>
      </xdr:nvCxnSpPr>
      <xdr:spPr bwMode="auto">
        <a:xfrm rot="5400000">
          <a:off x="2903220" y="3284220"/>
          <a:ext cx="99060" cy="53340"/>
        </a:xfrm>
        <a:prstGeom prst="line">
          <a:avLst/>
        </a:prstGeom>
        <a:noFill/>
        <a:ln w="3175" algn="ctr">
          <a:solidFill>
            <a:srgbClr val="000000"/>
          </a:solidFill>
          <a:round/>
          <a:headEnd/>
          <a:tailEnd/>
        </a:ln>
      </xdr:spPr>
    </xdr:cxnSp>
    <xdr:clientData/>
  </xdr:twoCellAnchor>
  <xdr:twoCellAnchor>
    <xdr:from>
      <xdr:col>2</xdr:col>
      <xdr:colOff>1897380</xdr:colOff>
      <xdr:row>17</xdr:row>
      <xdr:rowOff>60960</xdr:rowOff>
    </xdr:from>
    <xdr:to>
      <xdr:col>2</xdr:col>
      <xdr:colOff>1950720</xdr:colOff>
      <xdr:row>17</xdr:row>
      <xdr:rowOff>152400</xdr:rowOff>
    </xdr:to>
    <xdr:cxnSp macro="">
      <xdr:nvCxnSpPr>
        <xdr:cNvPr id="25980" name="Straight Connector 100">
          <a:extLst>
            <a:ext uri="{FF2B5EF4-FFF2-40B4-BE49-F238E27FC236}">
              <a16:creationId xmlns:a16="http://schemas.microsoft.com/office/drawing/2014/main" id="{00000000-0008-0000-0100-00007C650000}"/>
            </a:ext>
          </a:extLst>
        </xdr:cNvPr>
        <xdr:cNvCxnSpPr>
          <a:cxnSpLocks noChangeShapeType="1"/>
        </xdr:cNvCxnSpPr>
      </xdr:nvCxnSpPr>
      <xdr:spPr bwMode="auto">
        <a:xfrm rot="5400000">
          <a:off x="2945130" y="3280410"/>
          <a:ext cx="91440" cy="53340"/>
        </a:xfrm>
        <a:prstGeom prst="line">
          <a:avLst/>
        </a:prstGeom>
        <a:noFill/>
        <a:ln w="3175" algn="ctr">
          <a:solidFill>
            <a:srgbClr val="000000"/>
          </a:solidFill>
          <a:round/>
          <a:headEnd/>
          <a:tailEnd/>
        </a:ln>
      </xdr:spPr>
    </xdr:cxnSp>
    <xdr:clientData/>
  </xdr:twoCellAnchor>
  <xdr:twoCellAnchor>
    <xdr:from>
      <xdr:col>2</xdr:col>
      <xdr:colOff>1920240</xdr:colOff>
      <xdr:row>17</xdr:row>
      <xdr:rowOff>68580</xdr:rowOff>
    </xdr:from>
    <xdr:to>
      <xdr:col>2</xdr:col>
      <xdr:colOff>1981200</xdr:colOff>
      <xdr:row>17</xdr:row>
      <xdr:rowOff>160020</xdr:rowOff>
    </xdr:to>
    <xdr:cxnSp macro="">
      <xdr:nvCxnSpPr>
        <xdr:cNvPr id="25981" name="Straight Connector 101">
          <a:extLst>
            <a:ext uri="{FF2B5EF4-FFF2-40B4-BE49-F238E27FC236}">
              <a16:creationId xmlns:a16="http://schemas.microsoft.com/office/drawing/2014/main" id="{00000000-0008-0000-0100-00007D650000}"/>
            </a:ext>
          </a:extLst>
        </xdr:cNvPr>
        <xdr:cNvCxnSpPr>
          <a:cxnSpLocks noChangeShapeType="1"/>
        </xdr:cNvCxnSpPr>
      </xdr:nvCxnSpPr>
      <xdr:spPr bwMode="auto">
        <a:xfrm rot="5400000">
          <a:off x="2971800" y="3284220"/>
          <a:ext cx="91440" cy="60960"/>
        </a:xfrm>
        <a:prstGeom prst="line">
          <a:avLst/>
        </a:prstGeom>
        <a:noFill/>
        <a:ln w="3175" algn="ctr">
          <a:solidFill>
            <a:srgbClr val="000000"/>
          </a:solidFill>
          <a:round/>
          <a:headEnd/>
          <a:tailEnd/>
        </a:ln>
      </xdr:spPr>
    </xdr:cxnSp>
    <xdr:clientData/>
  </xdr:twoCellAnchor>
  <xdr:twoCellAnchor>
    <xdr:from>
      <xdr:col>2</xdr:col>
      <xdr:colOff>1950720</xdr:colOff>
      <xdr:row>17</xdr:row>
      <xdr:rowOff>68580</xdr:rowOff>
    </xdr:from>
    <xdr:to>
      <xdr:col>2</xdr:col>
      <xdr:colOff>2021840</xdr:colOff>
      <xdr:row>17</xdr:row>
      <xdr:rowOff>160020</xdr:rowOff>
    </xdr:to>
    <xdr:cxnSp macro="">
      <xdr:nvCxnSpPr>
        <xdr:cNvPr id="25982" name="Straight Connector 102">
          <a:extLst>
            <a:ext uri="{FF2B5EF4-FFF2-40B4-BE49-F238E27FC236}">
              <a16:creationId xmlns:a16="http://schemas.microsoft.com/office/drawing/2014/main" id="{00000000-0008-0000-0100-00007E650000}"/>
            </a:ext>
          </a:extLst>
        </xdr:cNvPr>
        <xdr:cNvCxnSpPr>
          <a:cxnSpLocks noChangeShapeType="1"/>
        </xdr:cNvCxnSpPr>
      </xdr:nvCxnSpPr>
      <xdr:spPr bwMode="auto">
        <a:xfrm rot="5400000">
          <a:off x="3007360" y="3949700"/>
          <a:ext cx="91440" cy="71120"/>
        </a:xfrm>
        <a:prstGeom prst="line">
          <a:avLst/>
        </a:prstGeom>
        <a:noFill/>
        <a:ln w="3175" algn="ctr">
          <a:solidFill>
            <a:srgbClr val="000000"/>
          </a:solidFill>
          <a:round/>
          <a:headEnd/>
          <a:tailEnd/>
        </a:ln>
      </xdr:spPr>
    </xdr:cxnSp>
    <xdr:clientData/>
  </xdr:twoCellAnchor>
  <xdr:twoCellAnchor>
    <xdr:from>
      <xdr:col>2</xdr:col>
      <xdr:colOff>1805940</xdr:colOff>
      <xdr:row>17</xdr:row>
      <xdr:rowOff>83820</xdr:rowOff>
    </xdr:from>
    <xdr:to>
      <xdr:col>2</xdr:col>
      <xdr:colOff>1897380</xdr:colOff>
      <xdr:row>17</xdr:row>
      <xdr:rowOff>83820</xdr:rowOff>
    </xdr:to>
    <xdr:cxnSp macro="">
      <xdr:nvCxnSpPr>
        <xdr:cNvPr id="25983" name="Straight Connector 104">
          <a:extLst>
            <a:ext uri="{FF2B5EF4-FFF2-40B4-BE49-F238E27FC236}">
              <a16:creationId xmlns:a16="http://schemas.microsoft.com/office/drawing/2014/main" id="{00000000-0008-0000-0100-00007F650000}"/>
            </a:ext>
          </a:extLst>
        </xdr:cNvPr>
        <xdr:cNvCxnSpPr>
          <a:cxnSpLocks noChangeShapeType="1"/>
        </xdr:cNvCxnSpPr>
      </xdr:nvCxnSpPr>
      <xdr:spPr bwMode="auto">
        <a:xfrm>
          <a:off x="2872740" y="3284220"/>
          <a:ext cx="91440" cy="0"/>
        </a:xfrm>
        <a:prstGeom prst="line">
          <a:avLst/>
        </a:prstGeom>
        <a:noFill/>
        <a:ln w="3175" algn="ctr">
          <a:solidFill>
            <a:srgbClr val="000000"/>
          </a:solidFill>
          <a:round/>
          <a:headEnd/>
          <a:tailEnd/>
        </a:ln>
      </xdr:spPr>
    </xdr:cxnSp>
    <xdr:clientData/>
  </xdr:twoCellAnchor>
  <xdr:twoCellAnchor>
    <xdr:from>
      <xdr:col>2</xdr:col>
      <xdr:colOff>1790700</xdr:colOff>
      <xdr:row>17</xdr:row>
      <xdr:rowOff>106680</xdr:rowOff>
    </xdr:from>
    <xdr:to>
      <xdr:col>2</xdr:col>
      <xdr:colOff>1882140</xdr:colOff>
      <xdr:row>17</xdr:row>
      <xdr:rowOff>106680</xdr:rowOff>
    </xdr:to>
    <xdr:cxnSp macro="">
      <xdr:nvCxnSpPr>
        <xdr:cNvPr id="25984" name="Straight Connector 107">
          <a:extLst>
            <a:ext uri="{FF2B5EF4-FFF2-40B4-BE49-F238E27FC236}">
              <a16:creationId xmlns:a16="http://schemas.microsoft.com/office/drawing/2014/main" id="{00000000-0008-0000-0100-000080650000}"/>
            </a:ext>
          </a:extLst>
        </xdr:cNvPr>
        <xdr:cNvCxnSpPr>
          <a:cxnSpLocks noChangeShapeType="1"/>
        </xdr:cNvCxnSpPr>
      </xdr:nvCxnSpPr>
      <xdr:spPr bwMode="auto">
        <a:xfrm>
          <a:off x="2857500" y="3307080"/>
          <a:ext cx="91440" cy="0"/>
        </a:xfrm>
        <a:prstGeom prst="line">
          <a:avLst/>
        </a:prstGeom>
        <a:noFill/>
        <a:ln w="3175" algn="ctr">
          <a:solidFill>
            <a:srgbClr val="000000"/>
          </a:solidFill>
          <a:round/>
          <a:headEnd/>
          <a:tailEnd/>
        </a:ln>
      </xdr:spPr>
    </xdr:cxnSp>
    <xdr:clientData/>
  </xdr:twoCellAnchor>
  <xdr:twoCellAnchor>
    <xdr:from>
      <xdr:col>2</xdr:col>
      <xdr:colOff>1767840</xdr:colOff>
      <xdr:row>17</xdr:row>
      <xdr:rowOff>160020</xdr:rowOff>
    </xdr:from>
    <xdr:to>
      <xdr:col>2</xdr:col>
      <xdr:colOff>1859280</xdr:colOff>
      <xdr:row>17</xdr:row>
      <xdr:rowOff>160020</xdr:rowOff>
    </xdr:to>
    <xdr:cxnSp macro="">
      <xdr:nvCxnSpPr>
        <xdr:cNvPr id="25985" name="Straight Connector 111">
          <a:extLst>
            <a:ext uri="{FF2B5EF4-FFF2-40B4-BE49-F238E27FC236}">
              <a16:creationId xmlns:a16="http://schemas.microsoft.com/office/drawing/2014/main" id="{00000000-0008-0000-0100-000081650000}"/>
            </a:ext>
          </a:extLst>
        </xdr:cNvPr>
        <xdr:cNvCxnSpPr>
          <a:cxnSpLocks noChangeShapeType="1"/>
        </xdr:cNvCxnSpPr>
      </xdr:nvCxnSpPr>
      <xdr:spPr bwMode="auto">
        <a:xfrm>
          <a:off x="2834640" y="3360420"/>
          <a:ext cx="91440" cy="0"/>
        </a:xfrm>
        <a:prstGeom prst="line">
          <a:avLst/>
        </a:prstGeom>
        <a:noFill/>
        <a:ln w="3175" algn="ctr">
          <a:solidFill>
            <a:srgbClr val="000000"/>
          </a:solidFill>
          <a:round/>
          <a:headEnd/>
          <a:tailEnd/>
        </a:ln>
      </xdr:spPr>
    </xdr:cxnSp>
    <xdr:clientData/>
  </xdr:twoCellAnchor>
  <xdr:twoCellAnchor>
    <xdr:from>
      <xdr:col>2</xdr:col>
      <xdr:colOff>1775460</xdr:colOff>
      <xdr:row>17</xdr:row>
      <xdr:rowOff>137160</xdr:rowOff>
    </xdr:from>
    <xdr:to>
      <xdr:col>2</xdr:col>
      <xdr:colOff>1874520</xdr:colOff>
      <xdr:row>17</xdr:row>
      <xdr:rowOff>137160</xdr:rowOff>
    </xdr:to>
    <xdr:cxnSp macro="">
      <xdr:nvCxnSpPr>
        <xdr:cNvPr id="25986" name="Straight Connector 113">
          <a:extLst>
            <a:ext uri="{FF2B5EF4-FFF2-40B4-BE49-F238E27FC236}">
              <a16:creationId xmlns:a16="http://schemas.microsoft.com/office/drawing/2014/main" id="{00000000-0008-0000-0100-000082650000}"/>
            </a:ext>
          </a:extLst>
        </xdr:cNvPr>
        <xdr:cNvCxnSpPr>
          <a:cxnSpLocks noChangeShapeType="1"/>
        </xdr:cNvCxnSpPr>
      </xdr:nvCxnSpPr>
      <xdr:spPr bwMode="auto">
        <a:xfrm>
          <a:off x="2842260" y="3337560"/>
          <a:ext cx="99060" cy="0"/>
        </a:xfrm>
        <a:prstGeom prst="line">
          <a:avLst/>
        </a:prstGeom>
        <a:noFill/>
        <a:ln w="3175" algn="ctr">
          <a:solidFill>
            <a:srgbClr val="000000"/>
          </a:solidFill>
          <a:round/>
          <a:headEnd/>
          <a:tailEnd/>
        </a:ln>
      </xdr:spPr>
    </xdr:cxnSp>
    <xdr:clientData/>
  </xdr:twoCellAnchor>
  <xdr:twoCellAnchor>
    <xdr:from>
      <xdr:col>6</xdr:col>
      <xdr:colOff>802640</xdr:colOff>
      <xdr:row>17</xdr:row>
      <xdr:rowOff>15240</xdr:rowOff>
    </xdr:from>
    <xdr:to>
      <xdr:col>7</xdr:col>
      <xdr:colOff>30480</xdr:colOff>
      <xdr:row>17</xdr:row>
      <xdr:rowOff>101600</xdr:rowOff>
    </xdr:to>
    <xdr:cxnSp macro="">
      <xdr:nvCxnSpPr>
        <xdr:cNvPr id="25987" name="Straight Connector 90">
          <a:extLst>
            <a:ext uri="{FF2B5EF4-FFF2-40B4-BE49-F238E27FC236}">
              <a16:creationId xmlns:a16="http://schemas.microsoft.com/office/drawing/2014/main" id="{00000000-0008-0000-0100-000083650000}"/>
            </a:ext>
          </a:extLst>
        </xdr:cNvPr>
        <xdr:cNvCxnSpPr>
          <a:cxnSpLocks noChangeShapeType="1"/>
        </xdr:cNvCxnSpPr>
      </xdr:nvCxnSpPr>
      <xdr:spPr bwMode="auto">
        <a:xfrm rot="5400000">
          <a:off x="6922770" y="3900170"/>
          <a:ext cx="86360" cy="58420"/>
        </a:xfrm>
        <a:prstGeom prst="line">
          <a:avLst/>
        </a:prstGeom>
        <a:noFill/>
        <a:ln w="3175" algn="ctr">
          <a:solidFill>
            <a:srgbClr val="000000"/>
          </a:solidFill>
          <a:round/>
          <a:headEnd/>
          <a:tailEnd/>
        </a:ln>
      </xdr:spPr>
    </xdr:cxnSp>
    <xdr:clientData/>
  </xdr:twoCellAnchor>
  <xdr:twoCellAnchor>
    <xdr:from>
      <xdr:col>7</xdr:col>
      <xdr:colOff>0</xdr:colOff>
      <xdr:row>17</xdr:row>
      <xdr:rowOff>15240</xdr:rowOff>
    </xdr:from>
    <xdr:to>
      <xdr:col>7</xdr:col>
      <xdr:colOff>53340</xdr:colOff>
      <xdr:row>17</xdr:row>
      <xdr:rowOff>106680</xdr:rowOff>
    </xdr:to>
    <xdr:cxnSp macro="">
      <xdr:nvCxnSpPr>
        <xdr:cNvPr id="25988" name="Straight Connector 92">
          <a:extLst>
            <a:ext uri="{FF2B5EF4-FFF2-40B4-BE49-F238E27FC236}">
              <a16:creationId xmlns:a16="http://schemas.microsoft.com/office/drawing/2014/main" id="{00000000-0008-0000-0100-000084650000}"/>
            </a:ext>
          </a:extLst>
        </xdr:cNvPr>
        <xdr:cNvCxnSpPr>
          <a:cxnSpLocks noChangeShapeType="1"/>
        </xdr:cNvCxnSpPr>
      </xdr:nvCxnSpPr>
      <xdr:spPr bwMode="auto">
        <a:xfrm rot="5400000">
          <a:off x="6587490" y="3234690"/>
          <a:ext cx="91440" cy="53340"/>
        </a:xfrm>
        <a:prstGeom prst="line">
          <a:avLst/>
        </a:prstGeom>
        <a:noFill/>
        <a:ln w="3175" algn="ctr">
          <a:solidFill>
            <a:srgbClr val="000000"/>
          </a:solidFill>
          <a:round/>
          <a:headEnd/>
          <a:tailEnd/>
        </a:ln>
      </xdr:spPr>
    </xdr:cxnSp>
    <xdr:clientData/>
  </xdr:twoCellAnchor>
  <xdr:twoCellAnchor>
    <xdr:from>
      <xdr:col>7</xdr:col>
      <xdr:colOff>22860</xdr:colOff>
      <xdr:row>17</xdr:row>
      <xdr:rowOff>22860</xdr:rowOff>
    </xdr:from>
    <xdr:to>
      <xdr:col>7</xdr:col>
      <xdr:colOff>76200</xdr:colOff>
      <xdr:row>17</xdr:row>
      <xdr:rowOff>114300</xdr:rowOff>
    </xdr:to>
    <xdr:cxnSp macro="">
      <xdr:nvCxnSpPr>
        <xdr:cNvPr id="25989" name="Straight Connector 93">
          <a:extLst>
            <a:ext uri="{FF2B5EF4-FFF2-40B4-BE49-F238E27FC236}">
              <a16:creationId xmlns:a16="http://schemas.microsoft.com/office/drawing/2014/main" id="{00000000-0008-0000-0100-000085650000}"/>
            </a:ext>
          </a:extLst>
        </xdr:cNvPr>
        <xdr:cNvCxnSpPr>
          <a:cxnSpLocks noChangeShapeType="1"/>
        </xdr:cNvCxnSpPr>
      </xdr:nvCxnSpPr>
      <xdr:spPr bwMode="auto">
        <a:xfrm rot="5400000">
          <a:off x="6610350" y="3242310"/>
          <a:ext cx="91440" cy="53340"/>
        </a:xfrm>
        <a:prstGeom prst="line">
          <a:avLst/>
        </a:prstGeom>
        <a:noFill/>
        <a:ln w="3175" algn="ctr">
          <a:solidFill>
            <a:srgbClr val="000000"/>
          </a:solidFill>
          <a:round/>
          <a:headEnd/>
          <a:tailEnd/>
        </a:ln>
      </xdr:spPr>
    </xdr:cxnSp>
    <xdr:clientData/>
  </xdr:twoCellAnchor>
  <xdr:twoCellAnchor>
    <xdr:from>
      <xdr:col>7</xdr:col>
      <xdr:colOff>167640</xdr:colOff>
      <xdr:row>17</xdr:row>
      <xdr:rowOff>15240</xdr:rowOff>
    </xdr:from>
    <xdr:to>
      <xdr:col>8</xdr:col>
      <xdr:colOff>15240</xdr:colOff>
      <xdr:row>17</xdr:row>
      <xdr:rowOff>114300</xdr:rowOff>
    </xdr:to>
    <xdr:cxnSp macro="">
      <xdr:nvCxnSpPr>
        <xdr:cNvPr id="25990" name="Straight Connector 99">
          <a:extLst>
            <a:ext uri="{FF2B5EF4-FFF2-40B4-BE49-F238E27FC236}">
              <a16:creationId xmlns:a16="http://schemas.microsoft.com/office/drawing/2014/main" id="{00000000-0008-0000-0100-000086650000}"/>
            </a:ext>
          </a:extLst>
        </xdr:cNvPr>
        <xdr:cNvCxnSpPr>
          <a:cxnSpLocks noChangeShapeType="1"/>
        </xdr:cNvCxnSpPr>
      </xdr:nvCxnSpPr>
      <xdr:spPr bwMode="auto">
        <a:xfrm rot="5400000">
          <a:off x="6751320" y="3238500"/>
          <a:ext cx="99060" cy="53340"/>
        </a:xfrm>
        <a:prstGeom prst="line">
          <a:avLst/>
        </a:prstGeom>
        <a:noFill/>
        <a:ln w="3175" algn="ctr">
          <a:solidFill>
            <a:srgbClr val="000000"/>
          </a:solidFill>
          <a:round/>
          <a:headEnd/>
          <a:tailEnd/>
        </a:ln>
      </xdr:spPr>
    </xdr:cxnSp>
    <xdr:clientData/>
  </xdr:twoCellAnchor>
  <xdr:twoCellAnchor>
    <xdr:from>
      <xdr:col>7</xdr:col>
      <xdr:colOff>198120</xdr:colOff>
      <xdr:row>17</xdr:row>
      <xdr:rowOff>15240</xdr:rowOff>
    </xdr:from>
    <xdr:to>
      <xdr:col>8</xdr:col>
      <xdr:colOff>45720</xdr:colOff>
      <xdr:row>17</xdr:row>
      <xdr:rowOff>106680</xdr:rowOff>
    </xdr:to>
    <xdr:cxnSp macro="">
      <xdr:nvCxnSpPr>
        <xdr:cNvPr id="25991" name="Straight Connector 100">
          <a:extLst>
            <a:ext uri="{FF2B5EF4-FFF2-40B4-BE49-F238E27FC236}">
              <a16:creationId xmlns:a16="http://schemas.microsoft.com/office/drawing/2014/main" id="{00000000-0008-0000-0100-000087650000}"/>
            </a:ext>
          </a:extLst>
        </xdr:cNvPr>
        <xdr:cNvCxnSpPr>
          <a:cxnSpLocks noChangeShapeType="1"/>
        </xdr:cNvCxnSpPr>
      </xdr:nvCxnSpPr>
      <xdr:spPr bwMode="auto">
        <a:xfrm rot="5400000">
          <a:off x="6785610" y="3234690"/>
          <a:ext cx="91440" cy="53340"/>
        </a:xfrm>
        <a:prstGeom prst="line">
          <a:avLst/>
        </a:prstGeom>
        <a:noFill/>
        <a:ln w="3175" algn="ctr">
          <a:solidFill>
            <a:srgbClr val="000000"/>
          </a:solidFill>
          <a:round/>
          <a:headEnd/>
          <a:tailEnd/>
        </a:ln>
      </xdr:spPr>
    </xdr:cxnSp>
    <xdr:clientData/>
  </xdr:twoCellAnchor>
  <xdr:twoCellAnchor>
    <xdr:from>
      <xdr:col>8</xdr:col>
      <xdr:colOff>15240</xdr:colOff>
      <xdr:row>17</xdr:row>
      <xdr:rowOff>22860</xdr:rowOff>
    </xdr:from>
    <xdr:to>
      <xdr:col>8</xdr:col>
      <xdr:colOff>76200</xdr:colOff>
      <xdr:row>17</xdr:row>
      <xdr:rowOff>114300</xdr:rowOff>
    </xdr:to>
    <xdr:cxnSp macro="">
      <xdr:nvCxnSpPr>
        <xdr:cNvPr id="25992" name="Straight Connector 101">
          <a:extLst>
            <a:ext uri="{FF2B5EF4-FFF2-40B4-BE49-F238E27FC236}">
              <a16:creationId xmlns:a16="http://schemas.microsoft.com/office/drawing/2014/main" id="{00000000-0008-0000-0100-000088650000}"/>
            </a:ext>
          </a:extLst>
        </xdr:cNvPr>
        <xdr:cNvCxnSpPr>
          <a:cxnSpLocks noChangeShapeType="1"/>
        </xdr:cNvCxnSpPr>
      </xdr:nvCxnSpPr>
      <xdr:spPr bwMode="auto">
        <a:xfrm rot="5400000">
          <a:off x="6812280" y="3238500"/>
          <a:ext cx="91440" cy="60960"/>
        </a:xfrm>
        <a:prstGeom prst="line">
          <a:avLst/>
        </a:prstGeom>
        <a:noFill/>
        <a:ln w="3175" algn="ctr">
          <a:solidFill>
            <a:srgbClr val="000000"/>
          </a:solidFill>
          <a:round/>
          <a:headEnd/>
          <a:tailEnd/>
        </a:ln>
      </xdr:spPr>
    </xdr:cxnSp>
    <xdr:clientData/>
  </xdr:twoCellAnchor>
  <xdr:twoCellAnchor>
    <xdr:from>
      <xdr:col>8</xdr:col>
      <xdr:colOff>45720</xdr:colOff>
      <xdr:row>17</xdr:row>
      <xdr:rowOff>22860</xdr:rowOff>
    </xdr:from>
    <xdr:to>
      <xdr:col>8</xdr:col>
      <xdr:colOff>99060</xdr:colOff>
      <xdr:row>17</xdr:row>
      <xdr:rowOff>114300</xdr:rowOff>
    </xdr:to>
    <xdr:cxnSp macro="">
      <xdr:nvCxnSpPr>
        <xdr:cNvPr id="25993" name="Straight Connector 102">
          <a:extLst>
            <a:ext uri="{FF2B5EF4-FFF2-40B4-BE49-F238E27FC236}">
              <a16:creationId xmlns:a16="http://schemas.microsoft.com/office/drawing/2014/main" id="{00000000-0008-0000-0100-000089650000}"/>
            </a:ext>
          </a:extLst>
        </xdr:cNvPr>
        <xdr:cNvCxnSpPr>
          <a:cxnSpLocks noChangeShapeType="1"/>
        </xdr:cNvCxnSpPr>
      </xdr:nvCxnSpPr>
      <xdr:spPr bwMode="auto">
        <a:xfrm rot="5400000">
          <a:off x="6838950" y="3242310"/>
          <a:ext cx="91440" cy="53340"/>
        </a:xfrm>
        <a:prstGeom prst="line">
          <a:avLst/>
        </a:prstGeom>
        <a:noFill/>
        <a:ln w="3175" algn="ctr">
          <a:solidFill>
            <a:srgbClr val="000000"/>
          </a:solidFill>
          <a:round/>
          <a:headEnd/>
          <a:tailEnd/>
        </a:ln>
      </xdr:spPr>
    </xdr:cxnSp>
    <xdr:clientData/>
  </xdr:twoCellAnchor>
  <xdr:twoCellAnchor>
    <xdr:from>
      <xdr:col>7</xdr:col>
      <xdr:colOff>106680</xdr:colOff>
      <xdr:row>17</xdr:row>
      <xdr:rowOff>38100</xdr:rowOff>
    </xdr:from>
    <xdr:to>
      <xdr:col>7</xdr:col>
      <xdr:colOff>198120</xdr:colOff>
      <xdr:row>17</xdr:row>
      <xdr:rowOff>38100</xdr:rowOff>
    </xdr:to>
    <xdr:cxnSp macro="">
      <xdr:nvCxnSpPr>
        <xdr:cNvPr id="25994" name="Straight Connector 104">
          <a:extLst>
            <a:ext uri="{FF2B5EF4-FFF2-40B4-BE49-F238E27FC236}">
              <a16:creationId xmlns:a16="http://schemas.microsoft.com/office/drawing/2014/main" id="{00000000-0008-0000-0100-00008A650000}"/>
            </a:ext>
          </a:extLst>
        </xdr:cNvPr>
        <xdr:cNvCxnSpPr>
          <a:cxnSpLocks noChangeShapeType="1"/>
        </xdr:cNvCxnSpPr>
      </xdr:nvCxnSpPr>
      <xdr:spPr bwMode="auto">
        <a:xfrm>
          <a:off x="6713220" y="3238500"/>
          <a:ext cx="91440" cy="0"/>
        </a:xfrm>
        <a:prstGeom prst="line">
          <a:avLst/>
        </a:prstGeom>
        <a:noFill/>
        <a:ln w="3175" algn="ctr">
          <a:solidFill>
            <a:srgbClr val="000000"/>
          </a:solidFill>
          <a:round/>
          <a:headEnd/>
          <a:tailEnd/>
        </a:ln>
      </xdr:spPr>
    </xdr:cxnSp>
    <xdr:clientData/>
  </xdr:twoCellAnchor>
  <xdr:twoCellAnchor>
    <xdr:from>
      <xdr:col>7</xdr:col>
      <xdr:colOff>91440</xdr:colOff>
      <xdr:row>17</xdr:row>
      <xdr:rowOff>60960</xdr:rowOff>
    </xdr:from>
    <xdr:to>
      <xdr:col>7</xdr:col>
      <xdr:colOff>182880</xdr:colOff>
      <xdr:row>17</xdr:row>
      <xdr:rowOff>60960</xdr:rowOff>
    </xdr:to>
    <xdr:cxnSp macro="">
      <xdr:nvCxnSpPr>
        <xdr:cNvPr id="25995" name="Straight Connector 107">
          <a:extLst>
            <a:ext uri="{FF2B5EF4-FFF2-40B4-BE49-F238E27FC236}">
              <a16:creationId xmlns:a16="http://schemas.microsoft.com/office/drawing/2014/main" id="{00000000-0008-0000-0100-00008B650000}"/>
            </a:ext>
          </a:extLst>
        </xdr:cNvPr>
        <xdr:cNvCxnSpPr>
          <a:cxnSpLocks noChangeShapeType="1"/>
        </xdr:cNvCxnSpPr>
      </xdr:nvCxnSpPr>
      <xdr:spPr bwMode="auto">
        <a:xfrm>
          <a:off x="6697980" y="3261360"/>
          <a:ext cx="91440" cy="0"/>
        </a:xfrm>
        <a:prstGeom prst="line">
          <a:avLst/>
        </a:prstGeom>
        <a:noFill/>
        <a:ln w="3175" algn="ctr">
          <a:solidFill>
            <a:srgbClr val="000000"/>
          </a:solidFill>
          <a:round/>
          <a:headEnd/>
          <a:tailEnd/>
        </a:ln>
      </xdr:spPr>
    </xdr:cxnSp>
    <xdr:clientData/>
  </xdr:twoCellAnchor>
  <xdr:twoCellAnchor>
    <xdr:from>
      <xdr:col>7</xdr:col>
      <xdr:colOff>68580</xdr:colOff>
      <xdr:row>17</xdr:row>
      <xdr:rowOff>114300</xdr:rowOff>
    </xdr:from>
    <xdr:to>
      <xdr:col>7</xdr:col>
      <xdr:colOff>160020</xdr:colOff>
      <xdr:row>17</xdr:row>
      <xdr:rowOff>114300</xdr:rowOff>
    </xdr:to>
    <xdr:cxnSp macro="">
      <xdr:nvCxnSpPr>
        <xdr:cNvPr id="25996" name="Straight Connector 111">
          <a:extLst>
            <a:ext uri="{FF2B5EF4-FFF2-40B4-BE49-F238E27FC236}">
              <a16:creationId xmlns:a16="http://schemas.microsoft.com/office/drawing/2014/main" id="{00000000-0008-0000-0100-00008C650000}"/>
            </a:ext>
          </a:extLst>
        </xdr:cNvPr>
        <xdr:cNvCxnSpPr>
          <a:cxnSpLocks noChangeShapeType="1"/>
        </xdr:cNvCxnSpPr>
      </xdr:nvCxnSpPr>
      <xdr:spPr bwMode="auto">
        <a:xfrm>
          <a:off x="6675120" y="3314700"/>
          <a:ext cx="91440" cy="0"/>
        </a:xfrm>
        <a:prstGeom prst="line">
          <a:avLst/>
        </a:prstGeom>
        <a:noFill/>
        <a:ln w="3175" algn="ctr">
          <a:solidFill>
            <a:srgbClr val="000000"/>
          </a:solidFill>
          <a:round/>
          <a:headEnd/>
          <a:tailEnd/>
        </a:ln>
      </xdr:spPr>
    </xdr:cxnSp>
    <xdr:clientData/>
  </xdr:twoCellAnchor>
  <xdr:twoCellAnchor>
    <xdr:from>
      <xdr:col>7</xdr:col>
      <xdr:colOff>76200</xdr:colOff>
      <xdr:row>17</xdr:row>
      <xdr:rowOff>91440</xdr:rowOff>
    </xdr:from>
    <xdr:to>
      <xdr:col>7</xdr:col>
      <xdr:colOff>175260</xdr:colOff>
      <xdr:row>17</xdr:row>
      <xdr:rowOff>91440</xdr:rowOff>
    </xdr:to>
    <xdr:cxnSp macro="">
      <xdr:nvCxnSpPr>
        <xdr:cNvPr id="25997" name="Straight Connector 113">
          <a:extLst>
            <a:ext uri="{FF2B5EF4-FFF2-40B4-BE49-F238E27FC236}">
              <a16:creationId xmlns:a16="http://schemas.microsoft.com/office/drawing/2014/main" id="{00000000-0008-0000-0100-00008D650000}"/>
            </a:ext>
          </a:extLst>
        </xdr:cNvPr>
        <xdr:cNvCxnSpPr>
          <a:cxnSpLocks noChangeShapeType="1"/>
        </xdr:cNvCxnSpPr>
      </xdr:nvCxnSpPr>
      <xdr:spPr bwMode="auto">
        <a:xfrm>
          <a:off x="6682740" y="3291840"/>
          <a:ext cx="99060" cy="0"/>
        </a:xfrm>
        <a:prstGeom prst="line">
          <a:avLst/>
        </a:prstGeom>
        <a:noFill/>
        <a:ln w="3175" algn="ctr">
          <a:solidFill>
            <a:srgbClr val="000000"/>
          </a:solidFill>
          <a:round/>
          <a:headEnd/>
          <a:tailEnd/>
        </a:ln>
      </xdr:spPr>
    </xdr:cxnSp>
    <xdr:clientData/>
  </xdr:twoCellAnchor>
  <xdr:twoCellAnchor>
    <xdr:from>
      <xdr:col>3</xdr:col>
      <xdr:colOff>1021080</xdr:colOff>
      <xdr:row>10</xdr:row>
      <xdr:rowOff>160020</xdr:rowOff>
    </xdr:from>
    <xdr:to>
      <xdr:col>4</xdr:col>
      <xdr:colOff>571500</xdr:colOff>
      <xdr:row>11</xdr:row>
      <xdr:rowOff>60960</xdr:rowOff>
    </xdr:to>
    <xdr:cxnSp macro="">
      <xdr:nvCxnSpPr>
        <xdr:cNvPr id="25998" name="Straight Connector 210">
          <a:extLst>
            <a:ext uri="{FF2B5EF4-FFF2-40B4-BE49-F238E27FC236}">
              <a16:creationId xmlns:a16="http://schemas.microsoft.com/office/drawing/2014/main" id="{00000000-0008-0000-0100-00008E650000}"/>
            </a:ext>
          </a:extLst>
        </xdr:cNvPr>
        <xdr:cNvCxnSpPr>
          <a:cxnSpLocks noChangeShapeType="1"/>
        </xdr:cNvCxnSpPr>
      </xdr:nvCxnSpPr>
      <xdr:spPr bwMode="auto">
        <a:xfrm flipV="1">
          <a:off x="4084320" y="2026920"/>
          <a:ext cx="754380" cy="91440"/>
        </a:xfrm>
        <a:prstGeom prst="line">
          <a:avLst/>
        </a:prstGeom>
        <a:noFill/>
        <a:ln w="3175" algn="ctr">
          <a:solidFill>
            <a:srgbClr val="000000"/>
          </a:solidFill>
          <a:round/>
          <a:headEnd/>
          <a:tailEnd/>
        </a:ln>
      </xdr:spPr>
    </xdr:cxnSp>
    <xdr:clientData/>
  </xdr:twoCellAnchor>
  <xdr:twoCellAnchor>
    <xdr:from>
      <xdr:col>4</xdr:col>
      <xdr:colOff>571500</xdr:colOff>
      <xdr:row>10</xdr:row>
      <xdr:rowOff>160020</xdr:rowOff>
    </xdr:from>
    <xdr:to>
      <xdr:col>5</xdr:col>
      <xdr:colOff>403860</xdr:colOff>
      <xdr:row>11</xdr:row>
      <xdr:rowOff>53340</xdr:rowOff>
    </xdr:to>
    <xdr:cxnSp macro="">
      <xdr:nvCxnSpPr>
        <xdr:cNvPr id="25999" name="Straight Connector 212">
          <a:extLst>
            <a:ext uri="{FF2B5EF4-FFF2-40B4-BE49-F238E27FC236}">
              <a16:creationId xmlns:a16="http://schemas.microsoft.com/office/drawing/2014/main" id="{00000000-0008-0000-0100-00008F650000}"/>
            </a:ext>
          </a:extLst>
        </xdr:cNvPr>
        <xdr:cNvCxnSpPr>
          <a:cxnSpLocks noChangeShapeType="1"/>
        </xdr:cNvCxnSpPr>
      </xdr:nvCxnSpPr>
      <xdr:spPr bwMode="auto">
        <a:xfrm>
          <a:off x="4838700" y="2026920"/>
          <a:ext cx="662940" cy="83820"/>
        </a:xfrm>
        <a:prstGeom prst="line">
          <a:avLst/>
        </a:prstGeom>
        <a:noFill/>
        <a:ln w="3175" algn="ctr">
          <a:solidFill>
            <a:srgbClr val="000000"/>
          </a:solidFill>
          <a:round/>
          <a:headEnd/>
          <a:tailEnd/>
        </a:ln>
      </xdr:spPr>
    </xdr:cxnSp>
    <xdr:clientData/>
  </xdr:twoCellAnchor>
  <xdr:twoCellAnchor>
    <xdr:from>
      <xdr:col>3</xdr:col>
      <xdr:colOff>1013460</xdr:colOff>
      <xdr:row>9</xdr:row>
      <xdr:rowOff>152400</xdr:rowOff>
    </xdr:from>
    <xdr:to>
      <xdr:col>3</xdr:col>
      <xdr:colOff>1013460</xdr:colOff>
      <xdr:row>11</xdr:row>
      <xdr:rowOff>60960</xdr:rowOff>
    </xdr:to>
    <xdr:cxnSp macro="">
      <xdr:nvCxnSpPr>
        <xdr:cNvPr id="26000" name="Straight Connector 214">
          <a:extLst>
            <a:ext uri="{FF2B5EF4-FFF2-40B4-BE49-F238E27FC236}">
              <a16:creationId xmlns:a16="http://schemas.microsoft.com/office/drawing/2014/main" id="{00000000-0008-0000-0100-000090650000}"/>
            </a:ext>
          </a:extLst>
        </xdr:cNvPr>
        <xdr:cNvCxnSpPr>
          <a:cxnSpLocks noChangeShapeType="1"/>
        </xdr:cNvCxnSpPr>
      </xdr:nvCxnSpPr>
      <xdr:spPr bwMode="auto">
        <a:xfrm rot="5400000" flipH="1" flipV="1">
          <a:off x="3931920" y="1973580"/>
          <a:ext cx="289560" cy="0"/>
        </a:xfrm>
        <a:prstGeom prst="line">
          <a:avLst/>
        </a:prstGeom>
        <a:noFill/>
        <a:ln w="3175" algn="ctr">
          <a:solidFill>
            <a:srgbClr val="000000"/>
          </a:solidFill>
          <a:round/>
          <a:headEnd/>
          <a:tailEnd/>
        </a:ln>
      </xdr:spPr>
    </xdr:cxnSp>
    <xdr:clientData/>
  </xdr:twoCellAnchor>
  <xdr:twoCellAnchor>
    <xdr:from>
      <xdr:col>3</xdr:col>
      <xdr:colOff>982980</xdr:colOff>
      <xdr:row>9</xdr:row>
      <xdr:rowOff>152400</xdr:rowOff>
    </xdr:from>
    <xdr:to>
      <xdr:col>3</xdr:col>
      <xdr:colOff>1013460</xdr:colOff>
      <xdr:row>9</xdr:row>
      <xdr:rowOff>152400</xdr:rowOff>
    </xdr:to>
    <xdr:cxnSp macro="">
      <xdr:nvCxnSpPr>
        <xdr:cNvPr id="26001" name="Straight Connector 216">
          <a:extLst>
            <a:ext uri="{FF2B5EF4-FFF2-40B4-BE49-F238E27FC236}">
              <a16:creationId xmlns:a16="http://schemas.microsoft.com/office/drawing/2014/main" id="{00000000-0008-0000-0100-000091650000}"/>
            </a:ext>
          </a:extLst>
        </xdr:cNvPr>
        <xdr:cNvCxnSpPr>
          <a:cxnSpLocks noChangeShapeType="1"/>
        </xdr:cNvCxnSpPr>
      </xdr:nvCxnSpPr>
      <xdr:spPr bwMode="auto">
        <a:xfrm rot="10800000">
          <a:off x="4046220" y="1828800"/>
          <a:ext cx="30480" cy="0"/>
        </a:xfrm>
        <a:prstGeom prst="line">
          <a:avLst/>
        </a:prstGeom>
        <a:noFill/>
        <a:ln w="3175" algn="ctr">
          <a:solidFill>
            <a:srgbClr val="000000"/>
          </a:solidFill>
          <a:round/>
          <a:headEnd/>
          <a:tailEnd/>
        </a:ln>
      </xdr:spPr>
    </xdr:cxnSp>
    <xdr:clientData/>
  </xdr:twoCellAnchor>
  <xdr:twoCellAnchor>
    <xdr:from>
      <xdr:col>3</xdr:col>
      <xdr:colOff>982980</xdr:colOff>
      <xdr:row>9</xdr:row>
      <xdr:rowOff>152400</xdr:rowOff>
    </xdr:from>
    <xdr:to>
      <xdr:col>3</xdr:col>
      <xdr:colOff>982980</xdr:colOff>
      <xdr:row>11</xdr:row>
      <xdr:rowOff>53340</xdr:rowOff>
    </xdr:to>
    <xdr:cxnSp macro="">
      <xdr:nvCxnSpPr>
        <xdr:cNvPr id="26002" name="Straight Connector 218">
          <a:extLst>
            <a:ext uri="{FF2B5EF4-FFF2-40B4-BE49-F238E27FC236}">
              <a16:creationId xmlns:a16="http://schemas.microsoft.com/office/drawing/2014/main" id="{00000000-0008-0000-0100-000092650000}"/>
            </a:ext>
          </a:extLst>
        </xdr:cNvPr>
        <xdr:cNvCxnSpPr>
          <a:cxnSpLocks noChangeShapeType="1"/>
        </xdr:cNvCxnSpPr>
      </xdr:nvCxnSpPr>
      <xdr:spPr bwMode="auto">
        <a:xfrm rot="5400000">
          <a:off x="3905250" y="1969770"/>
          <a:ext cx="281940" cy="0"/>
        </a:xfrm>
        <a:prstGeom prst="line">
          <a:avLst/>
        </a:prstGeom>
        <a:noFill/>
        <a:ln w="3175" algn="ctr">
          <a:solidFill>
            <a:srgbClr val="000000"/>
          </a:solidFill>
          <a:round/>
          <a:headEnd/>
          <a:tailEnd/>
        </a:ln>
      </xdr:spPr>
    </xdr:cxnSp>
    <xdr:clientData/>
  </xdr:twoCellAnchor>
  <xdr:twoCellAnchor>
    <xdr:from>
      <xdr:col>3</xdr:col>
      <xdr:colOff>1013460</xdr:colOff>
      <xdr:row>9</xdr:row>
      <xdr:rowOff>152400</xdr:rowOff>
    </xdr:from>
    <xdr:to>
      <xdr:col>3</xdr:col>
      <xdr:colOff>1059180</xdr:colOff>
      <xdr:row>10</xdr:row>
      <xdr:rowOff>91440</xdr:rowOff>
    </xdr:to>
    <xdr:sp macro="" textlink="">
      <xdr:nvSpPr>
        <xdr:cNvPr id="26003" name="Freeform 220">
          <a:extLst>
            <a:ext uri="{FF2B5EF4-FFF2-40B4-BE49-F238E27FC236}">
              <a16:creationId xmlns:a16="http://schemas.microsoft.com/office/drawing/2014/main" id="{00000000-0008-0000-0100-000093650000}"/>
            </a:ext>
          </a:extLst>
        </xdr:cNvPr>
        <xdr:cNvSpPr>
          <a:spLocks/>
        </xdr:cNvSpPr>
      </xdr:nvSpPr>
      <xdr:spPr bwMode="auto">
        <a:xfrm>
          <a:off x="4076700" y="1828800"/>
          <a:ext cx="45720" cy="129540"/>
        </a:xfrm>
        <a:custGeom>
          <a:avLst/>
          <a:gdLst>
            <a:gd name="T0" fmla="*/ 0 w 47942"/>
            <a:gd name="T1" fmla="*/ 0 h 135255"/>
            <a:gd name="T2" fmla="*/ 0 w 47942"/>
            <a:gd name="T3" fmla="*/ 18881 h 135255"/>
            <a:gd name="T4" fmla="*/ 0 w 47942"/>
            <a:gd name="T5" fmla="*/ 41095 h 135255"/>
            <a:gd name="T6" fmla="*/ 0 w 47942"/>
            <a:gd name="T7" fmla="*/ 54422 h 135255"/>
            <a:gd name="T8" fmla="*/ 0 w 47942"/>
            <a:gd name="T9" fmla="*/ 78856 h 135255"/>
            <a:gd name="T10" fmla="*/ 0 w 47942"/>
            <a:gd name="T11" fmla="*/ 78856 h 135255"/>
            <a:gd name="T12" fmla="*/ 0 w 47942"/>
            <a:gd name="T13" fmla="*/ 78856 h 135255"/>
            <a:gd name="T14" fmla="*/ 0 w 47942"/>
            <a:gd name="T15" fmla="*/ 78856 h 135255"/>
            <a:gd name="T16" fmla="*/ 0 60000 65536"/>
            <a:gd name="T17" fmla="*/ 0 60000 65536"/>
            <a:gd name="T18" fmla="*/ 0 60000 65536"/>
            <a:gd name="T19" fmla="*/ 0 60000 65536"/>
            <a:gd name="T20" fmla="*/ 0 60000 65536"/>
            <a:gd name="T21" fmla="*/ 0 60000 65536"/>
            <a:gd name="T22" fmla="*/ 0 60000 65536"/>
            <a:gd name="T23" fmla="*/ 0 60000 65536"/>
            <a:gd name="T24" fmla="*/ 0 w 47942"/>
            <a:gd name="T25" fmla="*/ 0 h 135255"/>
            <a:gd name="T26" fmla="*/ 0 w 47942"/>
            <a:gd name="T27" fmla="*/ 135255 h 135255"/>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47942" h="135255">
              <a:moveTo>
                <a:pt x="0" y="0"/>
              </a:moveTo>
              <a:cubicBezTo>
                <a:pt x="23654" y="10319"/>
                <a:pt x="47308" y="20638"/>
                <a:pt x="47625" y="32385"/>
              </a:cubicBezTo>
              <a:cubicBezTo>
                <a:pt x="47942" y="44132"/>
                <a:pt x="2223" y="60325"/>
                <a:pt x="1905" y="70485"/>
              </a:cubicBezTo>
              <a:cubicBezTo>
                <a:pt x="1587" y="80645"/>
                <a:pt x="45403" y="82550"/>
                <a:pt x="45720" y="93345"/>
              </a:cubicBezTo>
              <a:cubicBezTo>
                <a:pt x="46038" y="104140"/>
                <a:pt x="3810" y="135255"/>
                <a:pt x="3810" y="135255"/>
              </a:cubicBezTo>
            </a:path>
          </a:pathLst>
        </a:custGeom>
        <a:solidFill>
          <a:srgbClr val="FFFFFF"/>
        </a:solidFill>
        <a:ln w="3175" cap="flat" cmpd="sng" algn="ctr">
          <a:solidFill>
            <a:srgbClr val="000000"/>
          </a:solidFill>
          <a:prstDash val="solid"/>
          <a:round/>
          <a:headEnd type="none" w="med" len="med"/>
          <a:tailEnd type="none" w="med" len="med"/>
        </a:ln>
      </xdr:spPr>
    </xdr:sp>
    <xdr:clientData/>
  </xdr:twoCellAnchor>
  <xdr:twoCellAnchor>
    <xdr:from>
      <xdr:col>5</xdr:col>
      <xdr:colOff>411480</xdr:colOff>
      <xdr:row>9</xdr:row>
      <xdr:rowOff>144780</xdr:rowOff>
    </xdr:from>
    <xdr:to>
      <xdr:col>5</xdr:col>
      <xdr:colOff>441960</xdr:colOff>
      <xdr:row>9</xdr:row>
      <xdr:rowOff>144780</xdr:rowOff>
    </xdr:to>
    <xdr:cxnSp macro="">
      <xdr:nvCxnSpPr>
        <xdr:cNvPr id="26004" name="Straight Connector 231">
          <a:extLst>
            <a:ext uri="{FF2B5EF4-FFF2-40B4-BE49-F238E27FC236}">
              <a16:creationId xmlns:a16="http://schemas.microsoft.com/office/drawing/2014/main" id="{00000000-0008-0000-0100-000094650000}"/>
            </a:ext>
          </a:extLst>
        </xdr:cNvPr>
        <xdr:cNvCxnSpPr>
          <a:cxnSpLocks noChangeShapeType="1"/>
        </xdr:cNvCxnSpPr>
      </xdr:nvCxnSpPr>
      <xdr:spPr bwMode="auto">
        <a:xfrm>
          <a:off x="5509260" y="1821180"/>
          <a:ext cx="30480" cy="0"/>
        </a:xfrm>
        <a:prstGeom prst="line">
          <a:avLst/>
        </a:prstGeom>
        <a:noFill/>
        <a:ln w="3175" algn="ctr">
          <a:solidFill>
            <a:srgbClr val="000000"/>
          </a:solidFill>
          <a:round/>
          <a:headEnd/>
          <a:tailEnd/>
        </a:ln>
      </xdr:spPr>
    </xdr:cxnSp>
    <xdr:clientData/>
  </xdr:twoCellAnchor>
  <xdr:twoCellAnchor>
    <xdr:from>
      <xdr:col>5</xdr:col>
      <xdr:colOff>449580</xdr:colOff>
      <xdr:row>9</xdr:row>
      <xdr:rowOff>152400</xdr:rowOff>
    </xdr:from>
    <xdr:to>
      <xdr:col>5</xdr:col>
      <xdr:colOff>449580</xdr:colOff>
      <xdr:row>11</xdr:row>
      <xdr:rowOff>53340</xdr:rowOff>
    </xdr:to>
    <xdr:cxnSp macro="">
      <xdr:nvCxnSpPr>
        <xdr:cNvPr id="26005" name="Straight Connector 233">
          <a:extLst>
            <a:ext uri="{FF2B5EF4-FFF2-40B4-BE49-F238E27FC236}">
              <a16:creationId xmlns:a16="http://schemas.microsoft.com/office/drawing/2014/main" id="{00000000-0008-0000-0100-000095650000}"/>
            </a:ext>
          </a:extLst>
        </xdr:cNvPr>
        <xdr:cNvCxnSpPr>
          <a:cxnSpLocks noChangeShapeType="1"/>
        </xdr:cNvCxnSpPr>
      </xdr:nvCxnSpPr>
      <xdr:spPr bwMode="auto">
        <a:xfrm rot="5400000">
          <a:off x="5406390" y="1969770"/>
          <a:ext cx="281940" cy="0"/>
        </a:xfrm>
        <a:prstGeom prst="line">
          <a:avLst/>
        </a:prstGeom>
        <a:noFill/>
        <a:ln w="3175" algn="ctr">
          <a:solidFill>
            <a:srgbClr val="000000"/>
          </a:solidFill>
          <a:round/>
          <a:headEnd/>
          <a:tailEnd/>
        </a:ln>
      </xdr:spPr>
    </xdr:cxnSp>
    <xdr:clientData/>
  </xdr:twoCellAnchor>
  <xdr:twoCellAnchor>
    <xdr:from>
      <xdr:col>5</xdr:col>
      <xdr:colOff>358140</xdr:colOff>
      <xdr:row>9</xdr:row>
      <xdr:rowOff>144780</xdr:rowOff>
    </xdr:from>
    <xdr:to>
      <xdr:col>5</xdr:col>
      <xdr:colOff>411480</xdr:colOff>
      <xdr:row>10</xdr:row>
      <xdr:rowOff>114300</xdr:rowOff>
    </xdr:to>
    <xdr:sp macro="" textlink="">
      <xdr:nvSpPr>
        <xdr:cNvPr id="26006" name="Freeform 234">
          <a:extLst>
            <a:ext uri="{FF2B5EF4-FFF2-40B4-BE49-F238E27FC236}">
              <a16:creationId xmlns:a16="http://schemas.microsoft.com/office/drawing/2014/main" id="{00000000-0008-0000-0100-000096650000}"/>
            </a:ext>
          </a:extLst>
        </xdr:cNvPr>
        <xdr:cNvSpPr>
          <a:spLocks/>
        </xdr:cNvSpPr>
      </xdr:nvSpPr>
      <xdr:spPr bwMode="auto">
        <a:xfrm>
          <a:off x="5455920" y="1821180"/>
          <a:ext cx="53340" cy="160020"/>
        </a:xfrm>
        <a:custGeom>
          <a:avLst/>
          <a:gdLst>
            <a:gd name="T0" fmla="*/ 37507 w 55245"/>
            <a:gd name="T1" fmla="*/ 0 h 152400"/>
            <a:gd name="T2" fmla="*/ 0 w 55245"/>
            <a:gd name="T3" fmla="*/ 49456 h 152400"/>
            <a:gd name="T4" fmla="*/ 37507 w 55245"/>
            <a:gd name="T5" fmla="*/ 103857 h 152400"/>
            <a:gd name="T6" fmla="*/ 1340 w 55245"/>
            <a:gd name="T7" fmla="*/ 138476 h 152400"/>
            <a:gd name="T8" fmla="*/ 38847 w 55245"/>
            <a:gd name="T9" fmla="*/ 197823 h 152400"/>
            <a:gd name="T10" fmla="*/ 38847 w 55245"/>
            <a:gd name="T11" fmla="*/ 197823 h 152400"/>
            <a:gd name="T12" fmla="*/ 0 60000 65536"/>
            <a:gd name="T13" fmla="*/ 0 60000 65536"/>
            <a:gd name="T14" fmla="*/ 0 60000 65536"/>
            <a:gd name="T15" fmla="*/ 0 60000 65536"/>
            <a:gd name="T16" fmla="*/ 0 60000 65536"/>
            <a:gd name="T17" fmla="*/ 0 60000 65536"/>
            <a:gd name="T18" fmla="*/ 0 w 55245"/>
            <a:gd name="T19" fmla="*/ 0 h 152400"/>
            <a:gd name="T20" fmla="*/ 55245 w 55245"/>
            <a:gd name="T21" fmla="*/ 152400 h 152400"/>
          </a:gdLst>
          <a:ahLst/>
          <a:cxnLst>
            <a:cxn ang="T12">
              <a:pos x="T0" y="T1"/>
            </a:cxn>
            <a:cxn ang="T13">
              <a:pos x="T2" y="T3"/>
            </a:cxn>
            <a:cxn ang="T14">
              <a:pos x="T4" y="T5"/>
            </a:cxn>
            <a:cxn ang="T15">
              <a:pos x="T6" y="T7"/>
            </a:cxn>
            <a:cxn ang="T16">
              <a:pos x="T8" y="T9"/>
            </a:cxn>
            <a:cxn ang="T17">
              <a:pos x="T10" y="T11"/>
            </a:cxn>
          </a:cxnLst>
          <a:rect l="T18" t="T19" r="T20" b="T21"/>
          <a:pathLst>
            <a:path w="55245" h="152400">
              <a:moveTo>
                <a:pt x="53340" y="0"/>
              </a:moveTo>
              <a:cubicBezTo>
                <a:pt x="26670" y="12382"/>
                <a:pt x="0" y="24765"/>
                <a:pt x="0" y="38100"/>
              </a:cubicBezTo>
              <a:cubicBezTo>
                <a:pt x="0" y="51435"/>
                <a:pt x="53023" y="68580"/>
                <a:pt x="53340" y="80010"/>
              </a:cubicBezTo>
              <a:cubicBezTo>
                <a:pt x="53658" y="91440"/>
                <a:pt x="1588" y="94615"/>
                <a:pt x="1905" y="106680"/>
              </a:cubicBezTo>
              <a:cubicBezTo>
                <a:pt x="2222" y="118745"/>
                <a:pt x="55245" y="152400"/>
                <a:pt x="55245" y="152400"/>
              </a:cubicBezTo>
            </a:path>
          </a:pathLst>
        </a:custGeom>
        <a:solidFill>
          <a:srgbClr val="FFFFFF"/>
        </a:solidFill>
        <a:ln w="3175" cap="flat" cmpd="sng" algn="ctr">
          <a:solidFill>
            <a:srgbClr val="000000"/>
          </a:solidFill>
          <a:prstDash val="solid"/>
          <a:round/>
          <a:headEnd type="none" w="med" len="med"/>
          <a:tailEnd type="none" w="med" len="med"/>
        </a:ln>
      </xdr:spPr>
    </xdr:sp>
    <xdr:clientData/>
  </xdr:twoCellAnchor>
  <xdr:twoCellAnchor>
    <xdr:from>
      <xdr:col>3</xdr:col>
      <xdr:colOff>182880</xdr:colOff>
      <xdr:row>14</xdr:row>
      <xdr:rowOff>129540</xdr:rowOff>
    </xdr:from>
    <xdr:to>
      <xdr:col>6</xdr:col>
      <xdr:colOff>449580</xdr:colOff>
      <xdr:row>14</xdr:row>
      <xdr:rowOff>175260</xdr:rowOff>
    </xdr:to>
    <xdr:sp macro="" textlink="">
      <xdr:nvSpPr>
        <xdr:cNvPr id="26007" name="Freeform 326">
          <a:extLst>
            <a:ext uri="{FF2B5EF4-FFF2-40B4-BE49-F238E27FC236}">
              <a16:creationId xmlns:a16="http://schemas.microsoft.com/office/drawing/2014/main" id="{00000000-0008-0000-0100-000097650000}"/>
            </a:ext>
          </a:extLst>
        </xdr:cNvPr>
        <xdr:cNvSpPr>
          <a:spLocks/>
        </xdr:cNvSpPr>
      </xdr:nvSpPr>
      <xdr:spPr bwMode="auto">
        <a:xfrm>
          <a:off x="3246120" y="2758440"/>
          <a:ext cx="3078480" cy="45720"/>
        </a:xfrm>
        <a:custGeom>
          <a:avLst/>
          <a:gdLst>
            <a:gd name="T0" fmla="*/ 0 w 2980508"/>
            <a:gd name="T1" fmla="*/ 24722 h 48260"/>
            <a:gd name="T2" fmla="*/ 53895 w 2980508"/>
            <a:gd name="T3" fmla="*/ 1177 h 48260"/>
            <a:gd name="T4" fmla="*/ 106103 w 2980508"/>
            <a:gd name="T5" fmla="*/ 23544 h 48260"/>
            <a:gd name="T6" fmla="*/ 161683 w 2980508"/>
            <a:gd name="T7" fmla="*/ 2354 h 48260"/>
            <a:gd name="T8" fmla="*/ 205469 w 2980508"/>
            <a:gd name="T9" fmla="*/ 24722 h 48260"/>
            <a:gd name="T10" fmla="*/ 255995 w 2980508"/>
            <a:gd name="T11" fmla="*/ 2354 h 48260"/>
            <a:gd name="T12" fmla="*/ 299785 w 2980508"/>
            <a:gd name="T13" fmla="*/ 24722 h 48260"/>
            <a:gd name="T14" fmla="*/ 348625 w 2980508"/>
            <a:gd name="T15" fmla="*/ 1177 h 48260"/>
            <a:gd name="T16" fmla="*/ 392413 w 2980508"/>
            <a:gd name="T17" fmla="*/ 24722 h 48260"/>
            <a:gd name="T18" fmla="*/ 439571 w 2980508"/>
            <a:gd name="T19" fmla="*/ 1177 h 48260"/>
            <a:gd name="T20" fmla="*/ 483359 w 2980508"/>
            <a:gd name="T21" fmla="*/ 22366 h 48260"/>
            <a:gd name="T22" fmla="*/ 532200 w 2980508"/>
            <a:gd name="T23" fmla="*/ 2354 h 48260"/>
            <a:gd name="T24" fmla="*/ 577673 w 2980508"/>
            <a:gd name="T25" fmla="*/ 25898 h 48260"/>
            <a:gd name="T26" fmla="*/ 629883 w 2980508"/>
            <a:gd name="T27" fmla="*/ 2354 h 48260"/>
            <a:gd name="T28" fmla="*/ 675355 w 2980508"/>
            <a:gd name="T29" fmla="*/ 24722 h 48260"/>
            <a:gd name="T30" fmla="*/ 720828 w 2980508"/>
            <a:gd name="T31" fmla="*/ 3531 h 48260"/>
            <a:gd name="T32" fmla="*/ 771353 w 2980508"/>
            <a:gd name="T33" fmla="*/ 23544 h 48260"/>
            <a:gd name="T34" fmla="*/ 816827 w 2980508"/>
            <a:gd name="T35" fmla="*/ 1177 h 48260"/>
            <a:gd name="T36" fmla="*/ 869037 w 2980508"/>
            <a:gd name="T37" fmla="*/ 24722 h 48260"/>
            <a:gd name="T38" fmla="*/ 924615 w 2980508"/>
            <a:gd name="T39" fmla="*/ 1177 h 48260"/>
            <a:gd name="T40" fmla="*/ 976824 w 2980508"/>
            <a:gd name="T41" fmla="*/ 24722 h 48260"/>
            <a:gd name="T42" fmla="*/ 1030717 w 2980508"/>
            <a:gd name="T43" fmla="*/ 3531 h 48260"/>
            <a:gd name="T44" fmla="*/ 1089663 w 2980508"/>
            <a:gd name="T45" fmla="*/ 25898 h 48260"/>
            <a:gd name="T46" fmla="*/ 1136821 w 2980508"/>
            <a:gd name="T47" fmla="*/ 2354 h 48260"/>
            <a:gd name="T48" fmla="*/ 1187346 w 2980508"/>
            <a:gd name="T49" fmla="*/ 24722 h 48260"/>
            <a:gd name="T50" fmla="*/ 1241239 w 2980508"/>
            <a:gd name="T51" fmla="*/ 2354 h 48260"/>
            <a:gd name="T52" fmla="*/ 1293451 w 2980508"/>
            <a:gd name="T53" fmla="*/ 23544 h 48260"/>
            <a:gd name="T54" fmla="*/ 1349027 w 2980508"/>
            <a:gd name="T55" fmla="*/ 1177 h 48260"/>
            <a:gd name="T56" fmla="*/ 1399553 w 2980508"/>
            <a:gd name="T57" fmla="*/ 23544 h 48260"/>
            <a:gd name="T58" fmla="*/ 1450077 w 2980508"/>
            <a:gd name="T59" fmla="*/ 1177 h 48260"/>
            <a:gd name="T60" fmla="*/ 1509023 w 2980508"/>
            <a:gd name="T61" fmla="*/ 24722 h 48260"/>
            <a:gd name="T62" fmla="*/ 1559549 w 2980508"/>
            <a:gd name="T63" fmla="*/ 2354 h 48260"/>
            <a:gd name="T64" fmla="*/ 1616811 w 2980508"/>
            <a:gd name="T65" fmla="*/ 25898 h 48260"/>
            <a:gd name="T66" fmla="*/ 1665652 w 2980508"/>
            <a:gd name="T67" fmla="*/ 1177 h 48260"/>
            <a:gd name="T68" fmla="*/ 1721230 w 2980508"/>
            <a:gd name="T69" fmla="*/ 25898 h 48260"/>
            <a:gd name="T70" fmla="*/ 1766700 w 2980508"/>
            <a:gd name="T71" fmla="*/ 2354 h 48260"/>
            <a:gd name="T72" fmla="*/ 1817226 w 2980508"/>
            <a:gd name="T73" fmla="*/ 24722 h 48260"/>
            <a:gd name="T74" fmla="*/ 1866069 w 2980508"/>
            <a:gd name="T75" fmla="*/ 1177 h 48260"/>
            <a:gd name="T76" fmla="*/ 1911540 w 2980508"/>
            <a:gd name="T77" fmla="*/ 24722 h 48260"/>
            <a:gd name="T78" fmla="*/ 1960383 w 2980508"/>
            <a:gd name="T79" fmla="*/ 3531 h 48260"/>
            <a:gd name="T80" fmla="*/ 2024381 w 2980508"/>
            <a:gd name="T81" fmla="*/ 24722 h 48260"/>
            <a:gd name="T82" fmla="*/ 2081643 w 2980508"/>
            <a:gd name="T83" fmla="*/ 1177 h 48260"/>
            <a:gd name="T84" fmla="*/ 2142275 w 2980508"/>
            <a:gd name="T85" fmla="*/ 23544 h 48260"/>
            <a:gd name="T86" fmla="*/ 2201220 w 2980508"/>
            <a:gd name="T87" fmla="*/ 2354 h 48260"/>
            <a:gd name="T88" fmla="*/ 2256796 w 2980508"/>
            <a:gd name="T89" fmla="*/ 22366 h 48260"/>
            <a:gd name="T90" fmla="*/ 2305639 w 2980508"/>
            <a:gd name="T91" fmla="*/ 0 h 48260"/>
            <a:gd name="T92" fmla="*/ 2305639 w 2980508"/>
            <a:gd name="T93" fmla="*/ 0 h 48260"/>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w 2980508"/>
            <a:gd name="T142" fmla="*/ 0 h 48260"/>
            <a:gd name="T143" fmla="*/ 2980508 w 2980508"/>
            <a:gd name="T144" fmla="*/ 48260 h 48260"/>
          </a:gdLst>
          <a:ahLst/>
          <a:cxnLst>
            <a:cxn ang="T94">
              <a:pos x="T0" y="T1"/>
            </a:cxn>
            <a:cxn ang="T95">
              <a:pos x="T2" y="T3"/>
            </a:cxn>
            <a:cxn ang="T96">
              <a:pos x="T4" y="T5"/>
            </a:cxn>
            <a:cxn ang="T97">
              <a:pos x="T6" y="T7"/>
            </a:cxn>
            <a:cxn ang="T98">
              <a:pos x="T8" y="T9"/>
            </a:cxn>
            <a:cxn ang="T99">
              <a:pos x="T10" y="T11"/>
            </a:cxn>
            <a:cxn ang="T100">
              <a:pos x="T12" y="T13"/>
            </a:cxn>
            <a:cxn ang="T101">
              <a:pos x="T14" y="T15"/>
            </a:cxn>
            <a:cxn ang="T102">
              <a:pos x="T16" y="T17"/>
            </a:cxn>
            <a:cxn ang="T103">
              <a:pos x="T18" y="T19"/>
            </a:cxn>
            <a:cxn ang="T104">
              <a:pos x="T20" y="T21"/>
            </a:cxn>
            <a:cxn ang="T105">
              <a:pos x="T22" y="T23"/>
            </a:cxn>
            <a:cxn ang="T106">
              <a:pos x="T24" y="T25"/>
            </a:cxn>
            <a:cxn ang="T107">
              <a:pos x="T26" y="T27"/>
            </a:cxn>
            <a:cxn ang="T108">
              <a:pos x="T28" y="T29"/>
            </a:cxn>
            <a:cxn ang="T109">
              <a:pos x="T30" y="T31"/>
            </a:cxn>
            <a:cxn ang="T110">
              <a:pos x="T32" y="T33"/>
            </a:cxn>
            <a:cxn ang="T111">
              <a:pos x="T34" y="T35"/>
            </a:cxn>
            <a:cxn ang="T112">
              <a:pos x="T36" y="T37"/>
            </a:cxn>
            <a:cxn ang="T113">
              <a:pos x="T38" y="T39"/>
            </a:cxn>
            <a:cxn ang="T114">
              <a:pos x="T40" y="T41"/>
            </a:cxn>
            <a:cxn ang="T115">
              <a:pos x="T42" y="T43"/>
            </a:cxn>
            <a:cxn ang="T116">
              <a:pos x="T44" y="T45"/>
            </a:cxn>
            <a:cxn ang="T117">
              <a:pos x="T46" y="T47"/>
            </a:cxn>
            <a:cxn ang="T118">
              <a:pos x="T48" y="T49"/>
            </a:cxn>
            <a:cxn ang="T119">
              <a:pos x="T50" y="T51"/>
            </a:cxn>
            <a:cxn ang="T120">
              <a:pos x="T52" y="T53"/>
            </a:cxn>
            <a:cxn ang="T121">
              <a:pos x="T54" y="T55"/>
            </a:cxn>
            <a:cxn ang="T122">
              <a:pos x="T56" y="T57"/>
            </a:cxn>
            <a:cxn ang="T123">
              <a:pos x="T58" y="T59"/>
            </a:cxn>
            <a:cxn ang="T124">
              <a:pos x="T60" y="T61"/>
            </a:cxn>
            <a:cxn ang="T125">
              <a:pos x="T62" y="T63"/>
            </a:cxn>
            <a:cxn ang="T126">
              <a:pos x="T64" y="T65"/>
            </a:cxn>
            <a:cxn ang="T127">
              <a:pos x="T66" y="T67"/>
            </a:cxn>
            <a:cxn ang="T128">
              <a:pos x="T68" y="T69"/>
            </a:cxn>
            <a:cxn ang="T129">
              <a:pos x="T70" y="T71"/>
            </a:cxn>
            <a:cxn ang="T130">
              <a:pos x="T72" y="T73"/>
            </a:cxn>
            <a:cxn ang="T131">
              <a:pos x="T74" y="T75"/>
            </a:cxn>
            <a:cxn ang="T132">
              <a:pos x="T76" y="T77"/>
            </a:cxn>
            <a:cxn ang="T133">
              <a:pos x="T78" y="T79"/>
            </a:cxn>
            <a:cxn ang="T134">
              <a:pos x="T80" y="T81"/>
            </a:cxn>
            <a:cxn ang="T135">
              <a:pos x="T82" y="T83"/>
            </a:cxn>
            <a:cxn ang="T136">
              <a:pos x="T84" y="T85"/>
            </a:cxn>
            <a:cxn ang="T137">
              <a:pos x="T86" y="T87"/>
            </a:cxn>
            <a:cxn ang="T138">
              <a:pos x="T88" y="T89"/>
            </a:cxn>
            <a:cxn ang="T139">
              <a:pos x="T90" y="T91"/>
            </a:cxn>
            <a:cxn ang="T140">
              <a:pos x="T92" y="T93"/>
            </a:cxn>
          </a:cxnLst>
          <a:rect l="T141" t="T142" r="T143" b="T144"/>
          <a:pathLst>
            <a:path w="2980508" h="48260">
              <a:moveTo>
                <a:pt x="0" y="45720"/>
              </a:moveTo>
              <a:cubicBezTo>
                <a:pt x="23404" y="24130"/>
                <a:pt x="46808" y="2540"/>
                <a:pt x="69668" y="2177"/>
              </a:cubicBezTo>
              <a:cubicBezTo>
                <a:pt x="92528" y="1814"/>
                <a:pt x="113937" y="43180"/>
                <a:pt x="137160" y="43543"/>
              </a:cubicBezTo>
              <a:cubicBezTo>
                <a:pt x="160383" y="43906"/>
                <a:pt x="187598" y="3992"/>
                <a:pt x="209006" y="4355"/>
              </a:cubicBezTo>
              <a:cubicBezTo>
                <a:pt x="230414" y="4718"/>
                <a:pt x="245291" y="45720"/>
                <a:pt x="265611" y="45720"/>
              </a:cubicBezTo>
              <a:cubicBezTo>
                <a:pt x="285931" y="45720"/>
                <a:pt x="310606" y="4355"/>
                <a:pt x="330926" y="4355"/>
              </a:cubicBezTo>
              <a:cubicBezTo>
                <a:pt x="351246" y="4355"/>
                <a:pt x="367574" y="46083"/>
                <a:pt x="387531" y="45720"/>
              </a:cubicBezTo>
              <a:cubicBezTo>
                <a:pt x="407488" y="45357"/>
                <a:pt x="430711" y="2177"/>
                <a:pt x="450668" y="2177"/>
              </a:cubicBezTo>
              <a:cubicBezTo>
                <a:pt x="470625" y="2177"/>
                <a:pt x="487680" y="45720"/>
                <a:pt x="507274" y="45720"/>
              </a:cubicBezTo>
              <a:cubicBezTo>
                <a:pt x="526868" y="45720"/>
                <a:pt x="548640" y="2903"/>
                <a:pt x="568234" y="2177"/>
              </a:cubicBezTo>
              <a:cubicBezTo>
                <a:pt x="587828" y="1451"/>
                <a:pt x="604883" y="41003"/>
                <a:pt x="624840" y="41366"/>
              </a:cubicBezTo>
              <a:cubicBezTo>
                <a:pt x="644797" y="41729"/>
                <a:pt x="667657" y="3267"/>
                <a:pt x="687977" y="4355"/>
              </a:cubicBezTo>
              <a:cubicBezTo>
                <a:pt x="708297" y="5443"/>
                <a:pt x="725714" y="47897"/>
                <a:pt x="746760" y="47897"/>
              </a:cubicBezTo>
              <a:cubicBezTo>
                <a:pt x="767806" y="47897"/>
                <a:pt x="793205" y="4718"/>
                <a:pt x="814251" y="4355"/>
              </a:cubicBezTo>
              <a:cubicBezTo>
                <a:pt x="835297" y="3992"/>
                <a:pt x="853440" y="45357"/>
                <a:pt x="873034" y="45720"/>
              </a:cubicBezTo>
              <a:cubicBezTo>
                <a:pt x="892628" y="46083"/>
                <a:pt x="911134" y="6895"/>
                <a:pt x="931817" y="6532"/>
              </a:cubicBezTo>
              <a:cubicBezTo>
                <a:pt x="952500" y="6169"/>
                <a:pt x="976448" y="44269"/>
                <a:pt x="997131" y="43543"/>
              </a:cubicBezTo>
              <a:cubicBezTo>
                <a:pt x="1017814" y="42817"/>
                <a:pt x="1034868" y="1814"/>
                <a:pt x="1055914" y="2177"/>
              </a:cubicBezTo>
              <a:cubicBezTo>
                <a:pt x="1076960" y="2540"/>
                <a:pt x="1100183" y="45720"/>
                <a:pt x="1123406" y="45720"/>
              </a:cubicBezTo>
              <a:cubicBezTo>
                <a:pt x="1146629" y="45720"/>
                <a:pt x="1172028" y="2177"/>
                <a:pt x="1195251" y="2177"/>
              </a:cubicBezTo>
              <a:cubicBezTo>
                <a:pt x="1218474" y="2177"/>
                <a:pt x="1239883" y="44994"/>
                <a:pt x="1262743" y="45720"/>
              </a:cubicBezTo>
              <a:cubicBezTo>
                <a:pt x="1285603" y="46446"/>
                <a:pt x="1308100" y="6169"/>
                <a:pt x="1332411" y="6532"/>
              </a:cubicBezTo>
              <a:cubicBezTo>
                <a:pt x="1356722" y="6895"/>
                <a:pt x="1385751" y="48260"/>
                <a:pt x="1408611" y="47897"/>
              </a:cubicBezTo>
              <a:cubicBezTo>
                <a:pt x="1431471" y="47534"/>
                <a:pt x="1448525" y="4718"/>
                <a:pt x="1469571" y="4355"/>
              </a:cubicBezTo>
              <a:cubicBezTo>
                <a:pt x="1490617" y="3992"/>
                <a:pt x="1512389" y="45720"/>
                <a:pt x="1534886" y="45720"/>
              </a:cubicBezTo>
              <a:cubicBezTo>
                <a:pt x="1557383" y="45720"/>
                <a:pt x="1581694" y="4718"/>
                <a:pt x="1604554" y="4355"/>
              </a:cubicBezTo>
              <a:cubicBezTo>
                <a:pt x="1627414" y="3992"/>
                <a:pt x="1648823" y="43906"/>
                <a:pt x="1672046" y="43543"/>
              </a:cubicBezTo>
              <a:cubicBezTo>
                <a:pt x="1695269" y="43180"/>
                <a:pt x="1721031" y="2177"/>
                <a:pt x="1743891" y="2177"/>
              </a:cubicBezTo>
              <a:cubicBezTo>
                <a:pt x="1766751" y="2177"/>
                <a:pt x="1787435" y="43543"/>
                <a:pt x="1809206" y="43543"/>
              </a:cubicBezTo>
              <a:cubicBezTo>
                <a:pt x="1830977" y="43543"/>
                <a:pt x="1850934" y="1814"/>
                <a:pt x="1874520" y="2177"/>
              </a:cubicBezTo>
              <a:cubicBezTo>
                <a:pt x="1898106" y="2540"/>
                <a:pt x="1927134" y="45357"/>
                <a:pt x="1950720" y="45720"/>
              </a:cubicBezTo>
              <a:cubicBezTo>
                <a:pt x="1974306" y="46083"/>
                <a:pt x="1992811" y="3992"/>
                <a:pt x="2016034" y="4355"/>
              </a:cubicBezTo>
              <a:cubicBezTo>
                <a:pt x="2039257" y="4718"/>
                <a:pt x="2067197" y="48260"/>
                <a:pt x="2090057" y="47897"/>
              </a:cubicBezTo>
              <a:cubicBezTo>
                <a:pt x="2112917" y="47534"/>
                <a:pt x="2130697" y="2177"/>
                <a:pt x="2153194" y="2177"/>
              </a:cubicBezTo>
              <a:cubicBezTo>
                <a:pt x="2175691" y="2177"/>
                <a:pt x="2203269" y="47534"/>
                <a:pt x="2225040" y="47897"/>
              </a:cubicBezTo>
              <a:cubicBezTo>
                <a:pt x="2246811" y="48260"/>
                <a:pt x="2263140" y="4718"/>
                <a:pt x="2283823" y="4355"/>
              </a:cubicBezTo>
              <a:cubicBezTo>
                <a:pt x="2304506" y="3992"/>
                <a:pt x="2327729" y="46083"/>
                <a:pt x="2349137" y="45720"/>
              </a:cubicBezTo>
              <a:cubicBezTo>
                <a:pt x="2370545" y="45357"/>
                <a:pt x="2391954" y="2177"/>
                <a:pt x="2412274" y="2177"/>
              </a:cubicBezTo>
              <a:cubicBezTo>
                <a:pt x="2432594" y="2177"/>
                <a:pt x="2450737" y="44994"/>
                <a:pt x="2471057" y="45720"/>
              </a:cubicBezTo>
              <a:cubicBezTo>
                <a:pt x="2491377" y="46446"/>
                <a:pt x="2509883" y="6532"/>
                <a:pt x="2534194" y="6532"/>
              </a:cubicBezTo>
              <a:cubicBezTo>
                <a:pt x="2558505" y="6532"/>
                <a:pt x="2590800" y="46446"/>
                <a:pt x="2616926" y="45720"/>
              </a:cubicBezTo>
              <a:cubicBezTo>
                <a:pt x="2643052" y="44994"/>
                <a:pt x="2665548" y="2540"/>
                <a:pt x="2690948" y="2177"/>
              </a:cubicBezTo>
              <a:cubicBezTo>
                <a:pt x="2716348" y="1814"/>
                <a:pt x="2743563" y="43180"/>
                <a:pt x="2769326" y="43543"/>
              </a:cubicBezTo>
              <a:cubicBezTo>
                <a:pt x="2795089" y="43906"/>
                <a:pt x="2820852" y="4718"/>
                <a:pt x="2845526" y="4355"/>
              </a:cubicBezTo>
              <a:cubicBezTo>
                <a:pt x="2870200" y="3992"/>
                <a:pt x="2894874" y="42092"/>
                <a:pt x="2917371" y="41366"/>
              </a:cubicBezTo>
              <a:cubicBezTo>
                <a:pt x="2939868" y="40640"/>
                <a:pt x="2980508" y="0"/>
                <a:pt x="2980508" y="0"/>
              </a:cubicBezTo>
            </a:path>
          </a:pathLst>
        </a:custGeom>
        <a:solidFill>
          <a:srgbClr val="FFFFFF"/>
        </a:solidFill>
        <a:ln w="9525" cap="flat" cmpd="sng" algn="ctr">
          <a:solidFill>
            <a:srgbClr val="000000"/>
          </a:solidFill>
          <a:prstDash val="solid"/>
          <a:round/>
          <a:headEnd type="none" w="med" len="med"/>
          <a:tailEnd type="none" w="med" len="med"/>
        </a:ln>
      </xdr:spPr>
    </xdr:sp>
    <xdr:clientData/>
  </xdr:twoCellAnchor>
  <xdr:twoCellAnchor>
    <xdr:from>
      <xdr:col>3</xdr:col>
      <xdr:colOff>182880</xdr:colOff>
      <xdr:row>17</xdr:row>
      <xdr:rowOff>15240</xdr:rowOff>
    </xdr:from>
    <xdr:to>
      <xdr:col>6</xdr:col>
      <xdr:colOff>449580</xdr:colOff>
      <xdr:row>17</xdr:row>
      <xdr:rowOff>60960</xdr:rowOff>
    </xdr:to>
    <xdr:sp macro="" textlink="">
      <xdr:nvSpPr>
        <xdr:cNvPr id="26008" name="Freeform 328">
          <a:extLst>
            <a:ext uri="{FF2B5EF4-FFF2-40B4-BE49-F238E27FC236}">
              <a16:creationId xmlns:a16="http://schemas.microsoft.com/office/drawing/2014/main" id="{00000000-0008-0000-0100-000098650000}"/>
            </a:ext>
          </a:extLst>
        </xdr:cNvPr>
        <xdr:cNvSpPr>
          <a:spLocks/>
        </xdr:cNvSpPr>
      </xdr:nvSpPr>
      <xdr:spPr bwMode="auto">
        <a:xfrm>
          <a:off x="3246120" y="3215640"/>
          <a:ext cx="3078480" cy="45720"/>
        </a:xfrm>
        <a:custGeom>
          <a:avLst/>
          <a:gdLst>
            <a:gd name="T0" fmla="*/ 0 w 2980508"/>
            <a:gd name="T1" fmla="*/ 29666 h 48260"/>
            <a:gd name="T2" fmla="*/ 53895 w 2980508"/>
            <a:gd name="T3" fmla="*/ 1413 h 48260"/>
            <a:gd name="T4" fmla="*/ 106103 w 2980508"/>
            <a:gd name="T5" fmla="*/ 28252 h 48260"/>
            <a:gd name="T6" fmla="*/ 161683 w 2980508"/>
            <a:gd name="T7" fmla="*/ 2825 h 48260"/>
            <a:gd name="T8" fmla="*/ 205469 w 2980508"/>
            <a:gd name="T9" fmla="*/ 29666 h 48260"/>
            <a:gd name="T10" fmla="*/ 255995 w 2980508"/>
            <a:gd name="T11" fmla="*/ 2825 h 48260"/>
            <a:gd name="T12" fmla="*/ 299785 w 2980508"/>
            <a:gd name="T13" fmla="*/ 29666 h 48260"/>
            <a:gd name="T14" fmla="*/ 348625 w 2980508"/>
            <a:gd name="T15" fmla="*/ 1413 h 48260"/>
            <a:gd name="T16" fmla="*/ 392413 w 2980508"/>
            <a:gd name="T17" fmla="*/ 29666 h 48260"/>
            <a:gd name="T18" fmla="*/ 439571 w 2980508"/>
            <a:gd name="T19" fmla="*/ 1413 h 48260"/>
            <a:gd name="T20" fmla="*/ 483359 w 2980508"/>
            <a:gd name="T21" fmla="*/ 26841 h 48260"/>
            <a:gd name="T22" fmla="*/ 532200 w 2980508"/>
            <a:gd name="T23" fmla="*/ 2825 h 48260"/>
            <a:gd name="T24" fmla="*/ 577673 w 2980508"/>
            <a:gd name="T25" fmla="*/ 31078 h 48260"/>
            <a:gd name="T26" fmla="*/ 629883 w 2980508"/>
            <a:gd name="T27" fmla="*/ 2825 h 48260"/>
            <a:gd name="T28" fmla="*/ 675355 w 2980508"/>
            <a:gd name="T29" fmla="*/ 29666 h 48260"/>
            <a:gd name="T30" fmla="*/ 720828 w 2980508"/>
            <a:gd name="T31" fmla="*/ 4238 h 48260"/>
            <a:gd name="T32" fmla="*/ 771353 w 2980508"/>
            <a:gd name="T33" fmla="*/ 28252 h 48260"/>
            <a:gd name="T34" fmla="*/ 816827 w 2980508"/>
            <a:gd name="T35" fmla="*/ 1413 h 48260"/>
            <a:gd name="T36" fmla="*/ 869037 w 2980508"/>
            <a:gd name="T37" fmla="*/ 29666 h 48260"/>
            <a:gd name="T38" fmla="*/ 924615 w 2980508"/>
            <a:gd name="T39" fmla="*/ 1413 h 48260"/>
            <a:gd name="T40" fmla="*/ 976824 w 2980508"/>
            <a:gd name="T41" fmla="*/ 29666 h 48260"/>
            <a:gd name="T42" fmla="*/ 1030717 w 2980508"/>
            <a:gd name="T43" fmla="*/ 4238 h 48260"/>
            <a:gd name="T44" fmla="*/ 1089663 w 2980508"/>
            <a:gd name="T45" fmla="*/ 31078 h 48260"/>
            <a:gd name="T46" fmla="*/ 1136821 w 2980508"/>
            <a:gd name="T47" fmla="*/ 2825 h 48260"/>
            <a:gd name="T48" fmla="*/ 1187346 w 2980508"/>
            <a:gd name="T49" fmla="*/ 29666 h 48260"/>
            <a:gd name="T50" fmla="*/ 1241239 w 2980508"/>
            <a:gd name="T51" fmla="*/ 2825 h 48260"/>
            <a:gd name="T52" fmla="*/ 1293451 w 2980508"/>
            <a:gd name="T53" fmla="*/ 28252 h 48260"/>
            <a:gd name="T54" fmla="*/ 1349027 w 2980508"/>
            <a:gd name="T55" fmla="*/ 1413 h 48260"/>
            <a:gd name="T56" fmla="*/ 1399553 w 2980508"/>
            <a:gd name="T57" fmla="*/ 28252 h 48260"/>
            <a:gd name="T58" fmla="*/ 1450077 w 2980508"/>
            <a:gd name="T59" fmla="*/ 1413 h 48260"/>
            <a:gd name="T60" fmla="*/ 1509023 w 2980508"/>
            <a:gd name="T61" fmla="*/ 29666 h 48260"/>
            <a:gd name="T62" fmla="*/ 1559549 w 2980508"/>
            <a:gd name="T63" fmla="*/ 2825 h 48260"/>
            <a:gd name="T64" fmla="*/ 1616811 w 2980508"/>
            <a:gd name="T65" fmla="*/ 31078 h 48260"/>
            <a:gd name="T66" fmla="*/ 1665652 w 2980508"/>
            <a:gd name="T67" fmla="*/ 1413 h 48260"/>
            <a:gd name="T68" fmla="*/ 1721230 w 2980508"/>
            <a:gd name="T69" fmla="*/ 31078 h 48260"/>
            <a:gd name="T70" fmla="*/ 1766700 w 2980508"/>
            <a:gd name="T71" fmla="*/ 2825 h 48260"/>
            <a:gd name="T72" fmla="*/ 1817226 w 2980508"/>
            <a:gd name="T73" fmla="*/ 29666 h 48260"/>
            <a:gd name="T74" fmla="*/ 1866069 w 2980508"/>
            <a:gd name="T75" fmla="*/ 1413 h 48260"/>
            <a:gd name="T76" fmla="*/ 1911540 w 2980508"/>
            <a:gd name="T77" fmla="*/ 29666 h 48260"/>
            <a:gd name="T78" fmla="*/ 1960383 w 2980508"/>
            <a:gd name="T79" fmla="*/ 4238 h 48260"/>
            <a:gd name="T80" fmla="*/ 2024381 w 2980508"/>
            <a:gd name="T81" fmla="*/ 29666 h 48260"/>
            <a:gd name="T82" fmla="*/ 2081643 w 2980508"/>
            <a:gd name="T83" fmla="*/ 1413 h 48260"/>
            <a:gd name="T84" fmla="*/ 2142275 w 2980508"/>
            <a:gd name="T85" fmla="*/ 28252 h 48260"/>
            <a:gd name="T86" fmla="*/ 2201220 w 2980508"/>
            <a:gd name="T87" fmla="*/ 2825 h 48260"/>
            <a:gd name="T88" fmla="*/ 2256796 w 2980508"/>
            <a:gd name="T89" fmla="*/ 26841 h 48260"/>
            <a:gd name="T90" fmla="*/ 2305639 w 2980508"/>
            <a:gd name="T91" fmla="*/ 0 h 48260"/>
            <a:gd name="T92" fmla="*/ 2305639 w 2980508"/>
            <a:gd name="T93" fmla="*/ 0 h 48260"/>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w 2980508"/>
            <a:gd name="T142" fmla="*/ 0 h 48260"/>
            <a:gd name="T143" fmla="*/ 2980508 w 2980508"/>
            <a:gd name="T144" fmla="*/ 48260 h 48260"/>
          </a:gdLst>
          <a:ahLst/>
          <a:cxnLst>
            <a:cxn ang="T94">
              <a:pos x="T0" y="T1"/>
            </a:cxn>
            <a:cxn ang="T95">
              <a:pos x="T2" y="T3"/>
            </a:cxn>
            <a:cxn ang="T96">
              <a:pos x="T4" y="T5"/>
            </a:cxn>
            <a:cxn ang="T97">
              <a:pos x="T6" y="T7"/>
            </a:cxn>
            <a:cxn ang="T98">
              <a:pos x="T8" y="T9"/>
            </a:cxn>
            <a:cxn ang="T99">
              <a:pos x="T10" y="T11"/>
            </a:cxn>
            <a:cxn ang="T100">
              <a:pos x="T12" y="T13"/>
            </a:cxn>
            <a:cxn ang="T101">
              <a:pos x="T14" y="T15"/>
            </a:cxn>
            <a:cxn ang="T102">
              <a:pos x="T16" y="T17"/>
            </a:cxn>
            <a:cxn ang="T103">
              <a:pos x="T18" y="T19"/>
            </a:cxn>
            <a:cxn ang="T104">
              <a:pos x="T20" y="T21"/>
            </a:cxn>
            <a:cxn ang="T105">
              <a:pos x="T22" y="T23"/>
            </a:cxn>
            <a:cxn ang="T106">
              <a:pos x="T24" y="T25"/>
            </a:cxn>
            <a:cxn ang="T107">
              <a:pos x="T26" y="T27"/>
            </a:cxn>
            <a:cxn ang="T108">
              <a:pos x="T28" y="T29"/>
            </a:cxn>
            <a:cxn ang="T109">
              <a:pos x="T30" y="T31"/>
            </a:cxn>
            <a:cxn ang="T110">
              <a:pos x="T32" y="T33"/>
            </a:cxn>
            <a:cxn ang="T111">
              <a:pos x="T34" y="T35"/>
            </a:cxn>
            <a:cxn ang="T112">
              <a:pos x="T36" y="T37"/>
            </a:cxn>
            <a:cxn ang="T113">
              <a:pos x="T38" y="T39"/>
            </a:cxn>
            <a:cxn ang="T114">
              <a:pos x="T40" y="T41"/>
            </a:cxn>
            <a:cxn ang="T115">
              <a:pos x="T42" y="T43"/>
            </a:cxn>
            <a:cxn ang="T116">
              <a:pos x="T44" y="T45"/>
            </a:cxn>
            <a:cxn ang="T117">
              <a:pos x="T46" y="T47"/>
            </a:cxn>
            <a:cxn ang="T118">
              <a:pos x="T48" y="T49"/>
            </a:cxn>
            <a:cxn ang="T119">
              <a:pos x="T50" y="T51"/>
            </a:cxn>
            <a:cxn ang="T120">
              <a:pos x="T52" y="T53"/>
            </a:cxn>
            <a:cxn ang="T121">
              <a:pos x="T54" y="T55"/>
            </a:cxn>
            <a:cxn ang="T122">
              <a:pos x="T56" y="T57"/>
            </a:cxn>
            <a:cxn ang="T123">
              <a:pos x="T58" y="T59"/>
            </a:cxn>
            <a:cxn ang="T124">
              <a:pos x="T60" y="T61"/>
            </a:cxn>
            <a:cxn ang="T125">
              <a:pos x="T62" y="T63"/>
            </a:cxn>
            <a:cxn ang="T126">
              <a:pos x="T64" y="T65"/>
            </a:cxn>
            <a:cxn ang="T127">
              <a:pos x="T66" y="T67"/>
            </a:cxn>
            <a:cxn ang="T128">
              <a:pos x="T68" y="T69"/>
            </a:cxn>
            <a:cxn ang="T129">
              <a:pos x="T70" y="T71"/>
            </a:cxn>
            <a:cxn ang="T130">
              <a:pos x="T72" y="T73"/>
            </a:cxn>
            <a:cxn ang="T131">
              <a:pos x="T74" y="T75"/>
            </a:cxn>
            <a:cxn ang="T132">
              <a:pos x="T76" y="T77"/>
            </a:cxn>
            <a:cxn ang="T133">
              <a:pos x="T78" y="T79"/>
            </a:cxn>
            <a:cxn ang="T134">
              <a:pos x="T80" y="T81"/>
            </a:cxn>
            <a:cxn ang="T135">
              <a:pos x="T82" y="T83"/>
            </a:cxn>
            <a:cxn ang="T136">
              <a:pos x="T84" y="T85"/>
            </a:cxn>
            <a:cxn ang="T137">
              <a:pos x="T86" y="T87"/>
            </a:cxn>
            <a:cxn ang="T138">
              <a:pos x="T88" y="T89"/>
            </a:cxn>
            <a:cxn ang="T139">
              <a:pos x="T90" y="T91"/>
            </a:cxn>
            <a:cxn ang="T140">
              <a:pos x="T92" y="T93"/>
            </a:cxn>
          </a:cxnLst>
          <a:rect l="T141" t="T142" r="T143" b="T144"/>
          <a:pathLst>
            <a:path w="2980508" h="48260">
              <a:moveTo>
                <a:pt x="0" y="45720"/>
              </a:moveTo>
              <a:cubicBezTo>
                <a:pt x="23404" y="24130"/>
                <a:pt x="46808" y="2540"/>
                <a:pt x="69668" y="2177"/>
              </a:cubicBezTo>
              <a:cubicBezTo>
                <a:pt x="92528" y="1814"/>
                <a:pt x="113937" y="43180"/>
                <a:pt x="137160" y="43543"/>
              </a:cubicBezTo>
              <a:cubicBezTo>
                <a:pt x="160383" y="43906"/>
                <a:pt x="187598" y="3992"/>
                <a:pt x="209006" y="4355"/>
              </a:cubicBezTo>
              <a:cubicBezTo>
                <a:pt x="230414" y="4718"/>
                <a:pt x="245291" y="45720"/>
                <a:pt x="265611" y="45720"/>
              </a:cubicBezTo>
              <a:cubicBezTo>
                <a:pt x="285931" y="45720"/>
                <a:pt x="310606" y="4355"/>
                <a:pt x="330926" y="4355"/>
              </a:cubicBezTo>
              <a:cubicBezTo>
                <a:pt x="351246" y="4355"/>
                <a:pt x="367574" y="46083"/>
                <a:pt x="387531" y="45720"/>
              </a:cubicBezTo>
              <a:cubicBezTo>
                <a:pt x="407488" y="45357"/>
                <a:pt x="430711" y="2177"/>
                <a:pt x="450668" y="2177"/>
              </a:cubicBezTo>
              <a:cubicBezTo>
                <a:pt x="470625" y="2177"/>
                <a:pt x="487680" y="45720"/>
                <a:pt x="507274" y="45720"/>
              </a:cubicBezTo>
              <a:cubicBezTo>
                <a:pt x="526868" y="45720"/>
                <a:pt x="548640" y="2903"/>
                <a:pt x="568234" y="2177"/>
              </a:cubicBezTo>
              <a:cubicBezTo>
                <a:pt x="587828" y="1451"/>
                <a:pt x="604883" y="41003"/>
                <a:pt x="624840" y="41366"/>
              </a:cubicBezTo>
              <a:cubicBezTo>
                <a:pt x="644797" y="41729"/>
                <a:pt x="667657" y="3267"/>
                <a:pt x="687977" y="4355"/>
              </a:cubicBezTo>
              <a:cubicBezTo>
                <a:pt x="708297" y="5443"/>
                <a:pt x="725714" y="47897"/>
                <a:pt x="746760" y="47897"/>
              </a:cubicBezTo>
              <a:cubicBezTo>
                <a:pt x="767806" y="47897"/>
                <a:pt x="793205" y="4718"/>
                <a:pt x="814251" y="4355"/>
              </a:cubicBezTo>
              <a:cubicBezTo>
                <a:pt x="835297" y="3992"/>
                <a:pt x="853440" y="45357"/>
                <a:pt x="873034" y="45720"/>
              </a:cubicBezTo>
              <a:cubicBezTo>
                <a:pt x="892628" y="46083"/>
                <a:pt x="911134" y="6895"/>
                <a:pt x="931817" y="6532"/>
              </a:cubicBezTo>
              <a:cubicBezTo>
                <a:pt x="952500" y="6169"/>
                <a:pt x="976448" y="44269"/>
                <a:pt x="997131" y="43543"/>
              </a:cubicBezTo>
              <a:cubicBezTo>
                <a:pt x="1017814" y="42817"/>
                <a:pt x="1034868" y="1814"/>
                <a:pt x="1055914" y="2177"/>
              </a:cubicBezTo>
              <a:cubicBezTo>
                <a:pt x="1076960" y="2540"/>
                <a:pt x="1100183" y="45720"/>
                <a:pt x="1123406" y="45720"/>
              </a:cubicBezTo>
              <a:cubicBezTo>
                <a:pt x="1146629" y="45720"/>
                <a:pt x="1172028" y="2177"/>
                <a:pt x="1195251" y="2177"/>
              </a:cubicBezTo>
              <a:cubicBezTo>
                <a:pt x="1218474" y="2177"/>
                <a:pt x="1239883" y="44994"/>
                <a:pt x="1262743" y="45720"/>
              </a:cubicBezTo>
              <a:cubicBezTo>
                <a:pt x="1285603" y="46446"/>
                <a:pt x="1308100" y="6169"/>
                <a:pt x="1332411" y="6532"/>
              </a:cubicBezTo>
              <a:cubicBezTo>
                <a:pt x="1356722" y="6895"/>
                <a:pt x="1385751" y="48260"/>
                <a:pt x="1408611" y="47897"/>
              </a:cubicBezTo>
              <a:cubicBezTo>
                <a:pt x="1431471" y="47534"/>
                <a:pt x="1448525" y="4718"/>
                <a:pt x="1469571" y="4355"/>
              </a:cubicBezTo>
              <a:cubicBezTo>
                <a:pt x="1490617" y="3992"/>
                <a:pt x="1512389" y="45720"/>
                <a:pt x="1534886" y="45720"/>
              </a:cubicBezTo>
              <a:cubicBezTo>
                <a:pt x="1557383" y="45720"/>
                <a:pt x="1581694" y="4718"/>
                <a:pt x="1604554" y="4355"/>
              </a:cubicBezTo>
              <a:cubicBezTo>
                <a:pt x="1627414" y="3992"/>
                <a:pt x="1648823" y="43906"/>
                <a:pt x="1672046" y="43543"/>
              </a:cubicBezTo>
              <a:cubicBezTo>
                <a:pt x="1695269" y="43180"/>
                <a:pt x="1721031" y="2177"/>
                <a:pt x="1743891" y="2177"/>
              </a:cubicBezTo>
              <a:cubicBezTo>
                <a:pt x="1766751" y="2177"/>
                <a:pt x="1787435" y="43543"/>
                <a:pt x="1809206" y="43543"/>
              </a:cubicBezTo>
              <a:cubicBezTo>
                <a:pt x="1830977" y="43543"/>
                <a:pt x="1850934" y="1814"/>
                <a:pt x="1874520" y="2177"/>
              </a:cubicBezTo>
              <a:cubicBezTo>
                <a:pt x="1898106" y="2540"/>
                <a:pt x="1927134" y="45357"/>
                <a:pt x="1950720" y="45720"/>
              </a:cubicBezTo>
              <a:cubicBezTo>
                <a:pt x="1974306" y="46083"/>
                <a:pt x="1992811" y="3992"/>
                <a:pt x="2016034" y="4355"/>
              </a:cubicBezTo>
              <a:cubicBezTo>
                <a:pt x="2039257" y="4718"/>
                <a:pt x="2067197" y="48260"/>
                <a:pt x="2090057" y="47897"/>
              </a:cubicBezTo>
              <a:cubicBezTo>
                <a:pt x="2112917" y="47534"/>
                <a:pt x="2130697" y="2177"/>
                <a:pt x="2153194" y="2177"/>
              </a:cubicBezTo>
              <a:cubicBezTo>
                <a:pt x="2175691" y="2177"/>
                <a:pt x="2203269" y="47534"/>
                <a:pt x="2225040" y="47897"/>
              </a:cubicBezTo>
              <a:cubicBezTo>
                <a:pt x="2246811" y="48260"/>
                <a:pt x="2263140" y="4718"/>
                <a:pt x="2283823" y="4355"/>
              </a:cubicBezTo>
              <a:cubicBezTo>
                <a:pt x="2304506" y="3992"/>
                <a:pt x="2327729" y="46083"/>
                <a:pt x="2349137" y="45720"/>
              </a:cubicBezTo>
              <a:cubicBezTo>
                <a:pt x="2370545" y="45357"/>
                <a:pt x="2391954" y="2177"/>
                <a:pt x="2412274" y="2177"/>
              </a:cubicBezTo>
              <a:cubicBezTo>
                <a:pt x="2432594" y="2177"/>
                <a:pt x="2450737" y="44994"/>
                <a:pt x="2471057" y="45720"/>
              </a:cubicBezTo>
              <a:cubicBezTo>
                <a:pt x="2491377" y="46446"/>
                <a:pt x="2509883" y="6532"/>
                <a:pt x="2534194" y="6532"/>
              </a:cubicBezTo>
              <a:cubicBezTo>
                <a:pt x="2558505" y="6532"/>
                <a:pt x="2590800" y="46446"/>
                <a:pt x="2616926" y="45720"/>
              </a:cubicBezTo>
              <a:cubicBezTo>
                <a:pt x="2643052" y="44994"/>
                <a:pt x="2665548" y="2540"/>
                <a:pt x="2690948" y="2177"/>
              </a:cubicBezTo>
              <a:cubicBezTo>
                <a:pt x="2716348" y="1814"/>
                <a:pt x="2743563" y="43180"/>
                <a:pt x="2769326" y="43543"/>
              </a:cubicBezTo>
              <a:cubicBezTo>
                <a:pt x="2795089" y="43906"/>
                <a:pt x="2820852" y="4718"/>
                <a:pt x="2845526" y="4355"/>
              </a:cubicBezTo>
              <a:cubicBezTo>
                <a:pt x="2870200" y="3992"/>
                <a:pt x="2894874" y="42092"/>
                <a:pt x="2917371" y="41366"/>
              </a:cubicBezTo>
              <a:cubicBezTo>
                <a:pt x="2939868" y="40640"/>
                <a:pt x="2980508" y="0"/>
                <a:pt x="2980508" y="0"/>
              </a:cubicBezTo>
            </a:path>
          </a:pathLst>
        </a:custGeom>
        <a:solidFill>
          <a:srgbClr val="FFFFFF"/>
        </a:solidFill>
        <a:ln w="9525" cap="flat" cmpd="sng" algn="ctr">
          <a:solidFill>
            <a:srgbClr val="000000"/>
          </a:solidFill>
          <a:prstDash val="solid"/>
          <a:round/>
          <a:headEnd type="none" w="med" len="med"/>
          <a:tailEnd type="none" w="med" len="med"/>
        </a:ln>
      </xdr:spPr>
    </xdr:sp>
    <xdr:clientData/>
  </xdr:twoCellAnchor>
  <xdr:twoCellAnchor>
    <xdr:from>
      <xdr:col>4</xdr:col>
      <xdr:colOff>594360</xdr:colOff>
      <xdr:row>14</xdr:row>
      <xdr:rowOff>175260</xdr:rowOff>
    </xdr:from>
    <xdr:to>
      <xdr:col>4</xdr:col>
      <xdr:colOff>670560</xdr:colOff>
      <xdr:row>14</xdr:row>
      <xdr:rowOff>175260</xdr:rowOff>
    </xdr:to>
    <xdr:cxnSp macro="">
      <xdr:nvCxnSpPr>
        <xdr:cNvPr id="26009" name="Straight Connector 330">
          <a:extLst>
            <a:ext uri="{FF2B5EF4-FFF2-40B4-BE49-F238E27FC236}">
              <a16:creationId xmlns:a16="http://schemas.microsoft.com/office/drawing/2014/main" id="{00000000-0008-0000-0100-000099650000}"/>
            </a:ext>
          </a:extLst>
        </xdr:cNvPr>
        <xdr:cNvCxnSpPr>
          <a:cxnSpLocks noChangeShapeType="1"/>
        </xdr:cNvCxnSpPr>
      </xdr:nvCxnSpPr>
      <xdr:spPr bwMode="auto">
        <a:xfrm>
          <a:off x="4861560" y="2804160"/>
          <a:ext cx="76200" cy="0"/>
        </a:xfrm>
        <a:prstGeom prst="line">
          <a:avLst/>
        </a:prstGeom>
        <a:noFill/>
        <a:ln w="3175" algn="ctr">
          <a:solidFill>
            <a:srgbClr val="000000"/>
          </a:solidFill>
          <a:round/>
          <a:headEnd/>
          <a:tailEnd/>
        </a:ln>
      </xdr:spPr>
    </xdr:cxnSp>
    <xdr:clientData/>
  </xdr:twoCellAnchor>
  <xdr:twoCellAnchor>
    <xdr:from>
      <xdr:col>4</xdr:col>
      <xdr:colOff>815340</xdr:colOff>
      <xdr:row>14</xdr:row>
      <xdr:rowOff>22860</xdr:rowOff>
    </xdr:from>
    <xdr:to>
      <xdr:col>5</xdr:col>
      <xdr:colOff>175260</xdr:colOff>
      <xdr:row>14</xdr:row>
      <xdr:rowOff>22860</xdr:rowOff>
    </xdr:to>
    <xdr:cxnSp macro="">
      <xdr:nvCxnSpPr>
        <xdr:cNvPr id="26010" name="Straight Arrow Connector 352">
          <a:extLst>
            <a:ext uri="{FF2B5EF4-FFF2-40B4-BE49-F238E27FC236}">
              <a16:creationId xmlns:a16="http://schemas.microsoft.com/office/drawing/2014/main" id="{00000000-0008-0000-0100-00009A650000}"/>
            </a:ext>
          </a:extLst>
        </xdr:cNvPr>
        <xdr:cNvCxnSpPr>
          <a:cxnSpLocks noChangeShapeType="1"/>
        </xdr:cNvCxnSpPr>
      </xdr:nvCxnSpPr>
      <xdr:spPr bwMode="auto">
        <a:xfrm flipV="1">
          <a:off x="5082540" y="2651760"/>
          <a:ext cx="190500" cy="0"/>
        </a:xfrm>
        <a:prstGeom prst="straightConnector1">
          <a:avLst/>
        </a:prstGeom>
        <a:noFill/>
        <a:ln w="3175" algn="ctr">
          <a:solidFill>
            <a:srgbClr val="000000"/>
          </a:solidFill>
          <a:round/>
          <a:headEnd/>
          <a:tailEnd type="stealth" w="sm" len="sm"/>
        </a:ln>
      </xdr:spPr>
    </xdr:cxnSp>
    <xdr:clientData/>
  </xdr:twoCellAnchor>
  <xdr:twoCellAnchor>
    <xdr:from>
      <xdr:col>4</xdr:col>
      <xdr:colOff>822960</xdr:colOff>
      <xdr:row>18</xdr:row>
      <xdr:rowOff>7620</xdr:rowOff>
    </xdr:from>
    <xdr:to>
      <xdr:col>5</xdr:col>
      <xdr:colOff>175260</xdr:colOff>
      <xdr:row>18</xdr:row>
      <xdr:rowOff>15240</xdr:rowOff>
    </xdr:to>
    <xdr:cxnSp macro="">
      <xdr:nvCxnSpPr>
        <xdr:cNvPr id="26011" name="Straight Arrow Connector 359">
          <a:extLst>
            <a:ext uri="{FF2B5EF4-FFF2-40B4-BE49-F238E27FC236}">
              <a16:creationId xmlns:a16="http://schemas.microsoft.com/office/drawing/2014/main" id="{00000000-0008-0000-0100-00009B650000}"/>
            </a:ext>
          </a:extLst>
        </xdr:cNvPr>
        <xdr:cNvCxnSpPr>
          <a:cxnSpLocks noChangeShapeType="1"/>
        </xdr:cNvCxnSpPr>
      </xdr:nvCxnSpPr>
      <xdr:spPr bwMode="auto">
        <a:xfrm flipV="1">
          <a:off x="5090160" y="3398520"/>
          <a:ext cx="182880" cy="7620"/>
        </a:xfrm>
        <a:prstGeom prst="straightConnector1">
          <a:avLst/>
        </a:prstGeom>
        <a:noFill/>
        <a:ln w="3175" algn="ctr">
          <a:solidFill>
            <a:srgbClr val="000000"/>
          </a:solidFill>
          <a:round/>
          <a:headEnd/>
          <a:tailEnd type="stealth" w="sm" len="sm"/>
        </a:ln>
      </xdr:spPr>
    </xdr:cxnSp>
    <xdr:clientData/>
  </xdr:twoCellAnchor>
  <xdr:twoCellAnchor>
    <xdr:from>
      <xdr:col>4</xdr:col>
      <xdr:colOff>822960</xdr:colOff>
      <xdr:row>14</xdr:row>
      <xdr:rowOff>22860</xdr:rowOff>
    </xdr:from>
    <xdr:to>
      <xdr:col>4</xdr:col>
      <xdr:colOff>822960</xdr:colOff>
      <xdr:row>14</xdr:row>
      <xdr:rowOff>114300</xdr:rowOff>
    </xdr:to>
    <xdr:cxnSp macro="">
      <xdr:nvCxnSpPr>
        <xdr:cNvPr id="26012" name="Straight Connector 361">
          <a:extLst>
            <a:ext uri="{FF2B5EF4-FFF2-40B4-BE49-F238E27FC236}">
              <a16:creationId xmlns:a16="http://schemas.microsoft.com/office/drawing/2014/main" id="{00000000-0008-0000-0100-00009C650000}"/>
            </a:ext>
          </a:extLst>
        </xdr:cNvPr>
        <xdr:cNvCxnSpPr>
          <a:cxnSpLocks noChangeShapeType="1"/>
        </xdr:cNvCxnSpPr>
      </xdr:nvCxnSpPr>
      <xdr:spPr bwMode="auto">
        <a:xfrm rot="5400000">
          <a:off x="5044440" y="2697480"/>
          <a:ext cx="91440" cy="0"/>
        </a:xfrm>
        <a:prstGeom prst="line">
          <a:avLst/>
        </a:prstGeom>
        <a:noFill/>
        <a:ln w="6350" algn="ctr">
          <a:solidFill>
            <a:srgbClr val="000000"/>
          </a:solidFill>
          <a:round/>
          <a:headEnd/>
          <a:tailEnd/>
        </a:ln>
      </xdr:spPr>
    </xdr:cxnSp>
    <xdr:clientData/>
  </xdr:twoCellAnchor>
  <xdr:twoCellAnchor>
    <xdr:from>
      <xdr:col>4</xdr:col>
      <xdr:colOff>822960</xdr:colOff>
      <xdr:row>17</xdr:row>
      <xdr:rowOff>106680</xdr:rowOff>
    </xdr:from>
    <xdr:to>
      <xdr:col>4</xdr:col>
      <xdr:colOff>822960</xdr:colOff>
      <xdr:row>18</xdr:row>
      <xdr:rowOff>15240</xdr:rowOff>
    </xdr:to>
    <xdr:cxnSp macro="">
      <xdr:nvCxnSpPr>
        <xdr:cNvPr id="26013" name="Straight Connector 363">
          <a:extLst>
            <a:ext uri="{FF2B5EF4-FFF2-40B4-BE49-F238E27FC236}">
              <a16:creationId xmlns:a16="http://schemas.microsoft.com/office/drawing/2014/main" id="{00000000-0008-0000-0100-00009D650000}"/>
            </a:ext>
          </a:extLst>
        </xdr:cNvPr>
        <xdr:cNvCxnSpPr>
          <a:cxnSpLocks noChangeShapeType="1"/>
        </xdr:cNvCxnSpPr>
      </xdr:nvCxnSpPr>
      <xdr:spPr bwMode="auto">
        <a:xfrm rot="5400000">
          <a:off x="5040630" y="3356610"/>
          <a:ext cx="99060" cy="0"/>
        </a:xfrm>
        <a:prstGeom prst="line">
          <a:avLst/>
        </a:prstGeom>
        <a:noFill/>
        <a:ln w="6350" algn="ctr">
          <a:solidFill>
            <a:srgbClr val="000000"/>
          </a:solidFill>
          <a:round/>
          <a:headEnd/>
          <a:tailEnd/>
        </a:ln>
      </xdr:spPr>
    </xdr:cxnSp>
    <xdr:clientData/>
  </xdr:twoCellAnchor>
  <xdr:twoCellAnchor>
    <xdr:from>
      <xdr:col>6</xdr:col>
      <xdr:colOff>323850</xdr:colOff>
      <xdr:row>18</xdr:row>
      <xdr:rowOff>55245</xdr:rowOff>
    </xdr:from>
    <xdr:to>
      <xdr:col>8</xdr:col>
      <xdr:colOff>266700</xdr:colOff>
      <xdr:row>19</xdr:row>
      <xdr:rowOff>76201</xdr:rowOff>
    </xdr:to>
    <xdr:sp macro="" textlink="">
      <xdr:nvSpPr>
        <xdr:cNvPr id="120" name="TextBox 119">
          <a:extLst>
            <a:ext uri="{FF2B5EF4-FFF2-40B4-BE49-F238E27FC236}">
              <a16:creationId xmlns:a16="http://schemas.microsoft.com/office/drawing/2014/main" id="{00000000-0008-0000-0100-000078000000}"/>
            </a:ext>
          </a:extLst>
        </xdr:cNvPr>
        <xdr:cNvSpPr txBox="1"/>
      </xdr:nvSpPr>
      <xdr:spPr>
        <a:xfrm>
          <a:off x="3981450" y="3240405"/>
          <a:ext cx="1162050" cy="188596"/>
        </a:xfrm>
        <a:prstGeom prst="rect">
          <a:avLst/>
        </a:prstGeom>
        <a:solidFill>
          <a:schemeClr val="lt1"/>
        </a:solidFill>
        <a:ln w="0"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a:t>SEE</a:t>
          </a:r>
          <a:r>
            <a:rPr lang="en-US" sz="800" baseline="0"/>
            <a:t> SETAIL "B"</a:t>
          </a:r>
          <a:endParaRPr lang="en-US" sz="800"/>
        </a:p>
      </xdr:txBody>
    </xdr:sp>
    <xdr:clientData/>
  </xdr:twoCellAnchor>
  <xdr:twoCellAnchor>
    <xdr:from>
      <xdr:col>6</xdr:col>
      <xdr:colOff>167640</xdr:colOff>
      <xdr:row>17</xdr:row>
      <xdr:rowOff>160020</xdr:rowOff>
    </xdr:from>
    <xdr:to>
      <xdr:col>6</xdr:col>
      <xdr:colOff>327660</xdr:colOff>
      <xdr:row>18</xdr:row>
      <xdr:rowOff>160020</xdr:rowOff>
    </xdr:to>
    <xdr:cxnSp macro="">
      <xdr:nvCxnSpPr>
        <xdr:cNvPr id="26015" name="Straight Connector 369">
          <a:extLst>
            <a:ext uri="{FF2B5EF4-FFF2-40B4-BE49-F238E27FC236}">
              <a16:creationId xmlns:a16="http://schemas.microsoft.com/office/drawing/2014/main" id="{00000000-0008-0000-0100-00009F650000}"/>
            </a:ext>
          </a:extLst>
        </xdr:cNvPr>
        <xdr:cNvCxnSpPr>
          <a:cxnSpLocks noChangeShapeType="1"/>
          <a:stCxn id="25901" idx="4"/>
          <a:endCxn id="120" idx="1"/>
        </xdr:cNvCxnSpPr>
      </xdr:nvCxnSpPr>
      <xdr:spPr bwMode="auto">
        <a:xfrm rot="16200000" flipH="1">
          <a:off x="6027420" y="3375660"/>
          <a:ext cx="190500" cy="160020"/>
        </a:xfrm>
        <a:prstGeom prst="line">
          <a:avLst/>
        </a:prstGeom>
        <a:noFill/>
        <a:ln w="3175" algn="ctr">
          <a:solidFill>
            <a:srgbClr val="000000"/>
          </a:solidFill>
          <a:round/>
          <a:headEnd/>
          <a:tailEnd/>
        </a:ln>
      </xdr:spPr>
    </xdr:cxnSp>
    <xdr:clientData/>
  </xdr:twoCellAnchor>
  <xdr:twoCellAnchor>
    <xdr:from>
      <xdr:col>3</xdr:col>
      <xdr:colOff>1150620</xdr:colOff>
      <xdr:row>14</xdr:row>
      <xdr:rowOff>175260</xdr:rowOff>
    </xdr:from>
    <xdr:to>
      <xdr:col>4</xdr:col>
      <xdr:colOff>129540</xdr:colOff>
      <xdr:row>15</xdr:row>
      <xdr:rowOff>91440</xdr:rowOff>
    </xdr:to>
    <xdr:cxnSp macro="">
      <xdr:nvCxnSpPr>
        <xdr:cNvPr id="26016" name="Straight Arrow Connector 371">
          <a:extLst>
            <a:ext uri="{FF2B5EF4-FFF2-40B4-BE49-F238E27FC236}">
              <a16:creationId xmlns:a16="http://schemas.microsoft.com/office/drawing/2014/main" id="{00000000-0008-0000-0100-0000A0650000}"/>
            </a:ext>
          </a:extLst>
        </xdr:cNvPr>
        <xdr:cNvCxnSpPr>
          <a:cxnSpLocks noChangeShapeType="1"/>
        </xdr:cNvCxnSpPr>
      </xdr:nvCxnSpPr>
      <xdr:spPr bwMode="auto">
        <a:xfrm flipV="1">
          <a:off x="4213860" y="2804160"/>
          <a:ext cx="182880" cy="106680"/>
        </a:xfrm>
        <a:prstGeom prst="straightConnector1">
          <a:avLst/>
        </a:prstGeom>
        <a:noFill/>
        <a:ln w="3175" algn="ctr">
          <a:solidFill>
            <a:srgbClr val="000000"/>
          </a:solidFill>
          <a:round/>
          <a:headEnd/>
          <a:tailEnd type="stealth" w="sm" len="sm"/>
        </a:ln>
      </xdr:spPr>
    </xdr:cxnSp>
    <xdr:clientData/>
  </xdr:twoCellAnchor>
  <xdr:twoCellAnchor>
    <xdr:from>
      <xdr:col>3</xdr:col>
      <xdr:colOff>1165860</xdr:colOff>
      <xdr:row>16</xdr:row>
      <xdr:rowOff>35560</xdr:rowOff>
    </xdr:from>
    <xdr:to>
      <xdr:col>4</xdr:col>
      <xdr:colOff>198120</xdr:colOff>
      <xdr:row>17</xdr:row>
      <xdr:rowOff>15240</xdr:rowOff>
    </xdr:to>
    <xdr:cxnSp macro="">
      <xdr:nvCxnSpPr>
        <xdr:cNvPr id="26017" name="Straight Arrow Connector 374">
          <a:extLst>
            <a:ext uri="{FF2B5EF4-FFF2-40B4-BE49-F238E27FC236}">
              <a16:creationId xmlns:a16="http://schemas.microsoft.com/office/drawing/2014/main" id="{00000000-0008-0000-0100-0000A1650000}"/>
            </a:ext>
          </a:extLst>
        </xdr:cNvPr>
        <xdr:cNvCxnSpPr>
          <a:cxnSpLocks noChangeShapeType="1"/>
        </xdr:cNvCxnSpPr>
      </xdr:nvCxnSpPr>
      <xdr:spPr bwMode="auto">
        <a:xfrm>
          <a:off x="4229100" y="3045460"/>
          <a:ext cx="236220" cy="170180"/>
        </a:xfrm>
        <a:prstGeom prst="straightConnector1">
          <a:avLst/>
        </a:prstGeom>
        <a:noFill/>
        <a:ln w="3175" algn="ctr">
          <a:solidFill>
            <a:srgbClr val="000000"/>
          </a:solidFill>
          <a:round/>
          <a:headEnd/>
          <a:tailEnd type="stealth" w="sm" len="sm"/>
        </a:ln>
      </xdr:spPr>
    </xdr:cxnSp>
    <xdr:clientData/>
  </xdr:twoCellAnchor>
  <xdr:twoCellAnchor>
    <xdr:from>
      <xdr:col>3</xdr:col>
      <xdr:colOff>716280</xdr:colOff>
      <xdr:row>17</xdr:row>
      <xdr:rowOff>99060</xdr:rowOff>
    </xdr:from>
    <xdr:to>
      <xdr:col>3</xdr:col>
      <xdr:colOff>716280</xdr:colOff>
      <xdr:row>18</xdr:row>
      <xdr:rowOff>45720</xdr:rowOff>
    </xdr:to>
    <xdr:cxnSp macro="">
      <xdr:nvCxnSpPr>
        <xdr:cNvPr id="26018" name="Straight Connector 379">
          <a:extLst>
            <a:ext uri="{FF2B5EF4-FFF2-40B4-BE49-F238E27FC236}">
              <a16:creationId xmlns:a16="http://schemas.microsoft.com/office/drawing/2014/main" id="{00000000-0008-0000-0100-0000A2650000}"/>
            </a:ext>
          </a:extLst>
        </xdr:cNvPr>
        <xdr:cNvCxnSpPr>
          <a:cxnSpLocks noChangeShapeType="1"/>
        </xdr:cNvCxnSpPr>
      </xdr:nvCxnSpPr>
      <xdr:spPr bwMode="auto">
        <a:xfrm rot="5400000">
          <a:off x="3710940" y="3368040"/>
          <a:ext cx="137160" cy="0"/>
        </a:xfrm>
        <a:prstGeom prst="line">
          <a:avLst/>
        </a:prstGeom>
        <a:noFill/>
        <a:ln w="3175" algn="ctr">
          <a:solidFill>
            <a:srgbClr val="000000"/>
          </a:solidFill>
          <a:round/>
          <a:headEnd/>
          <a:tailEnd/>
        </a:ln>
      </xdr:spPr>
    </xdr:cxnSp>
    <xdr:clientData/>
  </xdr:twoCellAnchor>
  <xdr:twoCellAnchor>
    <xdr:from>
      <xdr:col>3</xdr:col>
      <xdr:colOff>830580</xdr:colOff>
      <xdr:row>17</xdr:row>
      <xdr:rowOff>99060</xdr:rowOff>
    </xdr:from>
    <xdr:to>
      <xdr:col>3</xdr:col>
      <xdr:colOff>830580</xdr:colOff>
      <xdr:row>18</xdr:row>
      <xdr:rowOff>45720</xdr:rowOff>
    </xdr:to>
    <xdr:cxnSp macro="">
      <xdr:nvCxnSpPr>
        <xdr:cNvPr id="26019" name="Straight Connector 380">
          <a:extLst>
            <a:ext uri="{FF2B5EF4-FFF2-40B4-BE49-F238E27FC236}">
              <a16:creationId xmlns:a16="http://schemas.microsoft.com/office/drawing/2014/main" id="{00000000-0008-0000-0100-0000A3650000}"/>
            </a:ext>
          </a:extLst>
        </xdr:cNvPr>
        <xdr:cNvCxnSpPr>
          <a:cxnSpLocks noChangeShapeType="1"/>
        </xdr:cNvCxnSpPr>
      </xdr:nvCxnSpPr>
      <xdr:spPr bwMode="auto">
        <a:xfrm rot="5400000">
          <a:off x="3825240" y="3368040"/>
          <a:ext cx="137160" cy="0"/>
        </a:xfrm>
        <a:prstGeom prst="line">
          <a:avLst/>
        </a:prstGeom>
        <a:noFill/>
        <a:ln w="3175" algn="ctr">
          <a:solidFill>
            <a:srgbClr val="000000"/>
          </a:solidFill>
          <a:round/>
          <a:headEnd/>
          <a:tailEnd/>
        </a:ln>
      </xdr:spPr>
    </xdr:cxnSp>
    <xdr:clientData/>
  </xdr:twoCellAnchor>
  <xdr:twoCellAnchor>
    <xdr:from>
      <xdr:col>3</xdr:col>
      <xdr:colOff>525780</xdr:colOff>
      <xdr:row>17</xdr:row>
      <xdr:rowOff>182880</xdr:rowOff>
    </xdr:from>
    <xdr:to>
      <xdr:col>3</xdr:col>
      <xdr:colOff>716280</xdr:colOff>
      <xdr:row>17</xdr:row>
      <xdr:rowOff>182880</xdr:rowOff>
    </xdr:to>
    <xdr:cxnSp macro="">
      <xdr:nvCxnSpPr>
        <xdr:cNvPr id="26020" name="Straight Arrow Connector 384">
          <a:extLst>
            <a:ext uri="{FF2B5EF4-FFF2-40B4-BE49-F238E27FC236}">
              <a16:creationId xmlns:a16="http://schemas.microsoft.com/office/drawing/2014/main" id="{00000000-0008-0000-0100-0000A4650000}"/>
            </a:ext>
          </a:extLst>
        </xdr:cNvPr>
        <xdr:cNvCxnSpPr>
          <a:cxnSpLocks noChangeShapeType="1"/>
        </xdr:cNvCxnSpPr>
      </xdr:nvCxnSpPr>
      <xdr:spPr bwMode="auto">
        <a:xfrm flipV="1">
          <a:off x="3589020" y="3383280"/>
          <a:ext cx="190500" cy="0"/>
        </a:xfrm>
        <a:prstGeom prst="straightConnector1">
          <a:avLst/>
        </a:prstGeom>
        <a:noFill/>
        <a:ln w="3175" algn="ctr">
          <a:solidFill>
            <a:srgbClr val="000000"/>
          </a:solidFill>
          <a:round/>
          <a:headEnd/>
          <a:tailEnd type="stealth" w="med" len="sm"/>
        </a:ln>
      </xdr:spPr>
    </xdr:cxnSp>
    <xdr:clientData/>
  </xdr:twoCellAnchor>
  <xdr:twoCellAnchor>
    <xdr:from>
      <xdr:col>3</xdr:col>
      <xdr:colOff>830580</xdr:colOff>
      <xdr:row>17</xdr:row>
      <xdr:rowOff>182880</xdr:rowOff>
    </xdr:from>
    <xdr:to>
      <xdr:col>3</xdr:col>
      <xdr:colOff>1005840</xdr:colOff>
      <xdr:row>17</xdr:row>
      <xdr:rowOff>182880</xdr:rowOff>
    </xdr:to>
    <xdr:cxnSp macro="">
      <xdr:nvCxnSpPr>
        <xdr:cNvPr id="26021" name="Straight Arrow Connector 393">
          <a:extLst>
            <a:ext uri="{FF2B5EF4-FFF2-40B4-BE49-F238E27FC236}">
              <a16:creationId xmlns:a16="http://schemas.microsoft.com/office/drawing/2014/main" id="{00000000-0008-0000-0100-0000A5650000}"/>
            </a:ext>
          </a:extLst>
        </xdr:cNvPr>
        <xdr:cNvCxnSpPr>
          <a:cxnSpLocks noChangeShapeType="1"/>
        </xdr:cNvCxnSpPr>
      </xdr:nvCxnSpPr>
      <xdr:spPr bwMode="auto">
        <a:xfrm rot="10800000">
          <a:off x="3893820" y="3383280"/>
          <a:ext cx="175260" cy="0"/>
        </a:xfrm>
        <a:prstGeom prst="straightConnector1">
          <a:avLst/>
        </a:prstGeom>
        <a:noFill/>
        <a:ln w="3175" algn="ctr">
          <a:solidFill>
            <a:srgbClr val="000000"/>
          </a:solidFill>
          <a:round/>
          <a:headEnd/>
          <a:tailEnd type="stealth" w="sm" len="sm"/>
        </a:ln>
      </xdr:spPr>
    </xdr:cxnSp>
    <xdr:clientData/>
  </xdr:twoCellAnchor>
  <xdr:twoCellAnchor>
    <xdr:from>
      <xdr:col>4</xdr:col>
      <xdr:colOff>247650</xdr:colOff>
      <xdr:row>18</xdr:row>
      <xdr:rowOff>99060</xdr:rowOff>
    </xdr:from>
    <xdr:to>
      <xdr:col>5</xdr:col>
      <xdr:colOff>586740</xdr:colOff>
      <xdr:row>20</xdr:row>
      <xdr:rowOff>76200</xdr:rowOff>
    </xdr:to>
    <xdr:sp macro="" textlink="">
      <xdr:nvSpPr>
        <xdr:cNvPr id="128" name="TextBox 127">
          <a:extLst>
            <a:ext uri="{FF2B5EF4-FFF2-40B4-BE49-F238E27FC236}">
              <a16:creationId xmlns:a16="http://schemas.microsoft.com/office/drawing/2014/main" id="{00000000-0008-0000-0100-000080000000}"/>
            </a:ext>
          </a:extLst>
        </xdr:cNvPr>
        <xdr:cNvSpPr txBox="1"/>
      </xdr:nvSpPr>
      <xdr:spPr>
        <a:xfrm>
          <a:off x="2686050" y="3284220"/>
          <a:ext cx="948690" cy="3124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1" u="sng" baseline="0"/>
            <a:t>ELEVATION</a:t>
          </a:r>
        </a:p>
      </xdr:txBody>
    </xdr:sp>
    <xdr:clientData/>
  </xdr:twoCellAnchor>
  <xdr:twoCellAnchor>
    <xdr:from>
      <xdr:col>2</xdr:col>
      <xdr:colOff>1303020</xdr:colOff>
      <xdr:row>24</xdr:row>
      <xdr:rowOff>45720</xdr:rowOff>
    </xdr:from>
    <xdr:to>
      <xdr:col>4</xdr:col>
      <xdr:colOff>769620</xdr:colOff>
      <xdr:row>26</xdr:row>
      <xdr:rowOff>0</xdr:rowOff>
    </xdr:to>
    <xdr:sp macro="" textlink="">
      <xdr:nvSpPr>
        <xdr:cNvPr id="26023" name="Freeform 449">
          <a:extLst>
            <a:ext uri="{FF2B5EF4-FFF2-40B4-BE49-F238E27FC236}">
              <a16:creationId xmlns:a16="http://schemas.microsoft.com/office/drawing/2014/main" id="{00000000-0008-0000-0100-0000A7650000}"/>
            </a:ext>
          </a:extLst>
        </xdr:cNvPr>
        <xdr:cNvSpPr>
          <a:spLocks/>
        </xdr:cNvSpPr>
      </xdr:nvSpPr>
      <xdr:spPr bwMode="auto">
        <a:xfrm>
          <a:off x="2369820" y="4579620"/>
          <a:ext cx="2667000" cy="335280"/>
        </a:xfrm>
        <a:custGeom>
          <a:avLst/>
          <a:gdLst>
            <a:gd name="T0" fmla="*/ 0 w 2570480"/>
            <a:gd name="T1" fmla="*/ 0 h 340360"/>
            <a:gd name="T2" fmla="*/ 305588 w 2570480"/>
            <a:gd name="T3" fmla="*/ 258684 h 340360"/>
            <a:gd name="T4" fmla="*/ 656749 w 2570480"/>
            <a:gd name="T5" fmla="*/ 0 h 340360"/>
            <a:gd name="T6" fmla="*/ 1022651 w 2570480"/>
            <a:gd name="T7" fmla="*/ 258684 h 340360"/>
            <a:gd name="T8" fmla="*/ 1356388 w 2570480"/>
            <a:gd name="T9" fmla="*/ 0 h 340360"/>
            <a:gd name="T10" fmla="*/ 1356388 w 2570480"/>
            <a:gd name="T11" fmla="*/ 0 h 340360"/>
            <a:gd name="T12" fmla="*/ 0 60000 65536"/>
            <a:gd name="T13" fmla="*/ 0 60000 65536"/>
            <a:gd name="T14" fmla="*/ 0 60000 65536"/>
            <a:gd name="T15" fmla="*/ 0 60000 65536"/>
            <a:gd name="T16" fmla="*/ 0 60000 65536"/>
            <a:gd name="T17" fmla="*/ 0 60000 65536"/>
            <a:gd name="T18" fmla="*/ 0 w 2570480"/>
            <a:gd name="T19" fmla="*/ 0 h 340360"/>
            <a:gd name="T20" fmla="*/ 2570480 w 2570480"/>
            <a:gd name="T21" fmla="*/ 340360 h 340360"/>
          </a:gdLst>
          <a:ahLst/>
          <a:cxnLst>
            <a:cxn ang="T12">
              <a:pos x="T0" y="T1"/>
            </a:cxn>
            <a:cxn ang="T13">
              <a:pos x="T2" y="T3"/>
            </a:cxn>
            <a:cxn ang="T14">
              <a:pos x="T4" y="T5"/>
            </a:cxn>
            <a:cxn ang="T15">
              <a:pos x="T6" y="T7"/>
            </a:cxn>
            <a:cxn ang="T16">
              <a:pos x="T8" y="T9"/>
            </a:cxn>
            <a:cxn ang="T17">
              <a:pos x="T10" y="T11"/>
            </a:cxn>
          </a:cxnLst>
          <a:rect l="T18" t="T19" r="T20" b="T21"/>
          <a:pathLst>
            <a:path w="2570480" h="340360">
              <a:moveTo>
                <a:pt x="0" y="0"/>
              </a:moveTo>
              <a:cubicBezTo>
                <a:pt x="185843" y="170180"/>
                <a:pt x="371687" y="340360"/>
                <a:pt x="579120" y="340360"/>
              </a:cubicBezTo>
              <a:cubicBezTo>
                <a:pt x="786553" y="340360"/>
                <a:pt x="1018117" y="0"/>
                <a:pt x="1244600" y="0"/>
              </a:cubicBezTo>
              <a:cubicBezTo>
                <a:pt x="1471083" y="0"/>
                <a:pt x="1717040" y="340360"/>
                <a:pt x="1938020" y="340360"/>
              </a:cubicBezTo>
              <a:cubicBezTo>
                <a:pt x="2159000" y="340360"/>
                <a:pt x="2570480" y="0"/>
                <a:pt x="2570480" y="0"/>
              </a:cubicBezTo>
            </a:path>
          </a:pathLst>
        </a:custGeom>
        <a:noFill/>
        <a:ln w="9525" cap="flat" cmpd="sng" algn="ctr">
          <a:solidFill>
            <a:srgbClr val="000000"/>
          </a:solidFill>
          <a:prstDash val="solid"/>
          <a:round/>
          <a:headEnd type="none" w="med" len="med"/>
          <a:tailEnd type="none" w="med" len="med"/>
        </a:ln>
      </xdr:spPr>
    </xdr:sp>
    <xdr:clientData/>
  </xdr:twoCellAnchor>
  <xdr:twoCellAnchor>
    <xdr:from>
      <xdr:col>2</xdr:col>
      <xdr:colOff>1303020</xdr:colOff>
      <xdr:row>23</xdr:row>
      <xdr:rowOff>121920</xdr:rowOff>
    </xdr:from>
    <xdr:to>
      <xdr:col>4</xdr:col>
      <xdr:colOff>769620</xdr:colOff>
      <xdr:row>25</xdr:row>
      <xdr:rowOff>83820</xdr:rowOff>
    </xdr:to>
    <xdr:sp macro="" textlink="">
      <xdr:nvSpPr>
        <xdr:cNvPr id="26024" name="Freeform 448">
          <a:extLst>
            <a:ext uri="{FF2B5EF4-FFF2-40B4-BE49-F238E27FC236}">
              <a16:creationId xmlns:a16="http://schemas.microsoft.com/office/drawing/2014/main" id="{00000000-0008-0000-0100-0000A8650000}"/>
            </a:ext>
          </a:extLst>
        </xdr:cNvPr>
        <xdr:cNvSpPr>
          <a:spLocks/>
        </xdr:cNvSpPr>
      </xdr:nvSpPr>
      <xdr:spPr bwMode="auto">
        <a:xfrm>
          <a:off x="2369820" y="4465320"/>
          <a:ext cx="2667000" cy="342900"/>
        </a:xfrm>
        <a:custGeom>
          <a:avLst/>
          <a:gdLst>
            <a:gd name="T0" fmla="*/ 0 w 2570480"/>
            <a:gd name="T1" fmla="*/ 0 h 340360"/>
            <a:gd name="T2" fmla="*/ 305588 w 2570480"/>
            <a:gd name="T3" fmla="*/ 313057 h 340360"/>
            <a:gd name="T4" fmla="*/ 656749 w 2570480"/>
            <a:gd name="T5" fmla="*/ 0 h 340360"/>
            <a:gd name="T6" fmla="*/ 1022651 w 2570480"/>
            <a:gd name="T7" fmla="*/ 313057 h 340360"/>
            <a:gd name="T8" fmla="*/ 1356388 w 2570480"/>
            <a:gd name="T9" fmla="*/ 0 h 340360"/>
            <a:gd name="T10" fmla="*/ 1356388 w 2570480"/>
            <a:gd name="T11" fmla="*/ 0 h 340360"/>
            <a:gd name="T12" fmla="*/ 0 60000 65536"/>
            <a:gd name="T13" fmla="*/ 0 60000 65536"/>
            <a:gd name="T14" fmla="*/ 0 60000 65536"/>
            <a:gd name="T15" fmla="*/ 0 60000 65536"/>
            <a:gd name="T16" fmla="*/ 0 60000 65536"/>
            <a:gd name="T17" fmla="*/ 0 60000 65536"/>
            <a:gd name="T18" fmla="*/ 0 w 2570480"/>
            <a:gd name="T19" fmla="*/ 0 h 340360"/>
            <a:gd name="T20" fmla="*/ 2570480 w 2570480"/>
            <a:gd name="T21" fmla="*/ 340360 h 340360"/>
          </a:gdLst>
          <a:ahLst/>
          <a:cxnLst>
            <a:cxn ang="T12">
              <a:pos x="T0" y="T1"/>
            </a:cxn>
            <a:cxn ang="T13">
              <a:pos x="T2" y="T3"/>
            </a:cxn>
            <a:cxn ang="T14">
              <a:pos x="T4" y="T5"/>
            </a:cxn>
            <a:cxn ang="T15">
              <a:pos x="T6" y="T7"/>
            </a:cxn>
            <a:cxn ang="T16">
              <a:pos x="T8" y="T9"/>
            </a:cxn>
            <a:cxn ang="T17">
              <a:pos x="T10" y="T11"/>
            </a:cxn>
          </a:cxnLst>
          <a:rect l="T18" t="T19" r="T20" b="T21"/>
          <a:pathLst>
            <a:path w="2570480" h="340360">
              <a:moveTo>
                <a:pt x="0" y="0"/>
              </a:moveTo>
              <a:cubicBezTo>
                <a:pt x="185843" y="170180"/>
                <a:pt x="371687" y="340360"/>
                <a:pt x="579120" y="340360"/>
              </a:cubicBezTo>
              <a:cubicBezTo>
                <a:pt x="786553" y="340360"/>
                <a:pt x="1018117" y="0"/>
                <a:pt x="1244600" y="0"/>
              </a:cubicBezTo>
              <a:cubicBezTo>
                <a:pt x="1471083" y="0"/>
                <a:pt x="1717040" y="340360"/>
                <a:pt x="1938020" y="340360"/>
              </a:cubicBezTo>
              <a:cubicBezTo>
                <a:pt x="2159000" y="340360"/>
                <a:pt x="2570480" y="0"/>
                <a:pt x="2570480" y="0"/>
              </a:cubicBezTo>
            </a:path>
          </a:pathLst>
        </a:custGeom>
        <a:noFill/>
        <a:ln w="9525" cap="flat" cmpd="sng" algn="ctr">
          <a:solidFill>
            <a:srgbClr val="000000"/>
          </a:solidFill>
          <a:prstDash val="solid"/>
          <a:round/>
          <a:headEnd type="none" w="med" len="med"/>
          <a:tailEnd type="none" w="med" len="med"/>
        </a:ln>
      </xdr:spPr>
    </xdr:sp>
    <xdr:clientData/>
  </xdr:twoCellAnchor>
  <xdr:twoCellAnchor>
    <xdr:from>
      <xdr:col>2</xdr:col>
      <xdr:colOff>1295400</xdr:colOff>
      <xdr:row>23</xdr:row>
      <xdr:rowOff>30480</xdr:rowOff>
    </xdr:from>
    <xdr:to>
      <xdr:col>2</xdr:col>
      <xdr:colOff>1295400</xdr:colOff>
      <xdr:row>23</xdr:row>
      <xdr:rowOff>175260</xdr:rowOff>
    </xdr:to>
    <xdr:cxnSp macro="">
      <xdr:nvCxnSpPr>
        <xdr:cNvPr id="26025" name="Straight Connector 451">
          <a:extLst>
            <a:ext uri="{FF2B5EF4-FFF2-40B4-BE49-F238E27FC236}">
              <a16:creationId xmlns:a16="http://schemas.microsoft.com/office/drawing/2014/main" id="{00000000-0008-0000-0100-0000A9650000}"/>
            </a:ext>
          </a:extLst>
        </xdr:cNvPr>
        <xdr:cNvCxnSpPr>
          <a:cxnSpLocks noChangeShapeType="1"/>
        </xdr:cNvCxnSpPr>
      </xdr:nvCxnSpPr>
      <xdr:spPr bwMode="auto">
        <a:xfrm rot="5400000">
          <a:off x="2289810" y="4446270"/>
          <a:ext cx="144780" cy="0"/>
        </a:xfrm>
        <a:prstGeom prst="line">
          <a:avLst/>
        </a:prstGeom>
        <a:noFill/>
        <a:ln w="3175" algn="ctr">
          <a:solidFill>
            <a:srgbClr val="000000"/>
          </a:solidFill>
          <a:round/>
          <a:headEnd/>
          <a:tailEnd/>
        </a:ln>
      </xdr:spPr>
    </xdr:cxnSp>
    <xdr:clientData/>
  </xdr:twoCellAnchor>
  <xdr:twoCellAnchor>
    <xdr:from>
      <xdr:col>2</xdr:col>
      <xdr:colOff>1295400</xdr:colOff>
      <xdr:row>23</xdr:row>
      <xdr:rowOff>175260</xdr:rowOff>
    </xdr:from>
    <xdr:to>
      <xdr:col>2</xdr:col>
      <xdr:colOff>1325880</xdr:colOff>
      <xdr:row>23</xdr:row>
      <xdr:rowOff>175260</xdr:rowOff>
    </xdr:to>
    <xdr:cxnSp macro="">
      <xdr:nvCxnSpPr>
        <xdr:cNvPr id="26026" name="Straight Connector 453">
          <a:extLst>
            <a:ext uri="{FF2B5EF4-FFF2-40B4-BE49-F238E27FC236}">
              <a16:creationId xmlns:a16="http://schemas.microsoft.com/office/drawing/2014/main" id="{00000000-0008-0000-0100-0000AA650000}"/>
            </a:ext>
          </a:extLst>
        </xdr:cNvPr>
        <xdr:cNvCxnSpPr>
          <a:cxnSpLocks noChangeShapeType="1"/>
        </xdr:cNvCxnSpPr>
      </xdr:nvCxnSpPr>
      <xdr:spPr bwMode="auto">
        <a:xfrm>
          <a:off x="2362200" y="4518660"/>
          <a:ext cx="30480" cy="0"/>
        </a:xfrm>
        <a:prstGeom prst="line">
          <a:avLst/>
        </a:prstGeom>
        <a:noFill/>
        <a:ln w="3175" algn="ctr">
          <a:solidFill>
            <a:srgbClr val="000000"/>
          </a:solidFill>
          <a:round/>
          <a:headEnd/>
          <a:tailEnd/>
        </a:ln>
      </xdr:spPr>
    </xdr:cxnSp>
    <xdr:clientData/>
  </xdr:twoCellAnchor>
  <xdr:twoCellAnchor>
    <xdr:from>
      <xdr:col>2</xdr:col>
      <xdr:colOff>1249680</xdr:colOff>
      <xdr:row>23</xdr:row>
      <xdr:rowOff>175260</xdr:rowOff>
    </xdr:from>
    <xdr:to>
      <xdr:col>2</xdr:col>
      <xdr:colOff>1333500</xdr:colOff>
      <xdr:row>24</xdr:row>
      <xdr:rowOff>22860</xdr:rowOff>
    </xdr:to>
    <xdr:cxnSp macro="">
      <xdr:nvCxnSpPr>
        <xdr:cNvPr id="26027" name="Straight Connector 455">
          <a:extLst>
            <a:ext uri="{FF2B5EF4-FFF2-40B4-BE49-F238E27FC236}">
              <a16:creationId xmlns:a16="http://schemas.microsoft.com/office/drawing/2014/main" id="{00000000-0008-0000-0100-0000AB650000}"/>
            </a:ext>
          </a:extLst>
        </xdr:cNvPr>
        <xdr:cNvCxnSpPr>
          <a:cxnSpLocks noChangeShapeType="1"/>
        </xdr:cNvCxnSpPr>
      </xdr:nvCxnSpPr>
      <xdr:spPr bwMode="auto">
        <a:xfrm rot="10800000" flipV="1">
          <a:off x="2316480" y="4518660"/>
          <a:ext cx="83820" cy="38100"/>
        </a:xfrm>
        <a:prstGeom prst="line">
          <a:avLst/>
        </a:prstGeom>
        <a:noFill/>
        <a:ln w="3175" algn="ctr">
          <a:solidFill>
            <a:srgbClr val="000000"/>
          </a:solidFill>
          <a:round/>
          <a:headEnd/>
          <a:tailEnd/>
        </a:ln>
      </xdr:spPr>
    </xdr:cxnSp>
    <xdr:clientData/>
  </xdr:twoCellAnchor>
  <xdr:twoCellAnchor>
    <xdr:from>
      <xdr:col>2</xdr:col>
      <xdr:colOff>1242060</xdr:colOff>
      <xdr:row>24</xdr:row>
      <xdr:rowOff>30480</xdr:rowOff>
    </xdr:from>
    <xdr:to>
      <xdr:col>2</xdr:col>
      <xdr:colOff>1295400</xdr:colOff>
      <xdr:row>24</xdr:row>
      <xdr:rowOff>30480</xdr:rowOff>
    </xdr:to>
    <xdr:cxnSp macro="">
      <xdr:nvCxnSpPr>
        <xdr:cNvPr id="26028" name="Straight Connector 457">
          <a:extLst>
            <a:ext uri="{FF2B5EF4-FFF2-40B4-BE49-F238E27FC236}">
              <a16:creationId xmlns:a16="http://schemas.microsoft.com/office/drawing/2014/main" id="{00000000-0008-0000-0100-0000AC650000}"/>
            </a:ext>
          </a:extLst>
        </xdr:cNvPr>
        <xdr:cNvCxnSpPr>
          <a:cxnSpLocks noChangeShapeType="1"/>
        </xdr:cNvCxnSpPr>
      </xdr:nvCxnSpPr>
      <xdr:spPr bwMode="auto">
        <a:xfrm>
          <a:off x="2308860" y="4564380"/>
          <a:ext cx="53340" cy="0"/>
        </a:xfrm>
        <a:prstGeom prst="line">
          <a:avLst/>
        </a:prstGeom>
        <a:noFill/>
        <a:ln w="3175" algn="ctr">
          <a:solidFill>
            <a:srgbClr val="000000"/>
          </a:solidFill>
          <a:round/>
          <a:headEnd/>
          <a:tailEnd/>
        </a:ln>
      </xdr:spPr>
    </xdr:cxnSp>
    <xdr:clientData/>
  </xdr:twoCellAnchor>
  <xdr:twoCellAnchor>
    <xdr:from>
      <xdr:col>2</xdr:col>
      <xdr:colOff>1303020</xdr:colOff>
      <xdr:row>24</xdr:row>
      <xdr:rowOff>22860</xdr:rowOff>
    </xdr:from>
    <xdr:to>
      <xdr:col>2</xdr:col>
      <xdr:colOff>1303020</xdr:colOff>
      <xdr:row>24</xdr:row>
      <xdr:rowOff>144780</xdr:rowOff>
    </xdr:to>
    <xdr:cxnSp macro="">
      <xdr:nvCxnSpPr>
        <xdr:cNvPr id="26029" name="Straight Connector 459">
          <a:extLst>
            <a:ext uri="{FF2B5EF4-FFF2-40B4-BE49-F238E27FC236}">
              <a16:creationId xmlns:a16="http://schemas.microsoft.com/office/drawing/2014/main" id="{00000000-0008-0000-0100-0000AD650000}"/>
            </a:ext>
          </a:extLst>
        </xdr:cNvPr>
        <xdr:cNvCxnSpPr>
          <a:cxnSpLocks noChangeShapeType="1"/>
        </xdr:cNvCxnSpPr>
      </xdr:nvCxnSpPr>
      <xdr:spPr bwMode="auto">
        <a:xfrm rot="5400000">
          <a:off x="2308860" y="4617720"/>
          <a:ext cx="121920" cy="0"/>
        </a:xfrm>
        <a:prstGeom prst="line">
          <a:avLst/>
        </a:prstGeom>
        <a:noFill/>
        <a:ln w="3175" algn="ctr">
          <a:solidFill>
            <a:srgbClr val="000000"/>
          </a:solidFill>
          <a:round/>
          <a:headEnd/>
          <a:tailEnd/>
        </a:ln>
      </xdr:spPr>
    </xdr:cxnSp>
    <xdr:clientData/>
  </xdr:twoCellAnchor>
  <xdr:twoCellAnchor>
    <xdr:from>
      <xdr:col>4</xdr:col>
      <xdr:colOff>769620</xdr:colOff>
      <xdr:row>23</xdr:row>
      <xdr:rowOff>22860</xdr:rowOff>
    </xdr:from>
    <xdr:to>
      <xdr:col>4</xdr:col>
      <xdr:colOff>769620</xdr:colOff>
      <xdr:row>23</xdr:row>
      <xdr:rowOff>160020</xdr:rowOff>
    </xdr:to>
    <xdr:cxnSp macro="">
      <xdr:nvCxnSpPr>
        <xdr:cNvPr id="26030" name="Straight Connector 460">
          <a:extLst>
            <a:ext uri="{FF2B5EF4-FFF2-40B4-BE49-F238E27FC236}">
              <a16:creationId xmlns:a16="http://schemas.microsoft.com/office/drawing/2014/main" id="{00000000-0008-0000-0100-0000AE650000}"/>
            </a:ext>
          </a:extLst>
        </xdr:cNvPr>
        <xdr:cNvCxnSpPr>
          <a:cxnSpLocks noChangeShapeType="1"/>
        </xdr:cNvCxnSpPr>
      </xdr:nvCxnSpPr>
      <xdr:spPr bwMode="auto">
        <a:xfrm rot="5400000">
          <a:off x="4968240" y="4434840"/>
          <a:ext cx="137160" cy="0"/>
        </a:xfrm>
        <a:prstGeom prst="line">
          <a:avLst/>
        </a:prstGeom>
        <a:noFill/>
        <a:ln w="3175" algn="ctr">
          <a:solidFill>
            <a:srgbClr val="000000"/>
          </a:solidFill>
          <a:round/>
          <a:headEnd/>
          <a:tailEnd/>
        </a:ln>
      </xdr:spPr>
    </xdr:cxnSp>
    <xdr:clientData/>
  </xdr:twoCellAnchor>
  <xdr:twoCellAnchor>
    <xdr:from>
      <xdr:col>4</xdr:col>
      <xdr:colOff>723900</xdr:colOff>
      <xdr:row>23</xdr:row>
      <xdr:rowOff>167640</xdr:rowOff>
    </xdr:from>
    <xdr:to>
      <xdr:col>4</xdr:col>
      <xdr:colOff>800100</xdr:colOff>
      <xdr:row>24</xdr:row>
      <xdr:rowOff>15240</xdr:rowOff>
    </xdr:to>
    <xdr:cxnSp macro="">
      <xdr:nvCxnSpPr>
        <xdr:cNvPr id="26031" name="Straight Connector 461">
          <a:extLst>
            <a:ext uri="{FF2B5EF4-FFF2-40B4-BE49-F238E27FC236}">
              <a16:creationId xmlns:a16="http://schemas.microsoft.com/office/drawing/2014/main" id="{00000000-0008-0000-0100-0000AF650000}"/>
            </a:ext>
          </a:extLst>
        </xdr:cNvPr>
        <xdr:cNvCxnSpPr>
          <a:cxnSpLocks noChangeShapeType="1"/>
        </xdr:cNvCxnSpPr>
      </xdr:nvCxnSpPr>
      <xdr:spPr bwMode="auto">
        <a:xfrm rot="10800000" flipV="1">
          <a:off x="4991100" y="4511040"/>
          <a:ext cx="76200" cy="38100"/>
        </a:xfrm>
        <a:prstGeom prst="line">
          <a:avLst/>
        </a:prstGeom>
        <a:noFill/>
        <a:ln w="3175" algn="ctr">
          <a:solidFill>
            <a:srgbClr val="000000"/>
          </a:solidFill>
          <a:round/>
          <a:headEnd/>
          <a:tailEnd/>
        </a:ln>
      </xdr:spPr>
    </xdr:cxnSp>
    <xdr:clientData/>
  </xdr:twoCellAnchor>
  <xdr:twoCellAnchor>
    <xdr:from>
      <xdr:col>4</xdr:col>
      <xdr:colOff>716280</xdr:colOff>
      <xdr:row>24</xdr:row>
      <xdr:rowOff>15240</xdr:rowOff>
    </xdr:from>
    <xdr:to>
      <xdr:col>4</xdr:col>
      <xdr:colOff>769620</xdr:colOff>
      <xdr:row>24</xdr:row>
      <xdr:rowOff>15240</xdr:rowOff>
    </xdr:to>
    <xdr:cxnSp macro="">
      <xdr:nvCxnSpPr>
        <xdr:cNvPr id="26032" name="Straight Connector 462">
          <a:extLst>
            <a:ext uri="{FF2B5EF4-FFF2-40B4-BE49-F238E27FC236}">
              <a16:creationId xmlns:a16="http://schemas.microsoft.com/office/drawing/2014/main" id="{00000000-0008-0000-0100-0000B0650000}"/>
            </a:ext>
          </a:extLst>
        </xdr:cNvPr>
        <xdr:cNvCxnSpPr>
          <a:cxnSpLocks noChangeShapeType="1"/>
        </xdr:cNvCxnSpPr>
      </xdr:nvCxnSpPr>
      <xdr:spPr bwMode="auto">
        <a:xfrm>
          <a:off x="4983480" y="4549140"/>
          <a:ext cx="53340" cy="0"/>
        </a:xfrm>
        <a:prstGeom prst="line">
          <a:avLst/>
        </a:prstGeom>
        <a:noFill/>
        <a:ln w="3175" algn="ctr">
          <a:solidFill>
            <a:srgbClr val="000000"/>
          </a:solidFill>
          <a:round/>
          <a:headEnd/>
          <a:tailEnd/>
        </a:ln>
      </xdr:spPr>
    </xdr:cxnSp>
    <xdr:clientData/>
  </xdr:twoCellAnchor>
  <xdr:twoCellAnchor>
    <xdr:from>
      <xdr:col>4</xdr:col>
      <xdr:colOff>777240</xdr:colOff>
      <xdr:row>24</xdr:row>
      <xdr:rowOff>15240</xdr:rowOff>
    </xdr:from>
    <xdr:to>
      <xdr:col>4</xdr:col>
      <xdr:colOff>777240</xdr:colOff>
      <xdr:row>24</xdr:row>
      <xdr:rowOff>129540</xdr:rowOff>
    </xdr:to>
    <xdr:cxnSp macro="">
      <xdr:nvCxnSpPr>
        <xdr:cNvPr id="26033" name="Straight Connector 463">
          <a:extLst>
            <a:ext uri="{FF2B5EF4-FFF2-40B4-BE49-F238E27FC236}">
              <a16:creationId xmlns:a16="http://schemas.microsoft.com/office/drawing/2014/main" id="{00000000-0008-0000-0100-0000B1650000}"/>
            </a:ext>
          </a:extLst>
        </xdr:cNvPr>
        <xdr:cNvCxnSpPr>
          <a:cxnSpLocks noChangeShapeType="1"/>
        </xdr:cNvCxnSpPr>
      </xdr:nvCxnSpPr>
      <xdr:spPr bwMode="auto">
        <a:xfrm rot="5400000">
          <a:off x="4987290" y="4606290"/>
          <a:ext cx="114300" cy="0"/>
        </a:xfrm>
        <a:prstGeom prst="line">
          <a:avLst/>
        </a:prstGeom>
        <a:noFill/>
        <a:ln w="3175" algn="ctr">
          <a:solidFill>
            <a:srgbClr val="000000"/>
          </a:solidFill>
          <a:round/>
          <a:headEnd/>
          <a:tailEnd/>
        </a:ln>
      </xdr:spPr>
    </xdr:cxnSp>
    <xdr:clientData/>
  </xdr:twoCellAnchor>
  <xdr:twoCellAnchor>
    <xdr:from>
      <xdr:col>4</xdr:col>
      <xdr:colOff>769620</xdr:colOff>
      <xdr:row>23</xdr:row>
      <xdr:rowOff>160020</xdr:rowOff>
    </xdr:from>
    <xdr:to>
      <xdr:col>4</xdr:col>
      <xdr:colOff>800100</xdr:colOff>
      <xdr:row>23</xdr:row>
      <xdr:rowOff>160020</xdr:rowOff>
    </xdr:to>
    <xdr:cxnSp macro="">
      <xdr:nvCxnSpPr>
        <xdr:cNvPr id="26034" name="Straight Connector 464">
          <a:extLst>
            <a:ext uri="{FF2B5EF4-FFF2-40B4-BE49-F238E27FC236}">
              <a16:creationId xmlns:a16="http://schemas.microsoft.com/office/drawing/2014/main" id="{00000000-0008-0000-0100-0000B2650000}"/>
            </a:ext>
          </a:extLst>
        </xdr:cNvPr>
        <xdr:cNvCxnSpPr>
          <a:cxnSpLocks noChangeShapeType="1"/>
        </xdr:cNvCxnSpPr>
      </xdr:nvCxnSpPr>
      <xdr:spPr bwMode="auto">
        <a:xfrm>
          <a:off x="5036820" y="4503420"/>
          <a:ext cx="30480" cy="0"/>
        </a:xfrm>
        <a:prstGeom prst="line">
          <a:avLst/>
        </a:prstGeom>
        <a:noFill/>
        <a:ln w="3175" algn="ctr">
          <a:solidFill>
            <a:srgbClr val="000000"/>
          </a:solidFill>
          <a:round/>
          <a:headEnd/>
          <a:tailEnd/>
        </a:ln>
      </xdr:spPr>
    </xdr:cxnSp>
    <xdr:clientData/>
  </xdr:twoCellAnchor>
  <xdr:twoCellAnchor>
    <xdr:from>
      <xdr:col>2</xdr:col>
      <xdr:colOff>1483360</xdr:colOff>
      <xdr:row>24</xdr:row>
      <xdr:rowOff>109220</xdr:rowOff>
    </xdr:from>
    <xdr:to>
      <xdr:col>2</xdr:col>
      <xdr:colOff>1544320</xdr:colOff>
      <xdr:row>24</xdr:row>
      <xdr:rowOff>170180</xdr:rowOff>
    </xdr:to>
    <xdr:cxnSp macro="">
      <xdr:nvCxnSpPr>
        <xdr:cNvPr id="26035" name="Straight Connector 466">
          <a:extLst>
            <a:ext uri="{FF2B5EF4-FFF2-40B4-BE49-F238E27FC236}">
              <a16:creationId xmlns:a16="http://schemas.microsoft.com/office/drawing/2014/main" id="{00000000-0008-0000-0100-0000B3650000}"/>
            </a:ext>
          </a:extLst>
        </xdr:cNvPr>
        <xdr:cNvCxnSpPr>
          <a:cxnSpLocks noChangeShapeType="1"/>
        </xdr:cNvCxnSpPr>
      </xdr:nvCxnSpPr>
      <xdr:spPr bwMode="auto">
        <a:xfrm rot="5400000">
          <a:off x="2550160" y="5313680"/>
          <a:ext cx="60960" cy="60960"/>
        </a:xfrm>
        <a:prstGeom prst="line">
          <a:avLst/>
        </a:prstGeom>
        <a:noFill/>
        <a:ln w="3175" algn="ctr">
          <a:solidFill>
            <a:srgbClr val="000000"/>
          </a:solidFill>
          <a:round/>
          <a:headEnd/>
          <a:tailEnd/>
        </a:ln>
      </xdr:spPr>
    </xdr:cxnSp>
    <xdr:clientData/>
  </xdr:twoCellAnchor>
  <xdr:twoCellAnchor>
    <xdr:from>
      <xdr:col>2</xdr:col>
      <xdr:colOff>1506220</xdr:colOff>
      <xdr:row>24</xdr:row>
      <xdr:rowOff>139700</xdr:rowOff>
    </xdr:from>
    <xdr:to>
      <xdr:col>2</xdr:col>
      <xdr:colOff>1559560</xdr:colOff>
      <xdr:row>25</xdr:row>
      <xdr:rowOff>2540</xdr:rowOff>
    </xdr:to>
    <xdr:cxnSp macro="">
      <xdr:nvCxnSpPr>
        <xdr:cNvPr id="26036" name="Straight Connector 467">
          <a:extLst>
            <a:ext uri="{FF2B5EF4-FFF2-40B4-BE49-F238E27FC236}">
              <a16:creationId xmlns:a16="http://schemas.microsoft.com/office/drawing/2014/main" id="{00000000-0008-0000-0100-0000B4650000}"/>
            </a:ext>
          </a:extLst>
        </xdr:cNvPr>
        <xdr:cNvCxnSpPr>
          <a:cxnSpLocks noChangeShapeType="1"/>
        </xdr:cNvCxnSpPr>
      </xdr:nvCxnSpPr>
      <xdr:spPr bwMode="auto">
        <a:xfrm rot="5400000">
          <a:off x="2573020" y="5344160"/>
          <a:ext cx="53340" cy="53340"/>
        </a:xfrm>
        <a:prstGeom prst="line">
          <a:avLst/>
        </a:prstGeom>
        <a:noFill/>
        <a:ln w="3175" algn="ctr">
          <a:solidFill>
            <a:srgbClr val="000000"/>
          </a:solidFill>
          <a:round/>
          <a:headEnd/>
          <a:tailEnd/>
        </a:ln>
      </xdr:spPr>
    </xdr:cxnSp>
    <xdr:clientData/>
  </xdr:twoCellAnchor>
  <xdr:twoCellAnchor>
    <xdr:from>
      <xdr:col>3</xdr:col>
      <xdr:colOff>114300</xdr:colOff>
      <xdr:row>24</xdr:row>
      <xdr:rowOff>53340</xdr:rowOff>
    </xdr:from>
    <xdr:to>
      <xdr:col>3</xdr:col>
      <xdr:colOff>160020</xdr:colOff>
      <xdr:row>25</xdr:row>
      <xdr:rowOff>7620</xdr:rowOff>
    </xdr:to>
    <xdr:cxnSp macro="">
      <xdr:nvCxnSpPr>
        <xdr:cNvPr id="26037" name="Straight Connector 469">
          <a:extLst>
            <a:ext uri="{FF2B5EF4-FFF2-40B4-BE49-F238E27FC236}">
              <a16:creationId xmlns:a16="http://schemas.microsoft.com/office/drawing/2014/main" id="{00000000-0008-0000-0100-0000B5650000}"/>
            </a:ext>
          </a:extLst>
        </xdr:cNvPr>
        <xdr:cNvCxnSpPr>
          <a:cxnSpLocks noChangeShapeType="1"/>
        </xdr:cNvCxnSpPr>
      </xdr:nvCxnSpPr>
      <xdr:spPr bwMode="auto">
        <a:xfrm rot="5400000">
          <a:off x="3387090" y="5307330"/>
          <a:ext cx="144780" cy="45720"/>
        </a:xfrm>
        <a:prstGeom prst="line">
          <a:avLst/>
        </a:prstGeom>
        <a:noFill/>
        <a:ln w="3175" algn="ctr">
          <a:solidFill>
            <a:srgbClr val="000000"/>
          </a:solidFill>
          <a:round/>
          <a:headEnd/>
          <a:tailEnd/>
        </a:ln>
      </xdr:spPr>
    </xdr:cxnSp>
    <xdr:clientData/>
  </xdr:twoCellAnchor>
  <xdr:twoCellAnchor>
    <xdr:from>
      <xdr:col>3</xdr:col>
      <xdr:colOff>175260</xdr:colOff>
      <xdr:row>24</xdr:row>
      <xdr:rowOff>0</xdr:rowOff>
    </xdr:from>
    <xdr:to>
      <xdr:col>3</xdr:col>
      <xdr:colOff>220980</xdr:colOff>
      <xdr:row>24</xdr:row>
      <xdr:rowOff>144780</xdr:rowOff>
    </xdr:to>
    <xdr:cxnSp macro="">
      <xdr:nvCxnSpPr>
        <xdr:cNvPr id="26038" name="Straight Connector 471">
          <a:extLst>
            <a:ext uri="{FF2B5EF4-FFF2-40B4-BE49-F238E27FC236}">
              <a16:creationId xmlns:a16="http://schemas.microsoft.com/office/drawing/2014/main" id="{00000000-0008-0000-0100-0000B6650000}"/>
            </a:ext>
          </a:extLst>
        </xdr:cNvPr>
        <xdr:cNvCxnSpPr>
          <a:cxnSpLocks noChangeShapeType="1"/>
        </xdr:cNvCxnSpPr>
      </xdr:nvCxnSpPr>
      <xdr:spPr bwMode="auto">
        <a:xfrm rot="5400000">
          <a:off x="3448050" y="5253990"/>
          <a:ext cx="144780" cy="45720"/>
        </a:xfrm>
        <a:prstGeom prst="line">
          <a:avLst/>
        </a:prstGeom>
        <a:noFill/>
        <a:ln w="3175" algn="ctr">
          <a:solidFill>
            <a:srgbClr val="000000"/>
          </a:solidFill>
          <a:round/>
          <a:headEnd/>
          <a:tailEnd/>
        </a:ln>
      </xdr:spPr>
    </xdr:cxnSp>
    <xdr:clientData/>
  </xdr:twoCellAnchor>
  <xdr:twoCellAnchor>
    <xdr:from>
      <xdr:col>3</xdr:col>
      <xdr:colOff>855980</xdr:colOff>
      <xdr:row>24</xdr:row>
      <xdr:rowOff>154940</xdr:rowOff>
    </xdr:from>
    <xdr:to>
      <xdr:col>3</xdr:col>
      <xdr:colOff>932180</xdr:colOff>
      <xdr:row>25</xdr:row>
      <xdr:rowOff>17780</xdr:rowOff>
    </xdr:to>
    <xdr:cxnSp macro="">
      <xdr:nvCxnSpPr>
        <xdr:cNvPr id="26039" name="Straight Connector 474">
          <a:extLst>
            <a:ext uri="{FF2B5EF4-FFF2-40B4-BE49-F238E27FC236}">
              <a16:creationId xmlns:a16="http://schemas.microsoft.com/office/drawing/2014/main" id="{00000000-0008-0000-0100-0000B7650000}"/>
            </a:ext>
          </a:extLst>
        </xdr:cNvPr>
        <xdr:cNvCxnSpPr>
          <a:cxnSpLocks noChangeShapeType="1"/>
        </xdr:cNvCxnSpPr>
      </xdr:nvCxnSpPr>
      <xdr:spPr bwMode="auto">
        <a:xfrm rot="10800000" flipV="1">
          <a:off x="4178300" y="5359400"/>
          <a:ext cx="76200" cy="53340"/>
        </a:xfrm>
        <a:prstGeom prst="line">
          <a:avLst/>
        </a:prstGeom>
        <a:noFill/>
        <a:ln w="3175" algn="ctr">
          <a:solidFill>
            <a:srgbClr val="000000"/>
          </a:solidFill>
          <a:round/>
          <a:headEnd/>
          <a:tailEnd/>
        </a:ln>
      </xdr:spPr>
    </xdr:cxnSp>
    <xdr:clientData/>
  </xdr:twoCellAnchor>
  <xdr:twoCellAnchor>
    <xdr:from>
      <xdr:col>3</xdr:col>
      <xdr:colOff>894080</xdr:colOff>
      <xdr:row>25</xdr:row>
      <xdr:rowOff>2540</xdr:rowOff>
    </xdr:from>
    <xdr:to>
      <xdr:col>3</xdr:col>
      <xdr:colOff>970280</xdr:colOff>
      <xdr:row>25</xdr:row>
      <xdr:rowOff>48260</xdr:rowOff>
    </xdr:to>
    <xdr:cxnSp macro="">
      <xdr:nvCxnSpPr>
        <xdr:cNvPr id="26040" name="Straight Connector 476">
          <a:extLst>
            <a:ext uri="{FF2B5EF4-FFF2-40B4-BE49-F238E27FC236}">
              <a16:creationId xmlns:a16="http://schemas.microsoft.com/office/drawing/2014/main" id="{00000000-0008-0000-0100-0000B8650000}"/>
            </a:ext>
          </a:extLst>
        </xdr:cNvPr>
        <xdr:cNvCxnSpPr>
          <a:cxnSpLocks noChangeShapeType="1"/>
        </xdr:cNvCxnSpPr>
      </xdr:nvCxnSpPr>
      <xdr:spPr bwMode="auto">
        <a:xfrm rot="10800000" flipV="1">
          <a:off x="4216400" y="5397500"/>
          <a:ext cx="76200" cy="45720"/>
        </a:xfrm>
        <a:prstGeom prst="line">
          <a:avLst/>
        </a:prstGeom>
        <a:noFill/>
        <a:ln w="3175" algn="ctr">
          <a:solidFill>
            <a:srgbClr val="000000"/>
          </a:solidFill>
          <a:round/>
          <a:headEnd/>
          <a:tailEnd/>
        </a:ln>
      </xdr:spPr>
    </xdr:cxnSp>
    <xdr:clientData/>
  </xdr:twoCellAnchor>
  <xdr:twoCellAnchor>
    <xdr:from>
      <xdr:col>4</xdr:col>
      <xdr:colOff>391160</xdr:colOff>
      <xdr:row>24</xdr:row>
      <xdr:rowOff>132080</xdr:rowOff>
    </xdr:from>
    <xdr:to>
      <xdr:col>4</xdr:col>
      <xdr:colOff>444500</xdr:colOff>
      <xdr:row>25</xdr:row>
      <xdr:rowOff>71120</xdr:rowOff>
    </xdr:to>
    <xdr:cxnSp macro="">
      <xdr:nvCxnSpPr>
        <xdr:cNvPr id="26041" name="Straight Connector 478">
          <a:extLst>
            <a:ext uri="{FF2B5EF4-FFF2-40B4-BE49-F238E27FC236}">
              <a16:creationId xmlns:a16="http://schemas.microsoft.com/office/drawing/2014/main" id="{00000000-0008-0000-0100-0000B9650000}"/>
            </a:ext>
          </a:extLst>
        </xdr:cNvPr>
        <xdr:cNvCxnSpPr>
          <a:cxnSpLocks noChangeShapeType="1"/>
        </xdr:cNvCxnSpPr>
      </xdr:nvCxnSpPr>
      <xdr:spPr bwMode="auto">
        <a:xfrm rot="5400000">
          <a:off x="4879340" y="5374640"/>
          <a:ext cx="129540" cy="53340"/>
        </a:xfrm>
        <a:prstGeom prst="line">
          <a:avLst/>
        </a:prstGeom>
        <a:noFill/>
        <a:ln w="3175" algn="ctr">
          <a:solidFill>
            <a:srgbClr val="000000"/>
          </a:solidFill>
          <a:round/>
          <a:headEnd/>
          <a:tailEnd/>
        </a:ln>
      </xdr:spPr>
    </xdr:cxnSp>
    <xdr:clientData/>
  </xdr:twoCellAnchor>
  <xdr:twoCellAnchor>
    <xdr:from>
      <xdr:col>4</xdr:col>
      <xdr:colOff>452120</xdr:colOff>
      <xdr:row>24</xdr:row>
      <xdr:rowOff>93980</xdr:rowOff>
    </xdr:from>
    <xdr:to>
      <xdr:col>4</xdr:col>
      <xdr:colOff>505460</xdr:colOff>
      <xdr:row>25</xdr:row>
      <xdr:rowOff>40640</xdr:rowOff>
    </xdr:to>
    <xdr:cxnSp macro="">
      <xdr:nvCxnSpPr>
        <xdr:cNvPr id="26042" name="Straight Connector 480">
          <a:extLst>
            <a:ext uri="{FF2B5EF4-FFF2-40B4-BE49-F238E27FC236}">
              <a16:creationId xmlns:a16="http://schemas.microsoft.com/office/drawing/2014/main" id="{00000000-0008-0000-0100-0000BA650000}"/>
            </a:ext>
          </a:extLst>
        </xdr:cNvPr>
        <xdr:cNvCxnSpPr>
          <a:cxnSpLocks noChangeShapeType="1"/>
        </xdr:cNvCxnSpPr>
      </xdr:nvCxnSpPr>
      <xdr:spPr bwMode="auto">
        <a:xfrm rot="5400000">
          <a:off x="4936490" y="5340350"/>
          <a:ext cx="137160" cy="53340"/>
        </a:xfrm>
        <a:prstGeom prst="line">
          <a:avLst/>
        </a:prstGeom>
        <a:noFill/>
        <a:ln w="3175" algn="ctr">
          <a:solidFill>
            <a:srgbClr val="000000"/>
          </a:solidFill>
          <a:round/>
          <a:headEnd/>
          <a:tailEnd/>
        </a:ln>
      </xdr:spPr>
    </xdr:cxnSp>
    <xdr:clientData/>
  </xdr:twoCellAnchor>
  <xdr:twoCellAnchor>
    <xdr:from>
      <xdr:col>2</xdr:col>
      <xdr:colOff>1866900</xdr:colOff>
      <xdr:row>26</xdr:row>
      <xdr:rowOff>45720</xdr:rowOff>
    </xdr:from>
    <xdr:to>
      <xdr:col>2</xdr:col>
      <xdr:colOff>1866900</xdr:colOff>
      <xdr:row>27</xdr:row>
      <xdr:rowOff>304800</xdr:rowOff>
    </xdr:to>
    <xdr:cxnSp macro="">
      <xdr:nvCxnSpPr>
        <xdr:cNvPr id="26043" name="Straight Connector 482">
          <a:extLst>
            <a:ext uri="{FF2B5EF4-FFF2-40B4-BE49-F238E27FC236}">
              <a16:creationId xmlns:a16="http://schemas.microsoft.com/office/drawing/2014/main" id="{00000000-0008-0000-0100-0000BB650000}"/>
            </a:ext>
          </a:extLst>
        </xdr:cNvPr>
        <xdr:cNvCxnSpPr>
          <a:cxnSpLocks noChangeShapeType="1"/>
        </xdr:cNvCxnSpPr>
      </xdr:nvCxnSpPr>
      <xdr:spPr bwMode="auto">
        <a:xfrm rot="5400000">
          <a:off x="2708910" y="5185410"/>
          <a:ext cx="449580" cy="0"/>
        </a:xfrm>
        <a:prstGeom prst="line">
          <a:avLst/>
        </a:prstGeom>
        <a:noFill/>
        <a:ln w="6350" algn="ctr">
          <a:solidFill>
            <a:srgbClr val="000000"/>
          </a:solidFill>
          <a:round/>
          <a:headEnd/>
          <a:tailEnd/>
        </a:ln>
      </xdr:spPr>
    </xdr:cxnSp>
    <xdr:clientData/>
  </xdr:twoCellAnchor>
  <xdr:twoCellAnchor>
    <xdr:from>
      <xdr:col>4</xdr:col>
      <xdr:colOff>152400</xdr:colOff>
      <xdr:row>26</xdr:row>
      <xdr:rowOff>38100</xdr:rowOff>
    </xdr:from>
    <xdr:to>
      <xdr:col>4</xdr:col>
      <xdr:colOff>152400</xdr:colOff>
      <xdr:row>27</xdr:row>
      <xdr:rowOff>327660</xdr:rowOff>
    </xdr:to>
    <xdr:cxnSp macro="">
      <xdr:nvCxnSpPr>
        <xdr:cNvPr id="26044" name="Straight Connector 484">
          <a:extLst>
            <a:ext uri="{FF2B5EF4-FFF2-40B4-BE49-F238E27FC236}">
              <a16:creationId xmlns:a16="http://schemas.microsoft.com/office/drawing/2014/main" id="{00000000-0008-0000-0100-0000BC650000}"/>
            </a:ext>
          </a:extLst>
        </xdr:cNvPr>
        <xdr:cNvCxnSpPr>
          <a:cxnSpLocks noChangeShapeType="1"/>
        </xdr:cNvCxnSpPr>
      </xdr:nvCxnSpPr>
      <xdr:spPr bwMode="auto">
        <a:xfrm rot="5400000">
          <a:off x="4179570" y="5193030"/>
          <a:ext cx="480060" cy="0"/>
        </a:xfrm>
        <a:prstGeom prst="line">
          <a:avLst/>
        </a:prstGeom>
        <a:noFill/>
        <a:ln w="6350" algn="ctr">
          <a:solidFill>
            <a:srgbClr val="000000"/>
          </a:solidFill>
          <a:round/>
          <a:headEnd/>
          <a:tailEnd/>
        </a:ln>
      </xdr:spPr>
    </xdr:cxnSp>
    <xdr:clientData/>
  </xdr:twoCellAnchor>
  <xdr:twoCellAnchor>
    <xdr:from>
      <xdr:col>3</xdr:col>
      <xdr:colOff>622300</xdr:colOff>
      <xdr:row>21</xdr:row>
      <xdr:rowOff>170180</xdr:rowOff>
    </xdr:from>
    <xdr:to>
      <xdr:col>4</xdr:col>
      <xdr:colOff>264160</xdr:colOff>
      <xdr:row>23</xdr:row>
      <xdr:rowOff>124460</xdr:rowOff>
    </xdr:to>
    <xdr:cxnSp macro="">
      <xdr:nvCxnSpPr>
        <xdr:cNvPr id="26045" name="Straight Connector 493">
          <a:extLst>
            <a:ext uri="{FF2B5EF4-FFF2-40B4-BE49-F238E27FC236}">
              <a16:creationId xmlns:a16="http://schemas.microsoft.com/office/drawing/2014/main" id="{00000000-0008-0000-0100-0000BD650000}"/>
            </a:ext>
          </a:extLst>
        </xdr:cNvPr>
        <xdr:cNvCxnSpPr>
          <a:cxnSpLocks noChangeShapeType="1"/>
        </xdr:cNvCxnSpPr>
      </xdr:nvCxnSpPr>
      <xdr:spPr bwMode="auto">
        <a:xfrm flipV="1">
          <a:off x="3944620" y="4803140"/>
          <a:ext cx="845820" cy="335280"/>
        </a:xfrm>
        <a:prstGeom prst="line">
          <a:avLst/>
        </a:prstGeom>
        <a:noFill/>
        <a:ln w="6350" algn="ctr">
          <a:solidFill>
            <a:srgbClr val="000000"/>
          </a:solidFill>
          <a:round/>
          <a:headEnd/>
          <a:tailEnd/>
        </a:ln>
      </xdr:spPr>
    </xdr:cxnSp>
    <xdr:clientData/>
  </xdr:twoCellAnchor>
  <xdr:twoCellAnchor>
    <xdr:from>
      <xdr:col>3</xdr:col>
      <xdr:colOff>614680</xdr:colOff>
      <xdr:row>22</xdr:row>
      <xdr:rowOff>93980</xdr:rowOff>
    </xdr:from>
    <xdr:to>
      <xdr:col>4</xdr:col>
      <xdr:colOff>256540</xdr:colOff>
      <xdr:row>24</xdr:row>
      <xdr:rowOff>55880</xdr:rowOff>
    </xdr:to>
    <xdr:cxnSp macro="">
      <xdr:nvCxnSpPr>
        <xdr:cNvPr id="26046" name="Straight Connector 494">
          <a:extLst>
            <a:ext uri="{FF2B5EF4-FFF2-40B4-BE49-F238E27FC236}">
              <a16:creationId xmlns:a16="http://schemas.microsoft.com/office/drawing/2014/main" id="{00000000-0008-0000-0100-0000BE650000}"/>
            </a:ext>
          </a:extLst>
        </xdr:cNvPr>
        <xdr:cNvCxnSpPr>
          <a:cxnSpLocks noChangeShapeType="1"/>
        </xdr:cNvCxnSpPr>
      </xdr:nvCxnSpPr>
      <xdr:spPr bwMode="auto">
        <a:xfrm flipV="1">
          <a:off x="3937000" y="4917440"/>
          <a:ext cx="845820" cy="342900"/>
        </a:xfrm>
        <a:prstGeom prst="line">
          <a:avLst/>
        </a:prstGeom>
        <a:noFill/>
        <a:ln w="6350" algn="ctr">
          <a:solidFill>
            <a:srgbClr val="000000"/>
          </a:solidFill>
          <a:round/>
          <a:headEnd/>
          <a:tailEnd/>
        </a:ln>
      </xdr:spPr>
    </xdr:cxnSp>
    <xdr:clientData/>
  </xdr:twoCellAnchor>
  <xdr:twoCellAnchor>
    <xdr:from>
      <xdr:col>3</xdr:col>
      <xdr:colOff>1125220</xdr:colOff>
      <xdr:row>23</xdr:row>
      <xdr:rowOff>40640</xdr:rowOff>
    </xdr:from>
    <xdr:to>
      <xdr:col>3</xdr:col>
      <xdr:colOff>1125220</xdr:colOff>
      <xdr:row>24</xdr:row>
      <xdr:rowOff>71120</xdr:rowOff>
    </xdr:to>
    <xdr:cxnSp macro="">
      <xdr:nvCxnSpPr>
        <xdr:cNvPr id="26047" name="Straight Arrow Connector 496">
          <a:extLst>
            <a:ext uri="{FF2B5EF4-FFF2-40B4-BE49-F238E27FC236}">
              <a16:creationId xmlns:a16="http://schemas.microsoft.com/office/drawing/2014/main" id="{00000000-0008-0000-0100-0000BF650000}"/>
            </a:ext>
          </a:extLst>
        </xdr:cNvPr>
        <xdr:cNvCxnSpPr>
          <a:cxnSpLocks noChangeShapeType="1"/>
        </xdr:cNvCxnSpPr>
      </xdr:nvCxnSpPr>
      <xdr:spPr bwMode="auto">
        <a:xfrm rot="5400000" flipH="1" flipV="1">
          <a:off x="4337050" y="5165090"/>
          <a:ext cx="220980" cy="0"/>
        </a:xfrm>
        <a:prstGeom prst="straightConnector1">
          <a:avLst/>
        </a:prstGeom>
        <a:noFill/>
        <a:ln w="3175" algn="ctr">
          <a:solidFill>
            <a:srgbClr val="000000"/>
          </a:solidFill>
          <a:round/>
          <a:headEnd/>
          <a:tailEnd type="stealth" w="sm" len="sm"/>
        </a:ln>
      </xdr:spPr>
    </xdr:cxnSp>
    <xdr:clientData/>
  </xdr:twoCellAnchor>
  <xdr:twoCellAnchor>
    <xdr:from>
      <xdr:col>3</xdr:col>
      <xdr:colOff>1125220</xdr:colOff>
      <xdr:row>21</xdr:row>
      <xdr:rowOff>55880</xdr:rowOff>
    </xdr:from>
    <xdr:to>
      <xdr:col>3</xdr:col>
      <xdr:colOff>1125220</xdr:colOff>
      <xdr:row>22</xdr:row>
      <xdr:rowOff>116840</xdr:rowOff>
    </xdr:to>
    <xdr:cxnSp macro="">
      <xdr:nvCxnSpPr>
        <xdr:cNvPr id="26048" name="Straight Arrow Connector 498">
          <a:extLst>
            <a:ext uri="{FF2B5EF4-FFF2-40B4-BE49-F238E27FC236}">
              <a16:creationId xmlns:a16="http://schemas.microsoft.com/office/drawing/2014/main" id="{00000000-0008-0000-0100-0000C0650000}"/>
            </a:ext>
          </a:extLst>
        </xdr:cNvPr>
        <xdr:cNvCxnSpPr>
          <a:cxnSpLocks noChangeShapeType="1"/>
        </xdr:cNvCxnSpPr>
      </xdr:nvCxnSpPr>
      <xdr:spPr bwMode="auto">
        <a:xfrm rot="5400000">
          <a:off x="4321810" y="4814570"/>
          <a:ext cx="251460" cy="0"/>
        </a:xfrm>
        <a:prstGeom prst="straightConnector1">
          <a:avLst/>
        </a:prstGeom>
        <a:noFill/>
        <a:ln w="3175" algn="ctr">
          <a:solidFill>
            <a:srgbClr val="000000"/>
          </a:solidFill>
          <a:round/>
          <a:headEnd/>
          <a:tailEnd type="stealth" w="sm" len="sm"/>
        </a:ln>
      </xdr:spPr>
    </xdr:cxnSp>
    <xdr:clientData/>
  </xdr:twoCellAnchor>
  <xdr:twoCellAnchor>
    <xdr:from>
      <xdr:col>2</xdr:col>
      <xdr:colOff>1264920</xdr:colOff>
      <xdr:row>27</xdr:row>
      <xdr:rowOff>285750</xdr:rowOff>
    </xdr:from>
    <xdr:to>
      <xdr:col>5</xdr:col>
      <xdr:colOff>15240</xdr:colOff>
      <xdr:row>27</xdr:row>
      <xdr:rowOff>701040</xdr:rowOff>
    </xdr:to>
    <xdr:sp macro="" textlink="">
      <xdr:nvSpPr>
        <xdr:cNvPr id="155" name="TextBox 154">
          <a:extLst>
            <a:ext uri="{FF2B5EF4-FFF2-40B4-BE49-F238E27FC236}">
              <a16:creationId xmlns:a16="http://schemas.microsoft.com/office/drawing/2014/main" id="{00000000-0008-0000-0100-00009B000000}"/>
            </a:ext>
          </a:extLst>
        </xdr:cNvPr>
        <xdr:cNvSpPr txBox="1"/>
      </xdr:nvSpPr>
      <xdr:spPr>
        <a:xfrm>
          <a:off x="2331720" y="5391150"/>
          <a:ext cx="2781300" cy="41529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1" u="none"/>
            <a:t>                              </a:t>
          </a:r>
          <a:r>
            <a:rPr lang="en-US" sz="1100" b="1" u="sng"/>
            <a:t>DETAIL B</a:t>
          </a:r>
          <a:endParaRPr lang="en-US" sz="1100" b="1" u="sng" baseline="0"/>
        </a:p>
        <a:p>
          <a:r>
            <a:rPr lang="en-US" sz="800" u="none" baseline="0"/>
            <a:t>            (METAL CORRUGATEION &amp; GAGE INFORMATION)</a:t>
          </a:r>
          <a:endParaRPr lang="en-US" sz="800" u="none"/>
        </a:p>
      </xdr:txBody>
    </xdr:sp>
    <xdr:clientData/>
  </xdr:twoCellAnchor>
  <xdr:twoCellAnchor>
    <xdr:from>
      <xdr:col>3</xdr:col>
      <xdr:colOff>411480</xdr:colOff>
      <xdr:row>27</xdr:row>
      <xdr:rowOff>36195</xdr:rowOff>
    </xdr:from>
    <xdr:to>
      <xdr:col>3</xdr:col>
      <xdr:colOff>632460</xdr:colOff>
      <xdr:row>27</xdr:row>
      <xdr:rowOff>226695</xdr:rowOff>
    </xdr:to>
    <xdr:sp macro="" textlink="">
      <xdr:nvSpPr>
        <xdr:cNvPr id="156" name="TextBox 155">
          <a:extLst>
            <a:ext uri="{FF2B5EF4-FFF2-40B4-BE49-F238E27FC236}">
              <a16:creationId xmlns:a16="http://schemas.microsoft.com/office/drawing/2014/main" id="{00000000-0008-0000-0100-00009C000000}"/>
            </a:ext>
          </a:extLst>
        </xdr:cNvPr>
        <xdr:cNvSpPr txBox="1"/>
      </xdr:nvSpPr>
      <xdr:spPr>
        <a:xfrm>
          <a:off x="2240280" y="4730115"/>
          <a:ext cx="198120" cy="129540"/>
        </a:xfrm>
        <a:prstGeom prst="rect">
          <a:avLst/>
        </a:prstGeom>
        <a:solidFill>
          <a:schemeClr val="lt1"/>
        </a:solidFill>
        <a:ln w="0"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900"/>
            <a:t>C</a:t>
          </a:r>
        </a:p>
      </xdr:txBody>
    </xdr:sp>
    <xdr:clientData/>
  </xdr:twoCellAnchor>
  <xdr:twoCellAnchor>
    <xdr:from>
      <xdr:col>2</xdr:col>
      <xdr:colOff>1859280</xdr:colOff>
      <xdr:row>27</xdr:row>
      <xdr:rowOff>243840</xdr:rowOff>
    </xdr:from>
    <xdr:to>
      <xdr:col>4</xdr:col>
      <xdr:colOff>152400</xdr:colOff>
      <xdr:row>27</xdr:row>
      <xdr:rowOff>243840</xdr:rowOff>
    </xdr:to>
    <xdr:cxnSp macro="">
      <xdr:nvCxnSpPr>
        <xdr:cNvPr id="26051" name="Straight Arrow Connector 486">
          <a:extLst>
            <a:ext uri="{FF2B5EF4-FFF2-40B4-BE49-F238E27FC236}">
              <a16:creationId xmlns:a16="http://schemas.microsoft.com/office/drawing/2014/main" id="{00000000-0008-0000-0100-0000C3650000}"/>
            </a:ext>
          </a:extLst>
        </xdr:cNvPr>
        <xdr:cNvCxnSpPr>
          <a:cxnSpLocks noChangeShapeType="1"/>
        </xdr:cNvCxnSpPr>
      </xdr:nvCxnSpPr>
      <xdr:spPr bwMode="auto">
        <a:xfrm>
          <a:off x="2926080" y="5349240"/>
          <a:ext cx="1493520" cy="0"/>
        </a:xfrm>
        <a:prstGeom prst="straightConnector1">
          <a:avLst/>
        </a:prstGeom>
        <a:noFill/>
        <a:ln w="3175" algn="ctr">
          <a:solidFill>
            <a:srgbClr val="000000"/>
          </a:solidFill>
          <a:round/>
          <a:headEnd type="stealth" w="sm" len="sm"/>
          <a:tailEnd type="stealth" w="sm" len="sm"/>
        </a:ln>
      </xdr:spPr>
    </xdr:cxnSp>
    <xdr:clientData/>
  </xdr:twoCellAnchor>
  <xdr:twoCellAnchor>
    <xdr:from>
      <xdr:col>3</xdr:col>
      <xdr:colOff>424180</xdr:colOff>
      <xdr:row>24</xdr:row>
      <xdr:rowOff>124459</xdr:rowOff>
    </xdr:from>
    <xdr:to>
      <xdr:col>3</xdr:col>
      <xdr:colOff>622300</xdr:colOff>
      <xdr:row>25</xdr:row>
      <xdr:rowOff>121920</xdr:rowOff>
    </xdr:to>
    <xdr:sp macro="" textlink="">
      <xdr:nvSpPr>
        <xdr:cNvPr id="158" name="TextBox 157">
          <a:extLst>
            <a:ext uri="{FF2B5EF4-FFF2-40B4-BE49-F238E27FC236}">
              <a16:creationId xmlns:a16="http://schemas.microsoft.com/office/drawing/2014/main" id="{00000000-0008-0000-0100-00009E000000}"/>
            </a:ext>
          </a:extLst>
        </xdr:cNvPr>
        <xdr:cNvSpPr txBox="1"/>
      </xdr:nvSpPr>
      <xdr:spPr>
        <a:xfrm>
          <a:off x="3746500" y="5328919"/>
          <a:ext cx="198120" cy="187961"/>
        </a:xfrm>
        <a:prstGeom prst="rect">
          <a:avLst/>
        </a:prstGeom>
        <a:solidFill>
          <a:schemeClr val="lt1"/>
        </a:solidFill>
        <a:ln w="0"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900"/>
            <a:t>d</a:t>
          </a:r>
        </a:p>
      </xdr:txBody>
    </xdr:sp>
    <xdr:clientData/>
  </xdr:twoCellAnchor>
  <xdr:twoCellAnchor>
    <xdr:from>
      <xdr:col>2</xdr:col>
      <xdr:colOff>1988820</xdr:colOff>
      <xdr:row>26</xdr:row>
      <xdr:rowOff>0</xdr:rowOff>
    </xdr:from>
    <xdr:to>
      <xdr:col>3</xdr:col>
      <xdr:colOff>708660</xdr:colOff>
      <xdr:row>26</xdr:row>
      <xdr:rowOff>0</xdr:rowOff>
    </xdr:to>
    <xdr:cxnSp macro="">
      <xdr:nvCxnSpPr>
        <xdr:cNvPr id="26053" name="Straight Connector 488">
          <a:extLst>
            <a:ext uri="{FF2B5EF4-FFF2-40B4-BE49-F238E27FC236}">
              <a16:creationId xmlns:a16="http://schemas.microsoft.com/office/drawing/2014/main" id="{00000000-0008-0000-0100-0000C5650000}"/>
            </a:ext>
          </a:extLst>
        </xdr:cNvPr>
        <xdr:cNvCxnSpPr>
          <a:cxnSpLocks noChangeShapeType="1"/>
        </xdr:cNvCxnSpPr>
      </xdr:nvCxnSpPr>
      <xdr:spPr bwMode="auto">
        <a:xfrm>
          <a:off x="3055620" y="4914900"/>
          <a:ext cx="716280" cy="0"/>
        </a:xfrm>
        <a:prstGeom prst="line">
          <a:avLst/>
        </a:prstGeom>
        <a:noFill/>
        <a:ln w="6350" algn="ctr">
          <a:solidFill>
            <a:srgbClr val="000000"/>
          </a:solidFill>
          <a:round/>
          <a:headEnd/>
          <a:tailEnd/>
        </a:ln>
      </xdr:spPr>
    </xdr:cxnSp>
    <xdr:clientData/>
  </xdr:twoCellAnchor>
  <xdr:twoCellAnchor>
    <xdr:from>
      <xdr:col>3</xdr:col>
      <xdr:colOff>474980</xdr:colOff>
      <xdr:row>24</xdr:row>
      <xdr:rowOff>38100</xdr:rowOff>
    </xdr:from>
    <xdr:to>
      <xdr:col>3</xdr:col>
      <xdr:colOff>482600</xdr:colOff>
      <xdr:row>25</xdr:row>
      <xdr:rowOff>182880</xdr:rowOff>
    </xdr:to>
    <xdr:cxnSp macro="">
      <xdr:nvCxnSpPr>
        <xdr:cNvPr id="26054" name="Straight Arrow Connector 490">
          <a:extLst>
            <a:ext uri="{FF2B5EF4-FFF2-40B4-BE49-F238E27FC236}">
              <a16:creationId xmlns:a16="http://schemas.microsoft.com/office/drawing/2014/main" id="{00000000-0008-0000-0100-0000C6650000}"/>
            </a:ext>
          </a:extLst>
        </xdr:cNvPr>
        <xdr:cNvCxnSpPr>
          <a:cxnSpLocks noChangeShapeType="1"/>
        </xdr:cNvCxnSpPr>
      </xdr:nvCxnSpPr>
      <xdr:spPr bwMode="auto">
        <a:xfrm>
          <a:off x="3797300" y="5242560"/>
          <a:ext cx="7620" cy="335280"/>
        </a:xfrm>
        <a:prstGeom prst="straightConnector1">
          <a:avLst/>
        </a:prstGeom>
        <a:noFill/>
        <a:ln w="3175" algn="ctr">
          <a:solidFill>
            <a:srgbClr val="000000"/>
          </a:solidFill>
          <a:round/>
          <a:headEnd type="stealth" w="sm" len="sm"/>
          <a:tailEnd type="stealth" w="sm" len="sm"/>
        </a:ln>
      </xdr:spPr>
    </xdr:cxnSp>
    <xdr:clientData/>
  </xdr:twoCellAnchor>
  <xdr:twoCellAnchor>
    <xdr:from>
      <xdr:col>3</xdr:col>
      <xdr:colOff>515621</xdr:colOff>
      <xdr:row>20</xdr:row>
      <xdr:rowOff>95885</xdr:rowOff>
    </xdr:from>
    <xdr:to>
      <xdr:col>3</xdr:col>
      <xdr:colOff>828040</xdr:colOff>
      <xdr:row>21</xdr:row>
      <xdr:rowOff>132080</xdr:rowOff>
    </xdr:to>
    <xdr:sp macro="" textlink="">
      <xdr:nvSpPr>
        <xdr:cNvPr id="161" name="TextBox 160">
          <a:extLst>
            <a:ext uri="{FF2B5EF4-FFF2-40B4-BE49-F238E27FC236}">
              <a16:creationId xmlns:a16="http://schemas.microsoft.com/office/drawing/2014/main" id="{00000000-0008-0000-0100-0000A1000000}"/>
            </a:ext>
          </a:extLst>
        </xdr:cNvPr>
        <xdr:cNvSpPr txBox="1"/>
      </xdr:nvSpPr>
      <xdr:spPr>
        <a:xfrm>
          <a:off x="3578861" y="3867785"/>
          <a:ext cx="312419" cy="226695"/>
        </a:xfrm>
        <a:prstGeom prst="rect">
          <a:avLst/>
        </a:prstGeom>
        <a:solidFill>
          <a:schemeClr val="lt1"/>
        </a:solidFill>
        <a:ln w="0"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a:t>t</a:t>
          </a:r>
        </a:p>
      </xdr:txBody>
    </xdr:sp>
    <xdr:clientData/>
  </xdr:twoCellAnchor>
  <xdr:twoCellAnchor>
    <xdr:from>
      <xdr:col>3</xdr:col>
      <xdr:colOff>728980</xdr:colOff>
      <xdr:row>21</xdr:row>
      <xdr:rowOff>55880</xdr:rowOff>
    </xdr:from>
    <xdr:to>
      <xdr:col>3</xdr:col>
      <xdr:colOff>1125220</xdr:colOff>
      <xdr:row>21</xdr:row>
      <xdr:rowOff>55880</xdr:rowOff>
    </xdr:to>
    <xdr:cxnSp macro="">
      <xdr:nvCxnSpPr>
        <xdr:cNvPr id="26056" name="Straight Connector 502">
          <a:extLst>
            <a:ext uri="{FF2B5EF4-FFF2-40B4-BE49-F238E27FC236}">
              <a16:creationId xmlns:a16="http://schemas.microsoft.com/office/drawing/2014/main" id="{00000000-0008-0000-0100-0000C8650000}"/>
            </a:ext>
          </a:extLst>
        </xdr:cNvPr>
        <xdr:cNvCxnSpPr>
          <a:cxnSpLocks noChangeShapeType="1"/>
        </xdr:cNvCxnSpPr>
      </xdr:nvCxnSpPr>
      <xdr:spPr bwMode="auto">
        <a:xfrm rot="10800000">
          <a:off x="4051300" y="4688840"/>
          <a:ext cx="396240" cy="0"/>
        </a:xfrm>
        <a:prstGeom prst="line">
          <a:avLst/>
        </a:prstGeom>
        <a:noFill/>
        <a:ln w="6350" algn="ctr">
          <a:solidFill>
            <a:srgbClr val="000000"/>
          </a:solidFill>
          <a:round/>
          <a:headEnd/>
          <a:tailEnd/>
        </a:ln>
      </xdr:spPr>
    </xdr:cxnSp>
    <xdr:clientData/>
  </xdr:twoCellAnchor>
  <xdr:twoCellAnchor>
    <xdr:from>
      <xdr:col>5</xdr:col>
      <xdr:colOff>655320</xdr:colOff>
      <xdr:row>24</xdr:row>
      <xdr:rowOff>22860</xdr:rowOff>
    </xdr:from>
    <xdr:to>
      <xdr:col>5</xdr:col>
      <xdr:colOff>754380</xdr:colOff>
      <xdr:row>24</xdr:row>
      <xdr:rowOff>114300</xdr:rowOff>
    </xdr:to>
    <xdr:sp macro="" textlink="">
      <xdr:nvSpPr>
        <xdr:cNvPr id="26058" name="Rectangle 510">
          <a:extLst>
            <a:ext uri="{FF2B5EF4-FFF2-40B4-BE49-F238E27FC236}">
              <a16:creationId xmlns:a16="http://schemas.microsoft.com/office/drawing/2014/main" id="{00000000-0008-0000-0100-0000CA650000}"/>
            </a:ext>
          </a:extLst>
        </xdr:cNvPr>
        <xdr:cNvSpPr>
          <a:spLocks noChangeArrowheads="1"/>
        </xdr:cNvSpPr>
      </xdr:nvSpPr>
      <xdr:spPr bwMode="auto">
        <a:xfrm>
          <a:off x="5753100" y="4556760"/>
          <a:ext cx="99060" cy="91440"/>
        </a:xfrm>
        <a:prstGeom prst="rect">
          <a:avLst/>
        </a:prstGeom>
        <a:solidFill>
          <a:srgbClr val="FFFFFF"/>
        </a:solidFill>
        <a:ln w="9525" algn="ctr">
          <a:solidFill>
            <a:srgbClr val="000000"/>
          </a:solidFill>
          <a:round/>
          <a:headEnd/>
          <a:tailEnd/>
        </a:ln>
      </xdr:spPr>
    </xdr:sp>
    <xdr:clientData/>
  </xdr:twoCellAnchor>
  <xdr:twoCellAnchor>
    <xdr:from>
      <xdr:col>8</xdr:col>
      <xdr:colOff>83820</xdr:colOff>
      <xdr:row>24</xdr:row>
      <xdr:rowOff>22860</xdr:rowOff>
    </xdr:from>
    <xdr:to>
      <xdr:col>8</xdr:col>
      <xdr:colOff>190500</xdr:colOff>
      <xdr:row>24</xdr:row>
      <xdr:rowOff>114300</xdr:rowOff>
    </xdr:to>
    <xdr:sp macro="" textlink="">
      <xdr:nvSpPr>
        <xdr:cNvPr id="26059" name="Rectangle 511">
          <a:extLst>
            <a:ext uri="{FF2B5EF4-FFF2-40B4-BE49-F238E27FC236}">
              <a16:creationId xmlns:a16="http://schemas.microsoft.com/office/drawing/2014/main" id="{00000000-0008-0000-0100-0000CB650000}"/>
            </a:ext>
          </a:extLst>
        </xdr:cNvPr>
        <xdr:cNvSpPr>
          <a:spLocks noChangeArrowheads="1"/>
        </xdr:cNvSpPr>
      </xdr:nvSpPr>
      <xdr:spPr bwMode="auto">
        <a:xfrm>
          <a:off x="6896100" y="4556760"/>
          <a:ext cx="106680" cy="91440"/>
        </a:xfrm>
        <a:prstGeom prst="rect">
          <a:avLst/>
        </a:prstGeom>
        <a:solidFill>
          <a:srgbClr val="FFFFFF"/>
        </a:solidFill>
        <a:ln w="9525" algn="ctr">
          <a:solidFill>
            <a:srgbClr val="000000"/>
          </a:solidFill>
          <a:round/>
          <a:headEnd/>
          <a:tailEnd/>
        </a:ln>
      </xdr:spPr>
    </xdr:sp>
    <xdr:clientData/>
  </xdr:twoCellAnchor>
  <xdr:twoCellAnchor>
    <xdr:from>
      <xdr:col>5</xdr:col>
      <xdr:colOff>384983</xdr:colOff>
      <xdr:row>20</xdr:row>
      <xdr:rowOff>33771</xdr:rowOff>
    </xdr:from>
    <xdr:to>
      <xdr:col>6</xdr:col>
      <xdr:colOff>514523</xdr:colOff>
      <xdr:row>22</xdr:row>
      <xdr:rowOff>46396</xdr:rowOff>
    </xdr:to>
    <xdr:sp macro="" textlink="">
      <xdr:nvSpPr>
        <xdr:cNvPr id="26060" name="Oval 559">
          <a:extLst>
            <a:ext uri="{FF2B5EF4-FFF2-40B4-BE49-F238E27FC236}">
              <a16:creationId xmlns:a16="http://schemas.microsoft.com/office/drawing/2014/main" id="{00000000-0008-0000-0100-0000CC650000}"/>
            </a:ext>
          </a:extLst>
        </xdr:cNvPr>
        <xdr:cNvSpPr>
          <a:spLocks noChangeArrowheads="1"/>
        </xdr:cNvSpPr>
      </xdr:nvSpPr>
      <xdr:spPr bwMode="auto">
        <a:xfrm rot="-1263441">
          <a:off x="5482763" y="3805671"/>
          <a:ext cx="906780" cy="393625"/>
        </a:xfrm>
        <a:prstGeom prst="ellipse">
          <a:avLst/>
        </a:prstGeom>
        <a:noFill/>
        <a:ln w="3175" algn="ctr">
          <a:solidFill>
            <a:srgbClr val="000000"/>
          </a:solidFill>
          <a:round/>
          <a:headEnd/>
          <a:tailEnd/>
        </a:ln>
      </xdr:spPr>
    </xdr:sp>
    <xdr:clientData/>
  </xdr:twoCellAnchor>
  <xdr:twoCellAnchor>
    <xdr:from>
      <xdr:col>5</xdr:col>
      <xdr:colOff>160020</xdr:colOff>
      <xdr:row>21</xdr:row>
      <xdr:rowOff>30480</xdr:rowOff>
    </xdr:from>
    <xdr:to>
      <xdr:col>5</xdr:col>
      <xdr:colOff>624840</xdr:colOff>
      <xdr:row>22</xdr:row>
      <xdr:rowOff>60960</xdr:rowOff>
    </xdr:to>
    <xdr:cxnSp macro="">
      <xdr:nvCxnSpPr>
        <xdr:cNvPr id="26061" name="Straight Connector 546">
          <a:extLst>
            <a:ext uri="{FF2B5EF4-FFF2-40B4-BE49-F238E27FC236}">
              <a16:creationId xmlns:a16="http://schemas.microsoft.com/office/drawing/2014/main" id="{00000000-0008-0000-0100-0000CD650000}"/>
            </a:ext>
          </a:extLst>
        </xdr:cNvPr>
        <xdr:cNvCxnSpPr>
          <a:cxnSpLocks noChangeShapeType="1"/>
        </xdr:cNvCxnSpPr>
      </xdr:nvCxnSpPr>
      <xdr:spPr bwMode="auto">
        <a:xfrm rot="10800000" flipV="1">
          <a:off x="5257800" y="3992880"/>
          <a:ext cx="464820" cy="220980"/>
        </a:xfrm>
        <a:prstGeom prst="line">
          <a:avLst/>
        </a:prstGeom>
        <a:noFill/>
        <a:ln w="3175" algn="ctr">
          <a:solidFill>
            <a:srgbClr val="000000"/>
          </a:solidFill>
          <a:round/>
          <a:headEnd/>
          <a:tailEnd/>
        </a:ln>
      </xdr:spPr>
    </xdr:cxnSp>
    <xdr:clientData/>
  </xdr:twoCellAnchor>
  <xdr:twoCellAnchor>
    <xdr:from>
      <xdr:col>5</xdr:col>
      <xdr:colOff>579120</xdr:colOff>
      <xdr:row>20</xdr:row>
      <xdr:rowOff>91440</xdr:rowOff>
    </xdr:from>
    <xdr:to>
      <xdr:col>8</xdr:col>
      <xdr:colOff>274320</xdr:colOff>
      <xdr:row>24</xdr:row>
      <xdr:rowOff>30480</xdr:rowOff>
    </xdr:to>
    <xdr:sp macro="" textlink="">
      <xdr:nvSpPr>
        <xdr:cNvPr id="26062" name="Freeform 544">
          <a:extLst>
            <a:ext uri="{FF2B5EF4-FFF2-40B4-BE49-F238E27FC236}">
              <a16:creationId xmlns:a16="http://schemas.microsoft.com/office/drawing/2014/main" id="{00000000-0008-0000-0100-0000CE650000}"/>
            </a:ext>
          </a:extLst>
        </xdr:cNvPr>
        <xdr:cNvSpPr>
          <a:spLocks/>
        </xdr:cNvSpPr>
      </xdr:nvSpPr>
      <xdr:spPr bwMode="auto">
        <a:xfrm>
          <a:off x="5676900" y="3863340"/>
          <a:ext cx="1409700" cy="701040"/>
        </a:xfrm>
        <a:custGeom>
          <a:avLst/>
          <a:gdLst>
            <a:gd name="T0" fmla="*/ 132378 w 1410208"/>
            <a:gd name="T1" fmla="*/ 583297 h 704596"/>
            <a:gd name="T2" fmla="*/ 1097 w 1410208"/>
            <a:gd name="T3" fmla="*/ 277981 h 704596"/>
            <a:gd name="T4" fmla="*/ 125815 w 1410208"/>
            <a:gd name="T5" fmla="*/ 83687 h 704596"/>
            <a:gd name="T6" fmla="*/ 733002 w 1410208"/>
            <a:gd name="T7" fmla="*/ 421 h 704596"/>
            <a:gd name="T8" fmla="*/ 1379577 w 1410208"/>
            <a:gd name="T9" fmla="*/ 86212 h 704596"/>
            <a:gd name="T10" fmla="*/ 1517423 w 1410208"/>
            <a:gd name="T11" fmla="*/ 275458 h 704596"/>
            <a:gd name="T12" fmla="*/ 1373012 w 1410208"/>
            <a:gd name="T13" fmla="*/ 580773 h 704596"/>
            <a:gd name="T14" fmla="*/ 1373012 w 1410208"/>
            <a:gd name="T15" fmla="*/ 580773 h 704596"/>
            <a:gd name="T16" fmla="*/ 0 60000 65536"/>
            <a:gd name="T17" fmla="*/ 0 60000 65536"/>
            <a:gd name="T18" fmla="*/ 0 60000 65536"/>
            <a:gd name="T19" fmla="*/ 0 60000 65536"/>
            <a:gd name="T20" fmla="*/ 0 60000 65536"/>
            <a:gd name="T21" fmla="*/ 0 60000 65536"/>
            <a:gd name="T22" fmla="*/ 0 60000 65536"/>
            <a:gd name="T23" fmla="*/ 0 60000 65536"/>
            <a:gd name="T24" fmla="*/ 0 w 1410208"/>
            <a:gd name="T25" fmla="*/ 0 h 704596"/>
            <a:gd name="T26" fmla="*/ 1410208 w 1410208"/>
            <a:gd name="T27" fmla="*/ 704596 h 70459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T24" t="T25" r="T26" b="T27"/>
          <a:pathLst>
            <a:path w="1410208" h="704596">
              <a:moveTo>
                <a:pt x="122936" y="704596"/>
              </a:moveTo>
              <a:cubicBezTo>
                <a:pt x="62484" y="570484"/>
                <a:pt x="2032" y="436372"/>
                <a:pt x="1016" y="335788"/>
              </a:cubicBezTo>
              <a:cubicBezTo>
                <a:pt x="0" y="235204"/>
                <a:pt x="3556" y="156972"/>
                <a:pt x="116840" y="101092"/>
              </a:cubicBezTo>
              <a:cubicBezTo>
                <a:pt x="230124" y="45212"/>
                <a:pt x="486664" y="0"/>
                <a:pt x="680720" y="508"/>
              </a:cubicBezTo>
              <a:cubicBezTo>
                <a:pt x="874776" y="1016"/>
                <a:pt x="1159764" y="48768"/>
                <a:pt x="1281176" y="104140"/>
              </a:cubicBezTo>
              <a:cubicBezTo>
                <a:pt x="1402588" y="159512"/>
                <a:pt x="1410208" y="233172"/>
                <a:pt x="1409192" y="332740"/>
              </a:cubicBezTo>
              <a:cubicBezTo>
                <a:pt x="1408176" y="432308"/>
                <a:pt x="1275080" y="701548"/>
                <a:pt x="1275080" y="701548"/>
              </a:cubicBezTo>
            </a:path>
          </a:pathLst>
        </a:custGeom>
        <a:noFill/>
        <a:ln w="9525" cap="flat" cmpd="sng" algn="ctr">
          <a:solidFill>
            <a:srgbClr val="000000"/>
          </a:solidFill>
          <a:prstDash val="solid"/>
          <a:round/>
          <a:headEnd type="none" w="med" len="med"/>
          <a:tailEnd type="none" w="med" len="med"/>
        </a:ln>
      </xdr:spPr>
    </xdr:sp>
    <xdr:clientData/>
  </xdr:twoCellAnchor>
  <xdr:twoCellAnchor>
    <xdr:from>
      <xdr:col>5</xdr:col>
      <xdr:colOff>190500</xdr:colOff>
      <xdr:row>21</xdr:row>
      <xdr:rowOff>160020</xdr:rowOff>
    </xdr:from>
    <xdr:to>
      <xdr:col>5</xdr:col>
      <xdr:colOff>556260</xdr:colOff>
      <xdr:row>22</xdr:row>
      <xdr:rowOff>137160</xdr:rowOff>
    </xdr:to>
    <xdr:cxnSp macro="">
      <xdr:nvCxnSpPr>
        <xdr:cNvPr id="26063" name="Straight Connector 548">
          <a:extLst>
            <a:ext uri="{FF2B5EF4-FFF2-40B4-BE49-F238E27FC236}">
              <a16:creationId xmlns:a16="http://schemas.microsoft.com/office/drawing/2014/main" id="{00000000-0008-0000-0100-0000CF650000}"/>
            </a:ext>
          </a:extLst>
        </xdr:cNvPr>
        <xdr:cNvCxnSpPr>
          <a:cxnSpLocks noChangeShapeType="1"/>
        </xdr:cNvCxnSpPr>
      </xdr:nvCxnSpPr>
      <xdr:spPr bwMode="auto">
        <a:xfrm flipV="1">
          <a:off x="5288280" y="4122420"/>
          <a:ext cx="365760" cy="167640"/>
        </a:xfrm>
        <a:prstGeom prst="line">
          <a:avLst/>
        </a:prstGeom>
        <a:noFill/>
        <a:ln w="3175" algn="ctr">
          <a:solidFill>
            <a:srgbClr val="000000"/>
          </a:solidFill>
          <a:round/>
          <a:headEnd/>
          <a:tailEnd/>
        </a:ln>
      </xdr:spPr>
    </xdr:cxnSp>
    <xdr:clientData/>
  </xdr:twoCellAnchor>
  <xdr:twoCellAnchor>
    <xdr:from>
      <xdr:col>6</xdr:col>
      <xdr:colOff>45720</xdr:colOff>
      <xdr:row>22</xdr:row>
      <xdr:rowOff>68580</xdr:rowOff>
    </xdr:from>
    <xdr:to>
      <xdr:col>7</xdr:col>
      <xdr:colOff>152400</xdr:colOff>
      <xdr:row>22</xdr:row>
      <xdr:rowOff>167640</xdr:rowOff>
    </xdr:to>
    <xdr:sp macro="" textlink="">
      <xdr:nvSpPr>
        <xdr:cNvPr id="26064" name="Rectangle 572">
          <a:extLst>
            <a:ext uri="{FF2B5EF4-FFF2-40B4-BE49-F238E27FC236}">
              <a16:creationId xmlns:a16="http://schemas.microsoft.com/office/drawing/2014/main" id="{00000000-0008-0000-0100-0000D0650000}"/>
            </a:ext>
          </a:extLst>
        </xdr:cNvPr>
        <xdr:cNvSpPr>
          <a:spLocks noChangeArrowheads="1"/>
        </xdr:cNvSpPr>
      </xdr:nvSpPr>
      <xdr:spPr bwMode="auto">
        <a:xfrm rot="-1369869">
          <a:off x="5920740" y="4221480"/>
          <a:ext cx="838200" cy="99060"/>
        </a:xfrm>
        <a:prstGeom prst="rect">
          <a:avLst/>
        </a:prstGeom>
        <a:noFill/>
        <a:ln w="6350" algn="ctr">
          <a:solidFill>
            <a:srgbClr val="000000"/>
          </a:solidFill>
          <a:round/>
          <a:headEnd/>
          <a:tailEnd/>
        </a:ln>
      </xdr:spPr>
    </xdr:sp>
    <xdr:clientData/>
  </xdr:twoCellAnchor>
  <xdr:twoCellAnchor>
    <xdr:from>
      <xdr:col>6</xdr:col>
      <xdr:colOff>449580</xdr:colOff>
      <xdr:row>22</xdr:row>
      <xdr:rowOff>86360</xdr:rowOff>
    </xdr:from>
    <xdr:to>
      <xdr:col>6</xdr:col>
      <xdr:colOff>487680</xdr:colOff>
      <xdr:row>22</xdr:row>
      <xdr:rowOff>177800</xdr:rowOff>
    </xdr:to>
    <xdr:cxnSp macro="">
      <xdr:nvCxnSpPr>
        <xdr:cNvPr id="26065" name="Straight Connector 574">
          <a:extLst>
            <a:ext uri="{FF2B5EF4-FFF2-40B4-BE49-F238E27FC236}">
              <a16:creationId xmlns:a16="http://schemas.microsoft.com/office/drawing/2014/main" id="{00000000-0008-0000-0100-0000D1650000}"/>
            </a:ext>
          </a:extLst>
        </xdr:cNvPr>
        <xdr:cNvCxnSpPr>
          <a:cxnSpLocks noChangeShapeType="1"/>
        </xdr:cNvCxnSpPr>
      </xdr:nvCxnSpPr>
      <xdr:spPr bwMode="auto">
        <a:xfrm rot="16200000" flipH="1">
          <a:off x="6557010" y="4265930"/>
          <a:ext cx="91440" cy="38100"/>
        </a:xfrm>
        <a:prstGeom prst="line">
          <a:avLst/>
        </a:prstGeom>
        <a:noFill/>
        <a:ln w="3175" algn="ctr">
          <a:solidFill>
            <a:srgbClr val="000000"/>
          </a:solidFill>
          <a:round/>
          <a:headEnd/>
          <a:tailEnd/>
        </a:ln>
      </xdr:spPr>
    </xdr:cxnSp>
    <xdr:clientData/>
  </xdr:twoCellAnchor>
  <xdr:twoCellAnchor>
    <xdr:from>
      <xdr:col>6</xdr:col>
      <xdr:colOff>480060</xdr:colOff>
      <xdr:row>22</xdr:row>
      <xdr:rowOff>124460</xdr:rowOff>
    </xdr:from>
    <xdr:to>
      <xdr:col>6</xdr:col>
      <xdr:colOff>525780</xdr:colOff>
      <xdr:row>22</xdr:row>
      <xdr:rowOff>170180</xdr:rowOff>
    </xdr:to>
    <xdr:sp macro="" textlink="">
      <xdr:nvSpPr>
        <xdr:cNvPr id="26066" name="Rectangle 575">
          <a:extLst>
            <a:ext uri="{FF2B5EF4-FFF2-40B4-BE49-F238E27FC236}">
              <a16:creationId xmlns:a16="http://schemas.microsoft.com/office/drawing/2014/main" id="{00000000-0008-0000-0100-0000D2650000}"/>
            </a:ext>
          </a:extLst>
        </xdr:cNvPr>
        <xdr:cNvSpPr>
          <a:spLocks noChangeArrowheads="1"/>
        </xdr:cNvSpPr>
      </xdr:nvSpPr>
      <xdr:spPr bwMode="auto">
        <a:xfrm rot="-1318092">
          <a:off x="6614160" y="4277360"/>
          <a:ext cx="45720" cy="45720"/>
        </a:xfrm>
        <a:prstGeom prst="rect">
          <a:avLst/>
        </a:prstGeom>
        <a:noFill/>
        <a:ln w="3175" algn="ctr">
          <a:solidFill>
            <a:srgbClr val="000000"/>
          </a:solidFill>
          <a:round/>
          <a:headEnd/>
          <a:tailEnd/>
        </a:ln>
      </xdr:spPr>
    </xdr:sp>
    <xdr:clientData/>
  </xdr:twoCellAnchor>
  <xdr:twoCellAnchor>
    <xdr:from>
      <xdr:col>6</xdr:col>
      <xdr:colOff>114300</xdr:colOff>
      <xdr:row>23</xdr:row>
      <xdr:rowOff>167640</xdr:rowOff>
    </xdr:from>
    <xdr:to>
      <xdr:col>6</xdr:col>
      <xdr:colOff>198120</xdr:colOff>
      <xdr:row>24</xdr:row>
      <xdr:rowOff>160020</xdr:rowOff>
    </xdr:to>
    <xdr:cxnSp macro="">
      <xdr:nvCxnSpPr>
        <xdr:cNvPr id="26067" name="Straight Connector 578">
          <a:extLst>
            <a:ext uri="{FF2B5EF4-FFF2-40B4-BE49-F238E27FC236}">
              <a16:creationId xmlns:a16="http://schemas.microsoft.com/office/drawing/2014/main" id="{00000000-0008-0000-0100-0000D3650000}"/>
            </a:ext>
          </a:extLst>
        </xdr:cNvPr>
        <xdr:cNvCxnSpPr>
          <a:cxnSpLocks noChangeShapeType="1"/>
        </xdr:cNvCxnSpPr>
      </xdr:nvCxnSpPr>
      <xdr:spPr bwMode="auto">
        <a:xfrm rot="16200000" flipH="1">
          <a:off x="5939790" y="4560570"/>
          <a:ext cx="182880" cy="83820"/>
        </a:xfrm>
        <a:prstGeom prst="line">
          <a:avLst/>
        </a:prstGeom>
        <a:noFill/>
        <a:ln w="3175" algn="ctr">
          <a:solidFill>
            <a:srgbClr val="000000"/>
          </a:solidFill>
          <a:round/>
          <a:headEnd/>
          <a:tailEnd/>
        </a:ln>
      </xdr:spPr>
    </xdr:cxnSp>
    <xdr:clientData/>
  </xdr:twoCellAnchor>
  <xdr:twoCellAnchor>
    <xdr:from>
      <xdr:col>7</xdr:col>
      <xdr:colOff>144780</xdr:colOff>
      <xdr:row>22</xdr:row>
      <xdr:rowOff>22860</xdr:rowOff>
    </xdr:from>
    <xdr:to>
      <xdr:col>8</xdr:col>
      <xdr:colOff>15240</xdr:colOff>
      <xdr:row>23</xdr:row>
      <xdr:rowOff>15240</xdr:rowOff>
    </xdr:to>
    <xdr:cxnSp macro="">
      <xdr:nvCxnSpPr>
        <xdr:cNvPr id="26068" name="Straight Connector 579">
          <a:extLst>
            <a:ext uri="{FF2B5EF4-FFF2-40B4-BE49-F238E27FC236}">
              <a16:creationId xmlns:a16="http://schemas.microsoft.com/office/drawing/2014/main" id="{00000000-0008-0000-0100-0000D4650000}"/>
            </a:ext>
          </a:extLst>
        </xdr:cNvPr>
        <xdr:cNvCxnSpPr>
          <a:cxnSpLocks noChangeShapeType="1"/>
        </xdr:cNvCxnSpPr>
      </xdr:nvCxnSpPr>
      <xdr:spPr bwMode="auto">
        <a:xfrm rot="16200000" flipH="1">
          <a:off x="6697980" y="4229100"/>
          <a:ext cx="182880" cy="76200"/>
        </a:xfrm>
        <a:prstGeom prst="line">
          <a:avLst/>
        </a:prstGeom>
        <a:noFill/>
        <a:ln w="3175" algn="ctr">
          <a:solidFill>
            <a:srgbClr val="000000"/>
          </a:solidFill>
          <a:round/>
          <a:headEnd/>
          <a:tailEnd/>
        </a:ln>
      </xdr:spPr>
    </xdr:cxnSp>
    <xdr:clientData/>
  </xdr:twoCellAnchor>
  <xdr:twoCellAnchor>
    <xdr:from>
      <xdr:col>6</xdr:col>
      <xdr:colOff>167640</xdr:colOff>
      <xdr:row>22</xdr:row>
      <xdr:rowOff>124460</xdr:rowOff>
    </xdr:from>
    <xdr:to>
      <xdr:col>7</xdr:col>
      <xdr:colOff>187960</xdr:colOff>
      <xdr:row>24</xdr:row>
      <xdr:rowOff>106680</xdr:rowOff>
    </xdr:to>
    <xdr:cxnSp macro="">
      <xdr:nvCxnSpPr>
        <xdr:cNvPr id="26069" name="Straight Arrow Connector 581">
          <a:extLst>
            <a:ext uri="{FF2B5EF4-FFF2-40B4-BE49-F238E27FC236}">
              <a16:creationId xmlns:a16="http://schemas.microsoft.com/office/drawing/2014/main" id="{00000000-0008-0000-0100-0000D5650000}"/>
            </a:ext>
          </a:extLst>
        </xdr:cNvPr>
        <xdr:cNvCxnSpPr>
          <a:cxnSpLocks noChangeShapeType="1"/>
        </xdr:cNvCxnSpPr>
      </xdr:nvCxnSpPr>
      <xdr:spPr bwMode="auto">
        <a:xfrm flipV="1">
          <a:off x="6301740" y="4277360"/>
          <a:ext cx="850900" cy="363220"/>
        </a:xfrm>
        <a:prstGeom prst="straightConnector1">
          <a:avLst/>
        </a:prstGeom>
        <a:noFill/>
        <a:ln w="3175" algn="ctr">
          <a:solidFill>
            <a:srgbClr val="000000"/>
          </a:solidFill>
          <a:round/>
          <a:headEnd type="stealth" w="sm" len="sm"/>
          <a:tailEnd type="stealth" w="sm" len="sm"/>
        </a:ln>
      </xdr:spPr>
    </xdr:cxnSp>
    <xdr:clientData/>
  </xdr:twoCellAnchor>
  <xdr:twoCellAnchor>
    <xdr:from>
      <xdr:col>6</xdr:col>
      <xdr:colOff>131847</xdr:colOff>
      <xdr:row>22</xdr:row>
      <xdr:rowOff>33253</xdr:rowOff>
    </xdr:from>
    <xdr:to>
      <xdr:col>6</xdr:col>
      <xdr:colOff>243840</xdr:colOff>
      <xdr:row>22</xdr:row>
      <xdr:rowOff>160019</xdr:rowOff>
    </xdr:to>
    <xdr:cxnSp macro="">
      <xdr:nvCxnSpPr>
        <xdr:cNvPr id="26070" name="Straight Arrow Connector 583">
          <a:extLst>
            <a:ext uri="{FF2B5EF4-FFF2-40B4-BE49-F238E27FC236}">
              <a16:creationId xmlns:a16="http://schemas.microsoft.com/office/drawing/2014/main" id="{00000000-0008-0000-0100-0000D6650000}"/>
            </a:ext>
          </a:extLst>
        </xdr:cNvPr>
        <xdr:cNvCxnSpPr>
          <a:cxnSpLocks noChangeShapeType="1"/>
          <a:stCxn id="26060" idx="4"/>
        </xdr:cNvCxnSpPr>
      </xdr:nvCxnSpPr>
      <xdr:spPr bwMode="auto">
        <a:xfrm rot="16200000" flipH="1">
          <a:off x="5999481" y="4193539"/>
          <a:ext cx="126766" cy="111993"/>
        </a:xfrm>
        <a:prstGeom prst="straightConnector1">
          <a:avLst/>
        </a:prstGeom>
        <a:noFill/>
        <a:ln w="3175" algn="ctr">
          <a:solidFill>
            <a:srgbClr val="000000"/>
          </a:solidFill>
          <a:round/>
          <a:headEnd/>
          <a:tailEnd type="stealth" w="sm" len="sm"/>
        </a:ln>
      </xdr:spPr>
    </xdr:cxnSp>
    <xdr:clientData/>
  </xdr:twoCellAnchor>
  <xdr:twoCellAnchor>
    <xdr:from>
      <xdr:col>5</xdr:col>
      <xdr:colOff>579120</xdr:colOff>
      <xdr:row>21</xdr:row>
      <xdr:rowOff>30480</xdr:rowOff>
    </xdr:from>
    <xdr:to>
      <xdr:col>6</xdr:col>
      <xdr:colOff>350520</xdr:colOff>
      <xdr:row>21</xdr:row>
      <xdr:rowOff>76200</xdr:rowOff>
    </xdr:to>
    <xdr:sp macro="" textlink="">
      <xdr:nvSpPr>
        <xdr:cNvPr id="26072" name="Rectangle 590">
          <a:extLst>
            <a:ext uri="{FF2B5EF4-FFF2-40B4-BE49-F238E27FC236}">
              <a16:creationId xmlns:a16="http://schemas.microsoft.com/office/drawing/2014/main" id="{00000000-0008-0000-0100-0000D8650000}"/>
            </a:ext>
          </a:extLst>
        </xdr:cNvPr>
        <xdr:cNvSpPr>
          <a:spLocks noChangeArrowheads="1"/>
        </xdr:cNvSpPr>
      </xdr:nvSpPr>
      <xdr:spPr bwMode="auto">
        <a:xfrm rot="-1458266">
          <a:off x="5676900" y="3992880"/>
          <a:ext cx="548640" cy="45720"/>
        </a:xfrm>
        <a:prstGeom prst="rect">
          <a:avLst/>
        </a:prstGeom>
        <a:noFill/>
        <a:ln w="6350" algn="ctr">
          <a:solidFill>
            <a:srgbClr val="000000"/>
          </a:solidFill>
          <a:round/>
          <a:headEnd/>
          <a:tailEnd/>
        </a:ln>
      </xdr:spPr>
    </xdr:sp>
    <xdr:clientData/>
  </xdr:twoCellAnchor>
  <xdr:twoCellAnchor>
    <xdr:from>
      <xdr:col>5</xdr:col>
      <xdr:colOff>152400</xdr:colOff>
      <xdr:row>21</xdr:row>
      <xdr:rowOff>60960</xdr:rowOff>
    </xdr:from>
    <xdr:to>
      <xdr:col>5</xdr:col>
      <xdr:colOff>228600</xdr:colOff>
      <xdr:row>22</xdr:row>
      <xdr:rowOff>30480</xdr:rowOff>
    </xdr:to>
    <xdr:cxnSp macro="">
      <xdr:nvCxnSpPr>
        <xdr:cNvPr id="26073" name="Straight Arrow Connector 602">
          <a:extLst>
            <a:ext uri="{FF2B5EF4-FFF2-40B4-BE49-F238E27FC236}">
              <a16:creationId xmlns:a16="http://schemas.microsoft.com/office/drawing/2014/main" id="{00000000-0008-0000-0100-0000D9650000}"/>
            </a:ext>
          </a:extLst>
        </xdr:cNvPr>
        <xdr:cNvCxnSpPr>
          <a:cxnSpLocks noChangeShapeType="1"/>
        </xdr:cNvCxnSpPr>
      </xdr:nvCxnSpPr>
      <xdr:spPr bwMode="auto">
        <a:xfrm rot="16200000" flipH="1">
          <a:off x="5208270" y="4065270"/>
          <a:ext cx="160020" cy="76200"/>
        </a:xfrm>
        <a:prstGeom prst="straightConnector1">
          <a:avLst/>
        </a:prstGeom>
        <a:noFill/>
        <a:ln w="3175" algn="ctr">
          <a:solidFill>
            <a:srgbClr val="000000"/>
          </a:solidFill>
          <a:round/>
          <a:headEnd/>
          <a:tailEnd type="stealth" w="sm" len="sm"/>
        </a:ln>
      </xdr:spPr>
    </xdr:cxnSp>
    <xdr:clientData/>
  </xdr:twoCellAnchor>
  <xdr:twoCellAnchor>
    <xdr:from>
      <xdr:col>5</xdr:col>
      <xdr:colOff>259080</xdr:colOff>
      <xdr:row>22</xdr:row>
      <xdr:rowOff>106680</xdr:rowOff>
    </xdr:from>
    <xdr:to>
      <xdr:col>5</xdr:col>
      <xdr:colOff>327660</xdr:colOff>
      <xdr:row>23</xdr:row>
      <xdr:rowOff>68580</xdr:rowOff>
    </xdr:to>
    <xdr:cxnSp macro="">
      <xdr:nvCxnSpPr>
        <xdr:cNvPr id="26074" name="Straight Arrow Connector 604">
          <a:extLst>
            <a:ext uri="{FF2B5EF4-FFF2-40B4-BE49-F238E27FC236}">
              <a16:creationId xmlns:a16="http://schemas.microsoft.com/office/drawing/2014/main" id="{00000000-0008-0000-0100-0000DA650000}"/>
            </a:ext>
          </a:extLst>
        </xdr:cNvPr>
        <xdr:cNvCxnSpPr>
          <a:cxnSpLocks noChangeShapeType="1"/>
        </xdr:cNvCxnSpPr>
      </xdr:nvCxnSpPr>
      <xdr:spPr bwMode="auto">
        <a:xfrm rot="16200000" flipV="1">
          <a:off x="5314950" y="4301490"/>
          <a:ext cx="152400" cy="68580"/>
        </a:xfrm>
        <a:prstGeom prst="straightConnector1">
          <a:avLst/>
        </a:prstGeom>
        <a:noFill/>
        <a:ln w="3175" algn="ctr">
          <a:solidFill>
            <a:srgbClr val="000000"/>
          </a:solidFill>
          <a:round/>
          <a:headEnd/>
          <a:tailEnd type="stealth" w="sm" len="sm"/>
        </a:ln>
      </xdr:spPr>
    </xdr:cxnSp>
    <xdr:clientData/>
  </xdr:twoCellAnchor>
  <xdr:twoCellAnchor>
    <xdr:from>
      <xdr:col>5</xdr:col>
      <xdr:colOff>110490</xdr:colOff>
      <xdr:row>27</xdr:row>
      <xdr:rowOff>222250</xdr:rowOff>
    </xdr:from>
    <xdr:to>
      <xdr:col>8</xdr:col>
      <xdr:colOff>243840</xdr:colOff>
      <xdr:row>27</xdr:row>
      <xdr:rowOff>647700</xdr:rowOff>
    </xdr:to>
    <xdr:sp macro="" textlink="">
      <xdr:nvSpPr>
        <xdr:cNvPr id="181" name="TextBox 180">
          <a:extLst>
            <a:ext uri="{FF2B5EF4-FFF2-40B4-BE49-F238E27FC236}">
              <a16:creationId xmlns:a16="http://schemas.microsoft.com/office/drawing/2014/main" id="{00000000-0008-0000-0100-0000B5000000}"/>
            </a:ext>
          </a:extLst>
        </xdr:cNvPr>
        <xdr:cNvSpPr txBox="1"/>
      </xdr:nvSpPr>
      <xdr:spPr>
        <a:xfrm>
          <a:off x="5208270" y="5327650"/>
          <a:ext cx="1847850" cy="4254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1" u="sng"/>
            <a:t>Determining Actual</a:t>
          </a:r>
          <a:r>
            <a:rPr lang="en-US" sz="1100" b="1" u="sng" baseline="0"/>
            <a:t> Radius </a:t>
          </a:r>
          <a:r>
            <a:rPr lang="en-US" sz="1100" b="1" u="none" baseline="0">
              <a:solidFill>
                <a:srgbClr val="FF0000"/>
              </a:solidFill>
            </a:rPr>
            <a:t>*</a:t>
          </a:r>
        </a:p>
        <a:p>
          <a:r>
            <a:rPr lang="en-US" sz="800" u="none" baseline="0"/>
            <a:t>           (from field measurement)</a:t>
          </a:r>
          <a:endParaRPr lang="en-US" sz="800" u="none"/>
        </a:p>
      </xdr:txBody>
    </xdr:sp>
    <xdr:clientData/>
  </xdr:twoCellAnchor>
  <xdr:twoCellAnchor>
    <xdr:from>
      <xdr:col>6</xdr:col>
      <xdr:colOff>402287</xdr:colOff>
      <xdr:row>22</xdr:row>
      <xdr:rowOff>156074</xdr:rowOff>
    </xdr:from>
    <xdr:to>
      <xdr:col>6</xdr:col>
      <xdr:colOff>642405</xdr:colOff>
      <xdr:row>24</xdr:row>
      <xdr:rowOff>34736</xdr:rowOff>
    </xdr:to>
    <xdr:sp macro="" textlink="">
      <xdr:nvSpPr>
        <xdr:cNvPr id="182" name="TextBox 181">
          <a:extLst>
            <a:ext uri="{FF2B5EF4-FFF2-40B4-BE49-F238E27FC236}">
              <a16:creationId xmlns:a16="http://schemas.microsoft.com/office/drawing/2014/main" id="{00000000-0008-0000-0100-0000B6000000}"/>
            </a:ext>
          </a:extLst>
        </xdr:cNvPr>
        <xdr:cNvSpPr txBox="1"/>
      </xdr:nvSpPr>
      <xdr:spPr>
        <a:xfrm rot="20415639">
          <a:off x="4059887" y="4011794"/>
          <a:ext cx="209638" cy="2139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a:t>P</a:t>
          </a:r>
        </a:p>
      </xdr:txBody>
    </xdr:sp>
    <xdr:clientData/>
  </xdr:twoCellAnchor>
  <xdr:twoCellAnchor>
    <xdr:from>
      <xdr:col>5</xdr:col>
      <xdr:colOff>68580</xdr:colOff>
      <xdr:row>21</xdr:row>
      <xdr:rowOff>60960</xdr:rowOff>
    </xdr:from>
    <xdr:to>
      <xdr:col>5</xdr:col>
      <xdr:colOff>152400</xdr:colOff>
      <xdr:row>21</xdr:row>
      <xdr:rowOff>60960</xdr:rowOff>
    </xdr:to>
    <xdr:cxnSp macro="">
      <xdr:nvCxnSpPr>
        <xdr:cNvPr id="26077" name="Straight Connector 612">
          <a:extLst>
            <a:ext uri="{FF2B5EF4-FFF2-40B4-BE49-F238E27FC236}">
              <a16:creationId xmlns:a16="http://schemas.microsoft.com/office/drawing/2014/main" id="{00000000-0008-0000-0100-0000DD650000}"/>
            </a:ext>
          </a:extLst>
        </xdr:cNvPr>
        <xdr:cNvCxnSpPr>
          <a:cxnSpLocks noChangeShapeType="1"/>
        </xdr:cNvCxnSpPr>
      </xdr:nvCxnSpPr>
      <xdr:spPr bwMode="auto">
        <a:xfrm rot="10800000">
          <a:off x="5166360" y="4023360"/>
          <a:ext cx="83820" cy="0"/>
        </a:xfrm>
        <a:prstGeom prst="line">
          <a:avLst/>
        </a:prstGeom>
        <a:noFill/>
        <a:ln w="6350" algn="ctr">
          <a:solidFill>
            <a:srgbClr val="000000"/>
          </a:solidFill>
          <a:round/>
          <a:headEnd/>
          <a:tailEnd/>
        </a:ln>
      </xdr:spPr>
    </xdr:cxnSp>
    <xdr:clientData/>
  </xdr:twoCellAnchor>
  <xdr:twoCellAnchor>
    <xdr:from>
      <xdr:col>4</xdr:col>
      <xdr:colOff>680720</xdr:colOff>
      <xdr:row>20</xdr:row>
      <xdr:rowOff>109220</xdr:rowOff>
    </xdr:from>
    <xdr:to>
      <xdr:col>5</xdr:col>
      <xdr:colOff>109220</xdr:colOff>
      <xdr:row>21</xdr:row>
      <xdr:rowOff>180340</xdr:rowOff>
    </xdr:to>
    <xdr:sp macro="" textlink="">
      <xdr:nvSpPr>
        <xdr:cNvPr id="184" name="TextBox 183">
          <a:extLst>
            <a:ext uri="{FF2B5EF4-FFF2-40B4-BE49-F238E27FC236}">
              <a16:creationId xmlns:a16="http://schemas.microsoft.com/office/drawing/2014/main" id="{00000000-0008-0000-0100-0000B8000000}"/>
            </a:ext>
          </a:extLst>
        </xdr:cNvPr>
        <xdr:cNvSpPr txBox="1"/>
      </xdr:nvSpPr>
      <xdr:spPr>
        <a:xfrm>
          <a:off x="3050540" y="3629660"/>
          <a:ext cx="106680" cy="2235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a:t>M</a:t>
          </a:r>
        </a:p>
      </xdr:txBody>
    </xdr:sp>
    <xdr:clientData/>
  </xdr:twoCellAnchor>
  <xdr:twoCellAnchor>
    <xdr:from>
      <xdr:col>5</xdr:col>
      <xdr:colOff>45720</xdr:colOff>
      <xdr:row>25</xdr:row>
      <xdr:rowOff>38100</xdr:rowOff>
    </xdr:from>
    <xdr:to>
      <xdr:col>9</xdr:col>
      <xdr:colOff>99060</xdr:colOff>
      <xdr:row>27</xdr:row>
      <xdr:rowOff>419100</xdr:rowOff>
    </xdr:to>
    <xdr:sp macro="" textlink="">
      <xdr:nvSpPr>
        <xdr:cNvPr id="185" name="TextBox 184">
          <a:extLst>
            <a:ext uri="{FF2B5EF4-FFF2-40B4-BE49-F238E27FC236}">
              <a16:creationId xmlns:a16="http://schemas.microsoft.com/office/drawing/2014/main" id="{00000000-0008-0000-0100-0000B9000000}"/>
            </a:ext>
          </a:extLst>
        </xdr:cNvPr>
        <xdr:cNvSpPr txBox="1"/>
      </xdr:nvSpPr>
      <xdr:spPr>
        <a:xfrm>
          <a:off x="5143500" y="4762500"/>
          <a:ext cx="2209800" cy="76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b="1"/>
            <a:t>Straight edge mid ordinate to check curvature:</a:t>
          </a:r>
        </a:p>
        <a:p>
          <a:r>
            <a:rPr lang="en-US" sz="800"/>
            <a:t>Radius = M/2</a:t>
          </a:r>
          <a:r>
            <a:rPr lang="en-US" sz="800" baseline="0"/>
            <a:t> + P</a:t>
          </a:r>
          <a:r>
            <a:rPr lang="en-US" sz="800" baseline="30000"/>
            <a:t>2</a:t>
          </a:r>
          <a:r>
            <a:rPr lang="en-US" sz="800" baseline="0"/>
            <a:t>/(8M)</a:t>
          </a:r>
          <a:endParaRPr lang="en-US" sz="800"/>
        </a:p>
        <a:p>
          <a:r>
            <a:rPr lang="en-US" sz="800"/>
            <a:t>P = Length</a:t>
          </a:r>
          <a:r>
            <a:rPr lang="en-US" sz="800" baseline="0"/>
            <a:t> of straight edge</a:t>
          </a:r>
        </a:p>
        <a:p>
          <a:r>
            <a:rPr lang="en-US" sz="800" baseline="0"/>
            <a:t>M = Mid Ordinate</a:t>
          </a:r>
          <a:endParaRPr lang="en-US" sz="800"/>
        </a:p>
      </xdr:txBody>
    </xdr:sp>
    <xdr:clientData/>
  </xdr:twoCellAnchor>
  <xdr:twoCellAnchor>
    <xdr:from>
      <xdr:col>5</xdr:col>
      <xdr:colOff>365760</xdr:colOff>
      <xdr:row>9</xdr:row>
      <xdr:rowOff>76200</xdr:rowOff>
    </xdr:from>
    <xdr:to>
      <xdr:col>6</xdr:col>
      <xdr:colOff>236220</xdr:colOff>
      <xdr:row>11</xdr:row>
      <xdr:rowOff>0</xdr:rowOff>
    </xdr:to>
    <xdr:cxnSp macro="">
      <xdr:nvCxnSpPr>
        <xdr:cNvPr id="26080" name="Straight Connector 187">
          <a:extLst>
            <a:ext uri="{FF2B5EF4-FFF2-40B4-BE49-F238E27FC236}">
              <a16:creationId xmlns:a16="http://schemas.microsoft.com/office/drawing/2014/main" id="{00000000-0008-0000-0100-0000E0650000}"/>
            </a:ext>
          </a:extLst>
        </xdr:cNvPr>
        <xdr:cNvCxnSpPr>
          <a:cxnSpLocks noChangeShapeType="1"/>
        </xdr:cNvCxnSpPr>
      </xdr:nvCxnSpPr>
      <xdr:spPr bwMode="auto">
        <a:xfrm flipV="1">
          <a:off x="5463540" y="1752600"/>
          <a:ext cx="647700" cy="304800"/>
        </a:xfrm>
        <a:prstGeom prst="line">
          <a:avLst/>
        </a:prstGeom>
        <a:noFill/>
        <a:ln w="6350" algn="ctr">
          <a:solidFill>
            <a:srgbClr val="000000"/>
          </a:solidFill>
          <a:round/>
          <a:headEnd/>
          <a:tailEnd/>
        </a:ln>
      </xdr:spPr>
    </xdr:cxnSp>
    <xdr:clientData/>
  </xdr:twoCellAnchor>
  <xdr:twoCellAnchor>
    <xdr:from>
      <xdr:col>5</xdr:col>
      <xdr:colOff>419100</xdr:colOff>
      <xdr:row>12</xdr:row>
      <xdr:rowOff>182880</xdr:rowOff>
    </xdr:from>
    <xdr:to>
      <xdr:col>6</xdr:col>
      <xdr:colOff>304800</xdr:colOff>
      <xdr:row>14</xdr:row>
      <xdr:rowOff>114300</xdr:rowOff>
    </xdr:to>
    <xdr:cxnSp macro="">
      <xdr:nvCxnSpPr>
        <xdr:cNvPr id="26081" name="Straight Connector 188">
          <a:extLst>
            <a:ext uri="{FF2B5EF4-FFF2-40B4-BE49-F238E27FC236}">
              <a16:creationId xmlns:a16="http://schemas.microsoft.com/office/drawing/2014/main" id="{00000000-0008-0000-0100-0000E1650000}"/>
            </a:ext>
          </a:extLst>
        </xdr:cNvPr>
        <xdr:cNvCxnSpPr>
          <a:cxnSpLocks noChangeShapeType="1"/>
        </xdr:cNvCxnSpPr>
      </xdr:nvCxnSpPr>
      <xdr:spPr bwMode="auto">
        <a:xfrm flipV="1">
          <a:off x="5516880" y="2430780"/>
          <a:ext cx="662940" cy="312420"/>
        </a:xfrm>
        <a:prstGeom prst="line">
          <a:avLst/>
        </a:prstGeom>
        <a:noFill/>
        <a:ln w="6350" algn="ctr">
          <a:solidFill>
            <a:srgbClr val="000000"/>
          </a:solidFill>
          <a:round/>
          <a:headEnd/>
          <a:tailEnd/>
        </a:ln>
      </xdr:spPr>
    </xdr:cxnSp>
    <xdr:clientData/>
  </xdr:twoCellAnchor>
  <xdr:twoCellAnchor>
    <xdr:from>
      <xdr:col>6</xdr:col>
      <xdr:colOff>148589</xdr:colOff>
      <xdr:row>10</xdr:row>
      <xdr:rowOff>100965</xdr:rowOff>
    </xdr:from>
    <xdr:to>
      <xdr:col>8</xdr:col>
      <xdr:colOff>218440</xdr:colOff>
      <xdr:row>12</xdr:row>
      <xdr:rowOff>85725</xdr:rowOff>
    </xdr:to>
    <xdr:sp macro="" textlink="">
      <xdr:nvSpPr>
        <xdr:cNvPr id="188" name="TextBox 187">
          <a:extLst>
            <a:ext uri="{FF2B5EF4-FFF2-40B4-BE49-F238E27FC236}">
              <a16:creationId xmlns:a16="http://schemas.microsoft.com/office/drawing/2014/main" id="{00000000-0008-0000-0100-0000BC000000}"/>
            </a:ext>
          </a:extLst>
        </xdr:cNvPr>
        <xdr:cNvSpPr txBox="1"/>
      </xdr:nvSpPr>
      <xdr:spPr>
        <a:xfrm>
          <a:off x="3806189" y="1945005"/>
          <a:ext cx="1289051" cy="320040"/>
        </a:xfrm>
        <a:prstGeom prst="rect">
          <a:avLst/>
        </a:prstGeom>
        <a:solidFill>
          <a:schemeClr val="lt1"/>
        </a:solidFill>
        <a:ln w="0"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800"/>
            <a:t>Minimum</a:t>
          </a:r>
          <a:r>
            <a:rPr lang="en-US" sz="800" baseline="0"/>
            <a:t> </a:t>
          </a:r>
          <a:r>
            <a:rPr lang="en-US" sz="800"/>
            <a:t>Depth</a:t>
          </a:r>
          <a:r>
            <a:rPr lang="en-US" sz="800" baseline="0"/>
            <a:t> of Fill  above crown "H"</a:t>
          </a:r>
          <a:endParaRPr lang="en-US" sz="800"/>
        </a:p>
      </xdr:txBody>
    </xdr:sp>
    <xdr:clientData/>
  </xdr:twoCellAnchor>
  <xdr:twoCellAnchor>
    <xdr:from>
      <xdr:col>6</xdr:col>
      <xdr:colOff>198120</xdr:colOff>
      <xdr:row>9</xdr:row>
      <xdr:rowOff>99060</xdr:rowOff>
    </xdr:from>
    <xdr:to>
      <xdr:col>6</xdr:col>
      <xdr:colOff>198120</xdr:colOff>
      <xdr:row>13</xdr:row>
      <xdr:rowOff>30480</xdr:rowOff>
    </xdr:to>
    <xdr:cxnSp macro="">
      <xdr:nvCxnSpPr>
        <xdr:cNvPr id="26083" name="Straight Arrow Connector 170">
          <a:extLst>
            <a:ext uri="{FF2B5EF4-FFF2-40B4-BE49-F238E27FC236}">
              <a16:creationId xmlns:a16="http://schemas.microsoft.com/office/drawing/2014/main" id="{00000000-0008-0000-0100-0000E3650000}"/>
            </a:ext>
          </a:extLst>
        </xdr:cNvPr>
        <xdr:cNvCxnSpPr>
          <a:cxnSpLocks noChangeShapeType="1"/>
        </xdr:cNvCxnSpPr>
      </xdr:nvCxnSpPr>
      <xdr:spPr bwMode="auto">
        <a:xfrm rot="5400000">
          <a:off x="5726430" y="2122170"/>
          <a:ext cx="693420" cy="0"/>
        </a:xfrm>
        <a:prstGeom prst="straightConnector1">
          <a:avLst/>
        </a:prstGeom>
        <a:noFill/>
        <a:ln w="3175" algn="ctr">
          <a:solidFill>
            <a:srgbClr val="000000"/>
          </a:solidFill>
          <a:round/>
          <a:headEnd type="stealth" w="sm" len="sm"/>
          <a:tailEnd type="stealth" w="sm" len="sm"/>
        </a:ln>
      </xdr:spPr>
    </xdr:cxnSp>
    <xdr:clientData/>
  </xdr:twoCellAnchor>
  <xdr:twoCellAnchor>
    <xdr:from>
      <xdr:col>5</xdr:col>
      <xdr:colOff>411480</xdr:colOff>
      <xdr:row>9</xdr:row>
      <xdr:rowOff>144780</xdr:rowOff>
    </xdr:from>
    <xdr:to>
      <xdr:col>5</xdr:col>
      <xdr:colOff>411480</xdr:colOff>
      <xdr:row>11</xdr:row>
      <xdr:rowOff>53340</xdr:rowOff>
    </xdr:to>
    <xdr:cxnSp macro="">
      <xdr:nvCxnSpPr>
        <xdr:cNvPr id="26084" name="Straight Connector 222">
          <a:extLst>
            <a:ext uri="{FF2B5EF4-FFF2-40B4-BE49-F238E27FC236}">
              <a16:creationId xmlns:a16="http://schemas.microsoft.com/office/drawing/2014/main" id="{00000000-0008-0000-0100-0000E4650000}"/>
            </a:ext>
          </a:extLst>
        </xdr:cNvPr>
        <xdr:cNvCxnSpPr>
          <a:cxnSpLocks noChangeShapeType="1"/>
        </xdr:cNvCxnSpPr>
      </xdr:nvCxnSpPr>
      <xdr:spPr bwMode="auto">
        <a:xfrm rot="5400000" flipH="1" flipV="1">
          <a:off x="5364480" y="1965960"/>
          <a:ext cx="289560" cy="0"/>
        </a:xfrm>
        <a:prstGeom prst="line">
          <a:avLst/>
        </a:prstGeom>
        <a:noFill/>
        <a:ln w="3175" algn="ctr">
          <a:solidFill>
            <a:srgbClr val="000000"/>
          </a:solidFill>
          <a:round/>
          <a:headEnd/>
          <a:tailEnd/>
        </a:ln>
      </xdr:spPr>
    </xdr:cxnSp>
    <xdr:clientData/>
  </xdr:twoCellAnchor>
  <xdr:twoCellAnchor>
    <xdr:from>
      <xdr:col>6</xdr:col>
      <xdr:colOff>40005</xdr:colOff>
      <xdr:row>20</xdr:row>
      <xdr:rowOff>148590</xdr:rowOff>
    </xdr:from>
    <xdr:to>
      <xdr:col>6</xdr:col>
      <xdr:colOff>66791</xdr:colOff>
      <xdr:row>21</xdr:row>
      <xdr:rowOff>32506</xdr:rowOff>
    </xdr:to>
    <xdr:cxnSp macro="">
      <xdr:nvCxnSpPr>
        <xdr:cNvPr id="204" name="Straight Connector 203">
          <a:extLst>
            <a:ext uri="{FF2B5EF4-FFF2-40B4-BE49-F238E27FC236}">
              <a16:creationId xmlns:a16="http://schemas.microsoft.com/office/drawing/2014/main" id="{00000000-0008-0000-0100-0000CC000000}"/>
            </a:ext>
          </a:extLst>
        </xdr:cNvPr>
        <xdr:cNvCxnSpPr>
          <a:stCxn id="26072" idx="0"/>
        </xdr:cNvCxnSpPr>
      </xdr:nvCxnSpPr>
      <xdr:spPr bwMode="auto">
        <a:xfrm rot="16200000" flipV="1">
          <a:off x="5891210" y="3944305"/>
          <a:ext cx="74416" cy="26786"/>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clientData/>
  </xdr:twoCellAnchor>
  <xdr:twoCellAnchor>
    <xdr:from>
      <xdr:col>12</xdr:col>
      <xdr:colOff>693420</xdr:colOff>
      <xdr:row>40</xdr:row>
      <xdr:rowOff>109220</xdr:rowOff>
    </xdr:from>
    <xdr:to>
      <xdr:col>15</xdr:col>
      <xdr:colOff>176530</xdr:colOff>
      <xdr:row>45</xdr:row>
      <xdr:rowOff>82550</xdr:rowOff>
    </xdr:to>
    <xdr:grpSp>
      <xdr:nvGrpSpPr>
        <xdr:cNvPr id="236" name="Group 235">
          <a:extLst>
            <a:ext uri="{FF2B5EF4-FFF2-40B4-BE49-F238E27FC236}">
              <a16:creationId xmlns:a16="http://schemas.microsoft.com/office/drawing/2014/main" id="{00000000-0008-0000-0100-0000EC000000}"/>
            </a:ext>
          </a:extLst>
        </xdr:cNvPr>
        <xdr:cNvGrpSpPr/>
      </xdr:nvGrpSpPr>
      <xdr:grpSpPr>
        <a:xfrm>
          <a:off x="9384983" y="9419908"/>
          <a:ext cx="1530985" cy="1211580"/>
          <a:chOff x="7791450" y="9570720"/>
          <a:chExt cx="1593850" cy="1253490"/>
        </a:xfrm>
      </xdr:grpSpPr>
      <xdr:sp macro="" textlink="">
        <xdr:nvSpPr>
          <xdr:cNvPr id="237" name="TextBox 236">
            <a:extLst>
              <a:ext uri="{FF2B5EF4-FFF2-40B4-BE49-F238E27FC236}">
                <a16:creationId xmlns:a16="http://schemas.microsoft.com/office/drawing/2014/main" id="{00000000-0008-0000-0100-0000ED000000}"/>
              </a:ext>
            </a:extLst>
          </xdr:cNvPr>
          <xdr:cNvSpPr txBox="1"/>
        </xdr:nvSpPr>
        <xdr:spPr>
          <a:xfrm>
            <a:off x="8272780" y="10436860"/>
            <a:ext cx="595630" cy="2006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600" b="1">
                <a:latin typeface="+mn-lt"/>
              </a:rPr>
              <a:t>Flexible</a:t>
            </a:r>
            <a:r>
              <a:rPr lang="en-US" sz="600" b="1" baseline="0">
                <a:latin typeface="+mn-lt"/>
              </a:rPr>
              <a:t> Pipe</a:t>
            </a:r>
            <a:endParaRPr lang="en-US" sz="600" b="1">
              <a:latin typeface="+mn-lt"/>
            </a:endParaRPr>
          </a:p>
        </xdr:txBody>
      </xdr:sp>
      <xdr:grpSp>
        <xdr:nvGrpSpPr>
          <xdr:cNvPr id="238" name="Group 237">
            <a:extLst>
              <a:ext uri="{FF2B5EF4-FFF2-40B4-BE49-F238E27FC236}">
                <a16:creationId xmlns:a16="http://schemas.microsoft.com/office/drawing/2014/main" id="{00000000-0008-0000-0100-0000EE000000}"/>
              </a:ext>
            </a:extLst>
          </xdr:cNvPr>
          <xdr:cNvGrpSpPr/>
        </xdr:nvGrpSpPr>
        <xdr:grpSpPr>
          <a:xfrm>
            <a:off x="7791450" y="9570720"/>
            <a:ext cx="1593850" cy="1253490"/>
            <a:chOff x="7791450" y="9570720"/>
            <a:chExt cx="1593850" cy="1253490"/>
          </a:xfrm>
        </xdr:grpSpPr>
        <xdr:sp macro="" textlink="">
          <xdr:nvSpPr>
            <xdr:cNvPr id="239" name="TextBox 238">
              <a:extLst>
                <a:ext uri="{FF2B5EF4-FFF2-40B4-BE49-F238E27FC236}">
                  <a16:creationId xmlns:a16="http://schemas.microsoft.com/office/drawing/2014/main" id="{00000000-0008-0000-0100-0000EF000000}"/>
                </a:ext>
              </a:extLst>
            </xdr:cNvPr>
            <xdr:cNvSpPr txBox="1"/>
          </xdr:nvSpPr>
          <xdr:spPr>
            <a:xfrm>
              <a:off x="8181340" y="9832245"/>
              <a:ext cx="508000" cy="152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700">
                  <a:latin typeface="+mn-lt"/>
                </a:rPr>
                <a:t>H</a:t>
              </a:r>
              <a:r>
                <a:rPr lang="en-US" sz="700" baseline="-25000">
                  <a:latin typeface="+mn-lt"/>
                </a:rPr>
                <a:t>min</a:t>
              </a:r>
              <a:r>
                <a:rPr lang="en-US" sz="700" baseline="0">
                  <a:latin typeface="+mn-lt"/>
                </a:rPr>
                <a:t>= H</a:t>
              </a:r>
            </a:p>
          </xdr:txBody>
        </xdr:sp>
        <xdr:grpSp>
          <xdr:nvGrpSpPr>
            <xdr:cNvPr id="240" name="Group 239">
              <a:extLst>
                <a:ext uri="{FF2B5EF4-FFF2-40B4-BE49-F238E27FC236}">
                  <a16:creationId xmlns:a16="http://schemas.microsoft.com/office/drawing/2014/main" id="{00000000-0008-0000-0100-0000F0000000}"/>
                </a:ext>
              </a:extLst>
            </xdr:cNvPr>
            <xdr:cNvGrpSpPr/>
          </xdr:nvGrpSpPr>
          <xdr:grpSpPr>
            <a:xfrm>
              <a:off x="7791450" y="9570720"/>
              <a:ext cx="1593850" cy="1253490"/>
              <a:chOff x="7791450" y="9570720"/>
              <a:chExt cx="1593850" cy="1253490"/>
            </a:xfrm>
          </xdr:grpSpPr>
          <xdr:sp macro="" textlink="">
            <xdr:nvSpPr>
              <xdr:cNvPr id="242" name="TextBox 241">
                <a:extLst>
                  <a:ext uri="{FF2B5EF4-FFF2-40B4-BE49-F238E27FC236}">
                    <a16:creationId xmlns:a16="http://schemas.microsoft.com/office/drawing/2014/main" id="{00000000-0008-0000-0100-0000F2000000}"/>
                  </a:ext>
                </a:extLst>
              </xdr:cNvPr>
              <xdr:cNvSpPr txBox="1"/>
            </xdr:nvSpPr>
            <xdr:spPr>
              <a:xfrm>
                <a:off x="8575040" y="9570720"/>
                <a:ext cx="810260" cy="2286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600" b="1">
                    <a:solidFill>
                      <a:srgbClr val="FF0000"/>
                    </a:solidFill>
                    <a:latin typeface="+mn-lt"/>
                  </a:rPr>
                  <a:t>Rigid</a:t>
                </a:r>
                <a:r>
                  <a:rPr lang="en-US" sz="600" b="1" baseline="0">
                    <a:solidFill>
                      <a:srgbClr val="FF0000"/>
                    </a:solidFill>
                    <a:latin typeface="+mn-lt"/>
                  </a:rPr>
                  <a:t> Pavement</a:t>
                </a:r>
                <a:endParaRPr lang="en-US" sz="600" b="1">
                  <a:solidFill>
                    <a:srgbClr val="FF0000"/>
                  </a:solidFill>
                  <a:latin typeface="+mn-lt"/>
                </a:endParaRPr>
              </a:p>
            </xdr:txBody>
          </xdr:sp>
          <xdr:sp macro="" textlink="">
            <xdr:nvSpPr>
              <xdr:cNvPr id="243" name="TextBox 242">
                <a:extLst>
                  <a:ext uri="{FF2B5EF4-FFF2-40B4-BE49-F238E27FC236}">
                    <a16:creationId xmlns:a16="http://schemas.microsoft.com/office/drawing/2014/main" id="{00000000-0008-0000-0100-0000F3000000}"/>
                  </a:ext>
                </a:extLst>
              </xdr:cNvPr>
              <xdr:cNvSpPr txBox="1"/>
            </xdr:nvSpPr>
            <xdr:spPr>
              <a:xfrm>
                <a:off x="8663940" y="9715500"/>
                <a:ext cx="582930" cy="15494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600">
                    <a:latin typeface="+mn-lt"/>
                  </a:rPr>
                  <a:t>Base Course</a:t>
                </a:r>
              </a:p>
            </xdr:txBody>
          </xdr:sp>
          <xdr:sp macro="" textlink="">
            <xdr:nvSpPr>
              <xdr:cNvPr id="244" name="TextBox 243">
                <a:extLst>
                  <a:ext uri="{FF2B5EF4-FFF2-40B4-BE49-F238E27FC236}">
                    <a16:creationId xmlns:a16="http://schemas.microsoft.com/office/drawing/2014/main" id="{00000000-0008-0000-0100-0000F4000000}"/>
                  </a:ext>
                </a:extLst>
              </xdr:cNvPr>
              <xdr:cNvSpPr txBox="1"/>
            </xdr:nvSpPr>
            <xdr:spPr>
              <a:xfrm>
                <a:off x="8714740" y="9855200"/>
                <a:ext cx="508000" cy="152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600">
                    <a:latin typeface="+mn-lt"/>
                  </a:rPr>
                  <a:t>Subbase</a:t>
                </a:r>
              </a:p>
            </xdr:txBody>
          </xdr:sp>
          <xdr:grpSp>
            <xdr:nvGrpSpPr>
              <xdr:cNvPr id="245" name="Group 244">
                <a:extLst>
                  <a:ext uri="{FF2B5EF4-FFF2-40B4-BE49-F238E27FC236}">
                    <a16:creationId xmlns:a16="http://schemas.microsoft.com/office/drawing/2014/main" id="{00000000-0008-0000-0100-0000F5000000}"/>
                  </a:ext>
                </a:extLst>
              </xdr:cNvPr>
              <xdr:cNvGrpSpPr/>
            </xdr:nvGrpSpPr>
            <xdr:grpSpPr>
              <a:xfrm>
                <a:off x="7791450" y="9608820"/>
                <a:ext cx="1454150" cy="1215390"/>
                <a:chOff x="7791450" y="9608820"/>
                <a:chExt cx="1454150" cy="1215390"/>
              </a:xfrm>
            </xdr:grpSpPr>
            <xdr:cxnSp macro="">
              <xdr:nvCxnSpPr>
                <xdr:cNvPr id="246" name="Straight Connector 245">
                  <a:extLst>
                    <a:ext uri="{FF2B5EF4-FFF2-40B4-BE49-F238E27FC236}">
                      <a16:creationId xmlns:a16="http://schemas.microsoft.com/office/drawing/2014/main" id="{00000000-0008-0000-0100-0000F6000000}"/>
                    </a:ext>
                  </a:extLst>
                </xdr:cNvPr>
                <xdr:cNvCxnSpPr/>
              </xdr:nvCxnSpPr>
              <xdr:spPr bwMode="auto">
                <a:xfrm>
                  <a:off x="7797800" y="9611360"/>
                  <a:ext cx="0" cy="403860"/>
                </a:xfrm>
                <a:prstGeom prst="line">
                  <a:avLst/>
                </a:prstGeom>
                <a:solidFill>
                  <a:srgbClr val="FFFFFF"/>
                </a:solidFill>
                <a:ln w="3175" cap="flat" cmpd="sng" algn="ctr">
                  <a:solidFill>
                    <a:srgbClr val="000000"/>
                  </a:solidFill>
                  <a:prstDash val="solid"/>
                  <a:round/>
                  <a:headEnd type="none" w="med" len="med"/>
                  <a:tailEnd type="none" w="med" len="med"/>
                </a:ln>
                <a:effectLst/>
              </xdr:spPr>
            </xdr:cxnSp>
            <xdr:sp macro="" textlink="">
              <xdr:nvSpPr>
                <xdr:cNvPr id="247" name="Donut 246">
                  <a:extLst>
                    <a:ext uri="{FF2B5EF4-FFF2-40B4-BE49-F238E27FC236}">
                      <a16:creationId xmlns:a16="http://schemas.microsoft.com/office/drawing/2014/main" id="{00000000-0008-0000-0100-0000F7000000}"/>
                    </a:ext>
                  </a:extLst>
                </xdr:cNvPr>
                <xdr:cNvSpPr/>
              </xdr:nvSpPr>
              <xdr:spPr bwMode="auto">
                <a:xfrm>
                  <a:off x="8262620" y="10229850"/>
                  <a:ext cx="594360" cy="594360"/>
                </a:xfrm>
                <a:prstGeom prst="donut">
                  <a:avLst>
                    <a:gd name="adj" fmla="val 7426"/>
                  </a:avLst>
                </a:prstGeom>
                <a:solidFill>
                  <a:srgbClr val="FFFFFF"/>
                </a:solidFill>
                <a:ln w="317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a:p>
              </xdr:txBody>
            </xdr:sp>
            <xdr:grpSp>
              <xdr:nvGrpSpPr>
                <xdr:cNvPr id="248" name="Group 247">
                  <a:extLst>
                    <a:ext uri="{FF2B5EF4-FFF2-40B4-BE49-F238E27FC236}">
                      <a16:creationId xmlns:a16="http://schemas.microsoft.com/office/drawing/2014/main" id="{00000000-0008-0000-0100-0000F8000000}"/>
                    </a:ext>
                  </a:extLst>
                </xdr:cNvPr>
                <xdr:cNvGrpSpPr/>
              </xdr:nvGrpSpPr>
              <xdr:grpSpPr>
                <a:xfrm>
                  <a:off x="7791450" y="9608820"/>
                  <a:ext cx="1454150" cy="407670"/>
                  <a:chOff x="7791450" y="9608820"/>
                  <a:chExt cx="1454150" cy="407670"/>
                </a:xfrm>
              </xdr:grpSpPr>
              <xdr:cxnSp macro="">
                <xdr:nvCxnSpPr>
                  <xdr:cNvPr id="249" name="Straight Connector 248">
                    <a:extLst>
                      <a:ext uri="{FF2B5EF4-FFF2-40B4-BE49-F238E27FC236}">
                        <a16:creationId xmlns:a16="http://schemas.microsoft.com/office/drawing/2014/main" id="{00000000-0008-0000-0100-0000F9000000}"/>
                      </a:ext>
                    </a:extLst>
                  </xdr:cNvPr>
                  <xdr:cNvCxnSpPr/>
                </xdr:nvCxnSpPr>
                <xdr:spPr bwMode="auto">
                  <a:xfrm>
                    <a:off x="7799070" y="9608820"/>
                    <a:ext cx="1443990" cy="0"/>
                  </a:xfrm>
                  <a:prstGeom prst="line">
                    <a:avLst/>
                  </a:prstGeom>
                  <a:solidFill>
                    <a:srgbClr val="FFFFFF"/>
                  </a:solidFill>
                  <a:ln w="3175" cap="flat" cmpd="sng" algn="ctr">
                    <a:solidFill>
                      <a:srgbClr val="000000"/>
                    </a:solidFill>
                    <a:prstDash val="solid"/>
                    <a:round/>
                    <a:headEnd type="none" w="med" len="med"/>
                    <a:tailEnd type="none" w="med" len="med"/>
                  </a:ln>
                  <a:effectLst/>
                </xdr:spPr>
              </xdr:cxnSp>
              <xdr:cxnSp macro="">
                <xdr:nvCxnSpPr>
                  <xdr:cNvPr id="250" name="Straight Connector 249">
                    <a:extLst>
                      <a:ext uri="{FF2B5EF4-FFF2-40B4-BE49-F238E27FC236}">
                        <a16:creationId xmlns:a16="http://schemas.microsoft.com/office/drawing/2014/main" id="{00000000-0008-0000-0100-0000FA000000}"/>
                      </a:ext>
                    </a:extLst>
                  </xdr:cNvPr>
                  <xdr:cNvCxnSpPr/>
                </xdr:nvCxnSpPr>
                <xdr:spPr bwMode="auto">
                  <a:xfrm>
                    <a:off x="7795260" y="9743440"/>
                    <a:ext cx="1447800" cy="0"/>
                  </a:xfrm>
                  <a:prstGeom prst="line">
                    <a:avLst/>
                  </a:prstGeom>
                  <a:solidFill>
                    <a:srgbClr val="FFFFFF"/>
                  </a:solidFill>
                  <a:ln w="3175" cap="flat" cmpd="sng" algn="ctr">
                    <a:solidFill>
                      <a:srgbClr val="000000"/>
                    </a:solidFill>
                    <a:prstDash val="solid"/>
                    <a:round/>
                    <a:headEnd type="none" w="med" len="med"/>
                    <a:tailEnd type="none" w="med" len="med"/>
                  </a:ln>
                  <a:effectLst/>
                </xdr:spPr>
              </xdr:cxnSp>
              <xdr:cxnSp macro="">
                <xdr:nvCxnSpPr>
                  <xdr:cNvPr id="251" name="Straight Connector 250">
                    <a:extLst>
                      <a:ext uri="{FF2B5EF4-FFF2-40B4-BE49-F238E27FC236}">
                        <a16:creationId xmlns:a16="http://schemas.microsoft.com/office/drawing/2014/main" id="{00000000-0008-0000-0100-0000FB000000}"/>
                      </a:ext>
                    </a:extLst>
                  </xdr:cNvPr>
                  <xdr:cNvCxnSpPr/>
                </xdr:nvCxnSpPr>
                <xdr:spPr bwMode="auto">
                  <a:xfrm>
                    <a:off x="7791450" y="9871710"/>
                    <a:ext cx="1451610" cy="0"/>
                  </a:xfrm>
                  <a:prstGeom prst="line">
                    <a:avLst/>
                  </a:prstGeom>
                  <a:solidFill>
                    <a:srgbClr val="FFFFFF"/>
                  </a:solidFill>
                  <a:ln w="3175" cap="flat" cmpd="sng" algn="ctr">
                    <a:solidFill>
                      <a:srgbClr val="000000"/>
                    </a:solidFill>
                    <a:prstDash val="solid"/>
                    <a:round/>
                    <a:headEnd type="none" w="med" len="med"/>
                    <a:tailEnd type="none" w="med" len="med"/>
                  </a:ln>
                  <a:effectLst/>
                </xdr:spPr>
              </xdr:cxnSp>
              <xdr:cxnSp macro="">
                <xdr:nvCxnSpPr>
                  <xdr:cNvPr id="252" name="Straight Connector 251">
                    <a:extLst>
                      <a:ext uri="{FF2B5EF4-FFF2-40B4-BE49-F238E27FC236}">
                        <a16:creationId xmlns:a16="http://schemas.microsoft.com/office/drawing/2014/main" id="{00000000-0008-0000-0100-0000FC000000}"/>
                      </a:ext>
                    </a:extLst>
                  </xdr:cNvPr>
                  <xdr:cNvCxnSpPr/>
                </xdr:nvCxnSpPr>
                <xdr:spPr bwMode="auto">
                  <a:xfrm>
                    <a:off x="7795260" y="10012680"/>
                    <a:ext cx="1450340" cy="0"/>
                  </a:xfrm>
                  <a:prstGeom prst="line">
                    <a:avLst/>
                  </a:prstGeom>
                  <a:solidFill>
                    <a:srgbClr val="FFFFFF"/>
                  </a:solidFill>
                  <a:ln w="3175" cap="flat" cmpd="sng" algn="ctr">
                    <a:solidFill>
                      <a:srgbClr val="000000"/>
                    </a:solidFill>
                    <a:prstDash val="solid"/>
                    <a:round/>
                    <a:headEnd type="none" w="med" len="med"/>
                    <a:tailEnd type="none" w="med" len="med"/>
                  </a:ln>
                  <a:effectLst/>
                </xdr:spPr>
              </xdr:cxnSp>
              <xdr:cxnSp macro="">
                <xdr:nvCxnSpPr>
                  <xdr:cNvPr id="253" name="Straight Connector 252">
                    <a:extLst>
                      <a:ext uri="{FF2B5EF4-FFF2-40B4-BE49-F238E27FC236}">
                        <a16:creationId xmlns:a16="http://schemas.microsoft.com/office/drawing/2014/main" id="{00000000-0008-0000-0100-0000FD000000}"/>
                      </a:ext>
                    </a:extLst>
                  </xdr:cNvPr>
                  <xdr:cNvCxnSpPr/>
                </xdr:nvCxnSpPr>
                <xdr:spPr bwMode="auto">
                  <a:xfrm>
                    <a:off x="9243060" y="9612630"/>
                    <a:ext cx="0" cy="403860"/>
                  </a:xfrm>
                  <a:prstGeom prst="line">
                    <a:avLst/>
                  </a:prstGeom>
                  <a:solidFill>
                    <a:srgbClr val="FFFFFF"/>
                  </a:solidFill>
                  <a:ln w="3175" cap="flat" cmpd="sng" algn="ctr">
                    <a:solidFill>
                      <a:srgbClr val="000000"/>
                    </a:solidFill>
                    <a:prstDash val="solid"/>
                    <a:round/>
                    <a:headEnd type="none" w="med" len="med"/>
                    <a:tailEnd type="none" w="med" len="med"/>
                  </a:ln>
                  <a:effectLst/>
                </xdr:spPr>
              </xdr:cxnSp>
            </xdr:grpSp>
          </xdr:grpSp>
        </xdr:grpSp>
        <xdr:cxnSp macro="">
          <xdr:nvCxnSpPr>
            <xdr:cNvPr id="241" name="Straight Arrow Connector 240">
              <a:extLst>
                <a:ext uri="{FF2B5EF4-FFF2-40B4-BE49-F238E27FC236}">
                  <a16:creationId xmlns:a16="http://schemas.microsoft.com/office/drawing/2014/main" id="{00000000-0008-0000-0100-0000F1000000}"/>
                </a:ext>
              </a:extLst>
            </xdr:cNvPr>
            <xdr:cNvCxnSpPr>
              <a:endCxn id="247" idx="0"/>
            </xdr:cNvCxnSpPr>
          </xdr:nvCxnSpPr>
          <xdr:spPr bwMode="auto">
            <a:xfrm flipH="1">
              <a:off x="8559800" y="9605010"/>
              <a:ext cx="10160" cy="624840"/>
            </a:xfrm>
            <a:prstGeom prst="straightConnector1">
              <a:avLst/>
            </a:prstGeom>
            <a:solidFill>
              <a:srgbClr val="FFFFFF"/>
            </a:solidFill>
            <a:ln w="3175" cap="flat" cmpd="sng" algn="ctr">
              <a:solidFill>
                <a:srgbClr val="000000"/>
              </a:solidFill>
              <a:prstDash val="solid"/>
              <a:round/>
              <a:headEnd type="triangle"/>
              <a:tailEnd type="triangle"/>
            </a:ln>
            <a:effectLst/>
          </xdr:spPr>
        </xdr:cxnSp>
      </xdr:grpSp>
    </xdr:grpSp>
    <xdr:clientData/>
  </xdr:twoCellAnchor>
  <xdr:twoCellAnchor>
    <xdr:from>
      <xdr:col>10</xdr:col>
      <xdr:colOff>149860</xdr:colOff>
      <xdr:row>43</xdr:row>
      <xdr:rowOff>91005</xdr:rowOff>
    </xdr:from>
    <xdr:to>
      <xdr:col>11</xdr:col>
      <xdr:colOff>231140</xdr:colOff>
      <xdr:row>43</xdr:row>
      <xdr:rowOff>91440</xdr:rowOff>
    </xdr:to>
    <xdr:cxnSp macro="">
      <xdr:nvCxnSpPr>
        <xdr:cNvPr id="40" name="Straight Connector 39">
          <a:extLst>
            <a:ext uri="{FF2B5EF4-FFF2-40B4-BE49-F238E27FC236}">
              <a16:creationId xmlns:a16="http://schemas.microsoft.com/office/drawing/2014/main" id="{00000000-0008-0000-0100-000028000000}"/>
            </a:ext>
          </a:extLst>
        </xdr:cNvPr>
        <xdr:cNvCxnSpPr>
          <a:stCxn id="3" idx="0"/>
        </xdr:cNvCxnSpPr>
      </xdr:nvCxnSpPr>
      <xdr:spPr bwMode="auto">
        <a:xfrm flipH="1">
          <a:off x="7861300" y="10157025"/>
          <a:ext cx="698500" cy="435"/>
        </a:xfrm>
        <a:prstGeom prst="line">
          <a:avLst/>
        </a:prstGeom>
        <a:solidFill>
          <a:srgbClr val="FFFFFF"/>
        </a:solidFill>
        <a:ln w="3175" cap="flat" cmpd="sng" algn="ctr">
          <a:solidFill>
            <a:srgbClr val="000000"/>
          </a:solidFill>
          <a:prstDash val="solid"/>
          <a:round/>
          <a:headEnd type="none" w="med" len="med"/>
          <a:tailEnd type="none" w="med" len="med"/>
        </a:ln>
        <a:effectLst/>
      </xdr:spPr>
    </xdr:cxnSp>
    <xdr:clientData/>
  </xdr:twoCellAnchor>
  <xdr:twoCellAnchor>
    <xdr:from>
      <xdr:col>10</xdr:col>
      <xdr:colOff>276860</xdr:colOff>
      <xdr:row>41</xdr:row>
      <xdr:rowOff>149860</xdr:rowOff>
    </xdr:from>
    <xdr:to>
      <xdr:col>10</xdr:col>
      <xdr:colOff>515620</xdr:colOff>
      <xdr:row>42</xdr:row>
      <xdr:rowOff>78461</xdr:rowOff>
    </xdr:to>
    <xdr:sp macro="" textlink="">
      <xdr:nvSpPr>
        <xdr:cNvPr id="264" name="TextBox 263">
          <a:extLst>
            <a:ext uri="{FF2B5EF4-FFF2-40B4-BE49-F238E27FC236}">
              <a16:creationId xmlns:a16="http://schemas.microsoft.com/office/drawing/2014/main" id="{00000000-0008-0000-0100-000008010000}"/>
            </a:ext>
          </a:extLst>
        </xdr:cNvPr>
        <xdr:cNvSpPr txBox="1"/>
      </xdr:nvSpPr>
      <xdr:spPr>
        <a:xfrm>
          <a:off x="7988300" y="9766300"/>
          <a:ext cx="238760" cy="14958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700">
              <a:latin typeface="+mn-lt"/>
            </a:rPr>
            <a:t>H</a:t>
          </a:r>
          <a:endParaRPr lang="en-US" sz="700" baseline="-25000">
            <a:latin typeface="+mn-lt"/>
          </a:endParaRPr>
        </a:p>
      </xdr:txBody>
    </xdr:sp>
    <xdr:clientData/>
  </xdr:twoCellAnchor>
  <xdr:twoCellAnchor>
    <xdr:from>
      <xdr:col>10</xdr:col>
      <xdr:colOff>80010</xdr:colOff>
      <xdr:row>40</xdr:row>
      <xdr:rowOff>139700</xdr:rowOff>
    </xdr:from>
    <xdr:to>
      <xdr:col>12</xdr:col>
      <xdr:colOff>429260</xdr:colOff>
      <xdr:row>45</xdr:row>
      <xdr:rowOff>95250</xdr:rowOff>
    </xdr:to>
    <xdr:grpSp>
      <xdr:nvGrpSpPr>
        <xdr:cNvPr id="45" name="Group 44">
          <a:extLst>
            <a:ext uri="{FF2B5EF4-FFF2-40B4-BE49-F238E27FC236}">
              <a16:creationId xmlns:a16="http://schemas.microsoft.com/office/drawing/2014/main" id="{00000000-0008-0000-0100-00002D000000}"/>
            </a:ext>
          </a:extLst>
        </xdr:cNvPr>
        <xdr:cNvGrpSpPr/>
      </xdr:nvGrpSpPr>
      <xdr:grpSpPr>
        <a:xfrm>
          <a:off x="7592854" y="9450388"/>
          <a:ext cx="1527969" cy="1193800"/>
          <a:chOff x="7791450" y="9527540"/>
          <a:chExt cx="1560830" cy="1212850"/>
        </a:xfrm>
      </xdr:grpSpPr>
      <xdr:grpSp>
        <xdr:nvGrpSpPr>
          <xdr:cNvPr id="35" name="Group 34">
            <a:extLst>
              <a:ext uri="{FF2B5EF4-FFF2-40B4-BE49-F238E27FC236}">
                <a16:creationId xmlns:a16="http://schemas.microsoft.com/office/drawing/2014/main" id="{00000000-0008-0000-0100-000023000000}"/>
              </a:ext>
            </a:extLst>
          </xdr:cNvPr>
          <xdr:cNvGrpSpPr/>
        </xdr:nvGrpSpPr>
        <xdr:grpSpPr>
          <a:xfrm>
            <a:off x="7791450" y="9527540"/>
            <a:ext cx="1560830" cy="1212850"/>
            <a:chOff x="7791450" y="9588500"/>
            <a:chExt cx="1560830" cy="1235710"/>
          </a:xfrm>
        </xdr:grpSpPr>
        <xdr:sp macro="" textlink="">
          <xdr:nvSpPr>
            <xdr:cNvPr id="26" name="TextBox 25">
              <a:extLst>
                <a:ext uri="{FF2B5EF4-FFF2-40B4-BE49-F238E27FC236}">
                  <a16:creationId xmlns:a16="http://schemas.microsoft.com/office/drawing/2014/main" id="{00000000-0008-0000-0100-00001A000000}"/>
                </a:ext>
              </a:extLst>
            </xdr:cNvPr>
            <xdr:cNvSpPr txBox="1"/>
          </xdr:nvSpPr>
          <xdr:spPr>
            <a:xfrm>
              <a:off x="8280400" y="10441940"/>
              <a:ext cx="645160" cy="2006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600" b="1">
                  <a:latin typeface="+mn-lt"/>
                </a:rPr>
                <a:t>Flexible</a:t>
              </a:r>
              <a:r>
                <a:rPr lang="en-US" sz="600" b="1" baseline="0">
                  <a:latin typeface="+mn-lt"/>
                </a:rPr>
                <a:t> Pipe</a:t>
              </a:r>
              <a:endParaRPr lang="en-US" sz="600" b="1">
                <a:latin typeface="+mn-lt"/>
              </a:endParaRPr>
            </a:p>
          </xdr:txBody>
        </xdr:sp>
        <xdr:grpSp>
          <xdr:nvGrpSpPr>
            <xdr:cNvPr id="34" name="Group 33">
              <a:extLst>
                <a:ext uri="{FF2B5EF4-FFF2-40B4-BE49-F238E27FC236}">
                  <a16:creationId xmlns:a16="http://schemas.microsoft.com/office/drawing/2014/main" id="{00000000-0008-0000-0100-000022000000}"/>
                </a:ext>
              </a:extLst>
            </xdr:cNvPr>
            <xdr:cNvGrpSpPr/>
          </xdr:nvGrpSpPr>
          <xdr:grpSpPr>
            <a:xfrm>
              <a:off x="7791450" y="9588500"/>
              <a:ext cx="1560830" cy="1235710"/>
              <a:chOff x="7791450" y="9588500"/>
              <a:chExt cx="1560830" cy="1235710"/>
            </a:xfrm>
          </xdr:grpSpPr>
          <xdr:sp macro="" textlink="">
            <xdr:nvSpPr>
              <xdr:cNvPr id="217" name="TextBox 216">
                <a:extLst>
                  <a:ext uri="{FF2B5EF4-FFF2-40B4-BE49-F238E27FC236}">
                    <a16:creationId xmlns:a16="http://schemas.microsoft.com/office/drawing/2014/main" id="{00000000-0008-0000-0100-0000D9000000}"/>
                  </a:ext>
                </a:extLst>
              </xdr:cNvPr>
              <xdr:cNvSpPr txBox="1"/>
            </xdr:nvSpPr>
            <xdr:spPr>
              <a:xfrm>
                <a:off x="8318500" y="9837420"/>
                <a:ext cx="508000" cy="152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700">
                    <a:latin typeface="+mn-lt"/>
                  </a:rPr>
                  <a:t>H</a:t>
                </a:r>
                <a:r>
                  <a:rPr lang="en-US" sz="700" baseline="-25000">
                    <a:latin typeface="+mn-lt"/>
                  </a:rPr>
                  <a:t>min</a:t>
                </a:r>
              </a:p>
            </xdr:txBody>
          </xdr:sp>
          <xdr:grpSp>
            <xdr:nvGrpSpPr>
              <xdr:cNvPr id="28" name="Group 27">
                <a:extLst>
                  <a:ext uri="{FF2B5EF4-FFF2-40B4-BE49-F238E27FC236}">
                    <a16:creationId xmlns:a16="http://schemas.microsoft.com/office/drawing/2014/main" id="{00000000-0008-0000-0100-00001C000000}"/>
                  </a:ext>
                </a:extLst>
              </xdr:cNvPr>
              <xdr:cNvGrpSpPr/>
            </xdr:nvGrpSpPr>
            <xdr:grpSpPr>
              <a:xfrm>
                <a:off x="7791450" y="9588500"/>
                <a:ext cx="1560830" cy="1235710"/>
                <a:chOff x="7791450" y="9588500"/>
                <a:chExt cx="1560830" cy="1235710"/>
              </a:xfrm>
            </xdr:grpSpPr>
            <xdr:sp macro="" textlink="">
              <xdr:nvSpPr>
                <xdr:cNvPr id="205" name="TextBox 204">
                  <a:extLst>
                    <a:ext uri="{FF2B5EF4-FFF2-40B4-BE49-F238E27FC236}">
                      <a16:creationId xmlns:a16="http://schemas.microsoft.com/office/drawing/2014/main" id="{00000000-0008-0000-0100-0000CD000000}"/>
                    </a:ext>
                  </a:extLst>
                </xdr:cNvPr>
                <xdr:cNvSpPr txBox="1"/>
              </xdr:nvSpPr>
              <xdr:spPr>
                <a:xfrm>
                  <a:off x="8542020" y="9588500"/>
                  <a:ext cx="810260" cy="2006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600" b="1">
                      <a:solidFill>
                        <a:srgbClr val="FF0000"/>
                      </a:solidFill>
                      <a:latin typeface="+mn-lt"/>
                    </a:rPr>
                    <a:t>Flexible</a:t>
                  </a:r>
                  <a:r>
                    <a:rPr lang="en-US" sz="600" b="1" baseline="0">
                      <a:solidFill>
                        <a:srgbClr val="FF0000"/>
                      </a:solidFill>
                      <a:latin typeface="+mn-lt"/>
                    </a:rPr>
                    <a:t> Pavement</a:t>
                  </a:r>
                  <a:endParaRPr lang="en-US" sz="600" b="1">
                    <a:solidFill>
                      <a:srgbClr val="FF0000"/>
                    </a:solidFill>
                    <a:latin typeface="+mn-lt"/>
                  </a:endParaRPr>
                </a:p>
              </xdr:txBody>
            </xdr:sp>
            <xdr:sp macro="" textlink="">
              <xdr:nvSpPr>
                <xdr:cNvPr id="207" name="TextBox 206">
                  <a:extLst>
                    <a:ext uri="{FF2B5EF4-FFF2-40B4-BE49-F238E27FC236}">
                      <a16:creationId xmlns:a16="http://schemas.microsoft.com/office/drawing/2014/main" id="{00000000-0008-0000-0100-0000CF000000}"/>
                    </a:ext>
                  </a:extLst>
                </xdr:cNvPr>
                <xdr:cNvSpPr txBox="1"/>
              </xdr:nvSpPr>
              <xdr:spPr>
                <a:xfrm>
                  <a:off x="8663940" y="9715500"/>
                  <a:ext cx="594360" cy="15494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600">
                      <a:latin typeface="+mn-lt"/>
                    </a:rPr>
                    <a:t>Base Course</a:t>
                  </a:r>
                </a:p>
              </xdr:txBody>
            </xdr:sp>
            <xdr:sp macro="" textlink="">
              <xdr:nvSpPr>
                <xdr:cNvPr id="209" name="TextBox 208">
                  <a:extLst>
                    <a:ext uri="{FF2B5EF4-FFF2-40B4-BE49-F238E27FC236}">
                      <a16:creationId xmlns:a16="http://schemas.microsoft.com/office/drawing/2014/main" id="{00000000-0008-0000-0100-0000D1000000}"/>
                    </a:ext>
                  </a:extLst>
                </xdr:cNvPr>
                <xdr:cNvSpPr txBox="1"/>
              </xdr:nvSpPr>
              <xdr:spPr>
                <a:xfrm>
                  <a:off x="8714740" y="9855200"/>
                  <a:ext cx="508000" cy="152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600">
                      <a:latin typeface="+mn-lt"/>
                    </a:rPr>
                    <a:t>Subbase</a:t>
                  </a:r>
                </a:p>
              </xdr:txBody>
            </xdr:sp>
            <xdr:grpSp>
              <xdr:nvGrpSpPr>
                <xdr:cNvPr id="27" name="Group 26">
                  <a:extLst>
                    <a:ext uri="{FF2B5EF4-FFF2-40B4-BE49-F238E27FC236}">
                      <a16:creationId xmlns:a16="http://schemas.microsoft.com/office/drawing/2014/main" id="{00000000-0008-0000-0100-00001B000000}"/>
                    </a:ext>
                  </a:extLst>
                </xdr:cNvPr>
                <xdr:cNvGrpSpPr/>
              </xdr:nvGrpSpPr>
              <xdr:grpSpPr>
                <a:xfrm>
                  <a:off x="7791450" y="9608820"/>
                  <a:ext cx="1454150" cy="1215390"/>
                  <a:chOff x="7791450" y="9608820"/>
                  <a:chExt cx="1454150" cy="1215390"/>
                </a:xfrm>
              </xdr:grpSpPr>
              <xdr:cxnSp macro="">
                <xdr:nvCxnSpPr>
                  <xdr:cNvPr id="202" name="Straight Connector 201">
                    <a:extLst>
                      <a:ext uri="{FF2B5EF4-FFF2-40B4-BE49-F238E27FC236}">
                        <a16:creationId xmlns:a16="http://schemas.microsoft.com/office/drawing/2014/main" id="{00000000-0008-0000-0100-0000CA000000}"/>
                      </a:ext>
                    </a:extLst>
                  </xdr:cNvPr>
                  <xdr:cNvCxnSpPr/>
                </xdr:nvCxnSpPr>
                <xdr:spPr bwMode="auto">
                  <a:xfrm>
                    <a:off x="7797800" y="9611360"/>
                    <a:ext cx="0" cy="403860"/>
                  </a:xfrm>
                  <a:prstGeom prst="line">
                    <a:avLst/>
                  </a:prstGeom>
                  <a:solidFill>
                    <a:srgbClr val="FFFFFF"/>
                  </a:solidFill>
                  <a:ln w="3175" cap="flat" cmpd="sng" algn="ctr">
                    <a:solidFill>
                      <a:srgbClr val="000000"/>
                    </a:solidFill>
                    <a:prstDash val="solid"/>
                    <a:round/>
                    <a:headEnd type="none" w="med" len="med"/>
                    <a:tailEnd type="none" w="med" len="med"/>
                  </a:ln>
                  <a:effectLst/>
                </xdr:spPr>
              </xdr:cxnSp>
              <xdr:sp macro="" textlink="">
                <xdr:nvSpPr>
                  <xdr:cNvPr id="3" name="Donut 2">
                    <a:extLst>
                      <a:ext uri="{FF2B5EF4-FFF2-40B4-BE49-F238E27FC236}">
                        <a16:creationId xmlns:a16="http://schemas.microsoft.com/office/drawing/2014/main" id="{00000000-0008-0000-0100-000003000000}"/>
                      </a:ext>
                    </a:extLst>
                  </xdr:cNvPr>
                  <xdr:cNvSpPr/>
                </xdr:nvSpPr>
                <xdr:spPr bwMode="auto">
                  <a:xfrm>
                    <a:off x="8262620" y="10229850"/>
                    <a:ext cx="594360" cy="594360"/>
                  </a:xfrm>
                  <a:prstGeom prst="donut">
                    <a:avLst>
                      <a:gd name="adj" fmla="val 7426"/>
                    </a:avLst>
                  </a:prstGeom>
                  <a:solidFill>
                    <a:srgbClr val="FFFFFF"/>
                  </a:solidFill>
                  <a:ln w="317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en-US" sz="1100"/>
                  </a:p>
                </xdr:txBody>
              </xdr:sp>
              <xdr:grpSp>
                <xdr:nvGrpSpPr>
                  <xdr:cNvPr id="19" name="Group 18">
                    <a:extLst>
                      <a:ext uri="{FF2B5EF4-FFF2-40B4-BE49-F238E27FC236}">
                        <a16:creationId xmlns:a16="http://schemas.microsoft.com/office/drawing/2014/main" id="{00000000-0008-0000-0100-000013000000}"/>
                      </a:ext>
                    </a:extLst>
                  </xdr:cNvPr>
                  <xdr:cNvGrpSpPr/>
                </xdr:nvGrpSpPr>
                <xdr:grpSpPr>
                  <a:xfrm>
                    <a:off x="7791450" y="9608820"/>
                    <a:ext cx="1454150" cy="407670"/>
                    <a:chOff x="7791450" y="9608820"/>
                    <a:chExt cx="1454150" cy="407670"/>
                  </a:xfrm>
                </xdr:grpSpPr>
                <xdr:cxnSp macro="">
                  <xdr:nvCxnSpPr>
                    <xdr:cNvPr id="7" name="Straight Connector 6">
                      <a:extLst>
                        <a:ext uri="{FF2B5EF4-FFF2-40B4-BE49-F238E27FC236}">
                          <a16:creationId xmlns:a16="http://schemas.microsoft.com/office/drawing/2014/main" id="{00000000-0008-0000-0100-000007000000}"/>
                        </a:ext>
                      </a:extLst>
                    </xdr:cNvPr>
                    <xdr:cNvCxnSpPr/>
                  </xdr:nvCxnSpPr>
                  <xdr:spPr bwMode="auto">
                    <a:xfrm>
                      <a:off x="7799070" y="9608820"/>
                      <a:ext cx="1443990" cy="0"/>
                    </a:xfrm>
                    <a:prstGeom prst="line">
                      <a:avLst/>
                    </a:prstGeom>
                    <a:solidFill>
                      <a:srgbClr val="FFFFFF"/>
                    </a:solidFill>
                    <a:ln w="3175" cap="flat" cmpd="sng" algn="ctr">
                      <a:solidFill>
                        <a:srgbClr val="000000"/>
                      </a:solidFill>
                      <a:prstDash val="solid"/>
                      <a:round/>
                      <a:headEnd type="none" w="med" len="med"/>
                      <a:tailEnd type="none" w="med" len="med"/>
                    </a:ln>
                    <a:effectLst/>
                  </xdr:spPr>
                </xdr:cxnSp>
                <xdr:cxnSp macro="">
                  <xdr:nvCxnSpPr>
                    <xdr:cNvPr id="190" name="Straight Connector 189">
                      <a:extLst>
                        <a:ext uri="{FF2B5EF4-FFF2-40B4-BE49-F238E27FC236}">
                          <a16:creationId xmlns:a16="http://schemas.microsoft.com/office/drawing/2014/main" id="{00000000-0008-0000-0100-0000BE000000}"/>
                        </a:ext>
                      </a:extLst>
                    </xdr:cNvPr>
                    <xdr:cNvCxnSpPr/>
                  </xdr:nvCxnSpPr>
                  <xdr:spPr bwMode="auto">
                    <a:xfrm>
                      <a:off x="7795260" y="9743440"/>
                      <a:ext cx="1447800" cy="0"/>
                    </a:xfrm>
                    <a:prstGeom prst="line">
                      <a:avLst/>
                    </a:prstGeom>
                    <a:solidFill>
                      <a:srgbClr val="FFFFFF"/>
                    </a:solidFill>
                    <a:ln w="3175" cap="flat" cmpd="sng" algn="ctr">
                      <a:solidFill>
                        <a:srgbClr val="000000"/>
                      </a:solidFill>
                      <a:prstDash val="solid"/>
                      <a:round/>
                      <a:headEnd type="none" w="med" len="med"/>
                      <a:tailEnd type="none" w="med" len="med"/>
                    </a:ln>
                    <a:effectLst/>
                  </xdr:spPr>
                </xdr:cxnSp>
                <xdr:cxnSp macro="">
                  <xdr:nvCxnSpPr>
                    <xdr:cNvPr id="191" name="Straight Connector 190">
                      <a:extLst>
                        <a:ext uri="{FF2B5EF4-FFF2-40B4-BE49-F238E27FC236}">
                          <a16:creationId xmlns:a16="http://schemas.microsoft.com/office/drawing/2014/main" id="{00000000-0008-0000-0100-0000BF000000}"/>
                        </a:ext>
                      </a:extLst>
                    </xdr:cNvPr>
                    <xdr:cNvCxnSpPr/>
                  </xdr:nvCxnSpPr>
                  <xdr:spPr bwMode="auto">
                    <a:xfrm>
                      <a:off x="7791450" y="9871710"/>
                      <a:ext cx="1451610" cy="0"/>
                    </a:xfrm>
                    <a:prstGeom prst="line">
                      <a:avLst/>
                    </a:prstGeom>
                    <a:solidFill>
                      <a:srgbClr val="FFFFFF"/>
                    </a:solidFill>
                    <a:ln w="3175" cap="flat" cmpd="sng" algn="ctr">
                      <a:solidFill>
                        <a:srgbClr val="000000"/>
                      </a:solidFill>
                      <a:prstDash val="solid"/>
                      <a:round/>
                      <a:headEnd type="none" w="med" len="med"/>
                      <a:tailEnd type="none" w="med" len="med"/>
                    </a:ln>
                    <a:effectLst/>
                  </xdr:spPr>
                </xdr:cxnSp>
                <xdr:cxnSp macro="">
                  <xdr:nvCxnSpPr>
                    <xdr:cNvPr id="193" name="Straight Connector 192">
                      <a:extLst>
                        <a:ext uri="{FF2B5EF4-FFF2-40B4-BE49-F238E27FC236}">
                          <a16:creationId xmlns:a16="http://schemas.microsoft.com/office/drawing/2014/main" id="{00000000-0008-0000-0100-0000C1000000}"/>
                        </a:ext>
                      </a:extLst>
                    </xdr:cNvPr>
                    <xdr:cNvCxnSpPr/>
                  </xdr:nvCxnSpPr>
                  <xdr:spPr bwMode="auto">
                    <a:xfrm>
                      <a:off x="7795260" y="10012680"/>
                      <a:ext cx="1450340" cy="0"/>
                    </a:xfrm>
                    <a:prstGeom prst="line">
                      <a:avLst/>
                    </a:prstGeom>
                    <a:solidFill>
                      <a:srgbClr val="FFFFFF"/>
                    </a:solidFill>
                    <a:ln w="3175" cap="flat" cmpd="sng" algn="ctr">
                      <a:solidFill>
                        <a:srgbClr val="000000"/>
                      </a:solidFill>
                      <a:prstDash val="solid"/>
                      <a:round/>
                      <a:headEnd type="none" w="med" len="med"/>
                      <a:tailEnd type="none" w="med" len="med"/>
                    </a:ln>
                    <a:effectLst/>
                  </xdr:spPr>
                </xdr:cxnSp>
                <xdr:cxnSp macro="">
                  <xdr:nvCxnSpPr>
                    <xdr:cNvPr id="18" name="Straight Connector 17">
                      <a:extLst>
                        <a:ext uri="{FF2B5EF4-FFF2-40B4-BE49-F238E27FC236}">
                          <a16:creationId xmlns:a16="http://schemas.microsoft.com/office/drawing/2014/main" id="{00000000-0008-0000-0100-000012000000}"/>
                        </a:ext>
                      </a:extLst>
                    </xdr:cNvPr>
                    <xdr:cNvCxnSpPr/>
                  </xdr:nvCxnSpPr>
                  <xdr:spPr bwMode="auto">
                    <a:xfrm>
                      <a:off x="9243060" y="9612630"/>
                      <a:ext cx="0" cy="403860"/>
                    </a:xfrm>
                    <a:prstGeom prst="line">
                      <a:avLst/>
                    </a:prstGeom>
                    <a:solidFill>
                      <a:srgbClr val="FFFFFF"/>
                    </a:solidFill>
                    <a:ln w="3175" cap="flat" cmpd="sng" algn="ctr">
                      <a:solidFill>
                        <a:srgbClr val="000000"/>
                      </a:solidFill>
                      <a:prstDash val="solid"/>
                      <a:round/>
                      <a:headEnd type="none" w="med" len="med"/>
                      <a:tailEnd type="none" w="med" len="med"/>
                    </a:ln>
                    <a:effectLst/>
                  </xdr:spPr>
                </xdr:cxnSp>
              </xdr:grpSp>
            </xdr:grpSp>
          </xdr:grpSp>
          <xdr:cxnSp macro="">
            <xdr:nvCxnSpPr>
              <xdr:cNvPr id="30" name="Straight Arrow Connector 29">
                <a:extLst>
                  <a:ext uri="{FF2B5EF4-FFF2-40B4-BE49-F238E27FC236}">
                    <a16:creationId xmlns:a16="http://schemas.microsoft.com/office/drawing/2014/main" id="{00000000-0008-0000-0100-00001E000000}"/>
                  </a:ext>
                </a:extLst>
              </xdr:cNvPr>
              <xdr:cNvCxnSpPr>
                <a:endCxn id="3" idx="0"/>
              </xdr:cNvCxnSpPr>
            </xdr:nvCxnSpPr>
            <xdr:spPr bwMode="auto">
              <a:xfrm flipH="1">
                <a:off x="8559800" y="9740900"/>
                <a:ext cx="10160" cy="488950"/>
              </a:xfrm>
              <a:prstGeom prst="straightConnector1">
                <a:avLst/>
              </a:prstGeom>
              <a:solidFill>
                <a:srgbClr val="FFFFFF"/>
              </a:solidFill>
              <a:ln w="3175" cap="flat" cmpd="sng" algn="ctr">
                <a:solidFill>
                  <a:srgbClr val="000000"/>
                </a:solidFill>
                <a:prstDash val="solid"/>
                <a:round/>
                <a:headEnd type="triangle"/>
                <a:tailEnd type="triangle"/>
              </a:ln>
              <a:effectLst/>
            </xdr:spPr>
          </xdr:cxnSp>
        </xdr:grpSp>
      </xdr:grpSp>
      <xdr:cxnSp macro="">
        <xdr:nvCxnSpPr>
          <xdr:cNvPr id="261" name="Straight Arrow Connector 260">
            <a:extLst>
              <a:ext uri="{FF2B5EF4-FFF2-40B4-BE49-F238E27FC236}">
                <a16:creationId xmlns:a16="http://schemas.microsoft.com/office/drawing/2014/main" id="{00000000-0008-0000-0100-000005010000}"/>
              </a:ext>
            </a:extLst>
          </xdr:cNvPr>
          <xdr:cNvCxnSpPr/>
        </xdr:nvCxnSpPr>
        <xdr:spPr bwMode="auto">
          <a:xfrm flipH="1">
            <a:off x="8168640" y="9547860"/>
            <a:ext cx="12700" cy="609445"/>
          </a:xfrm>
          <a:prstGeom prst="straightConnector1">
            <a:avLst/>
          </a:prstGeom>
          <a:solidFill>
            <a:srgbClr val="FFFFFF"/>
          </a:solidFill>
          <a:ln w="3175" cap="flat" cmpd="sng" algn="ctr">
            <a:solidFill>
              <a:srgbClr val="000000"/>
            </a:solidFill>
            <a:prstDash val="solid"/>
            <a:round/>
            <a:headEnd type="triangle"/>
            <a:tailEnd type="triangle"/>
          </a:ln>
          <a:effectLst/>
        </xdr:spPr>
      </xdr:cxnSp>
    </xdr:grpSp>
    <xdr:clientData/>
  </xdr:twoCellAnchor>
  <mc:AlternateContent xmlns:mc="http://schemas.openxmlformats.org/markup-compatibility/2006">
    <mc:Choice xmlns:a14="http://schemas.microsoft.com/office/drawing/2010/main" Requires="a14">
      <xdr:twoCellAnchor editAs="oneCell">
        <xdr:from>
          <xdr:col>2</xdr:col>
          <xdr:colOff>295275</xdr:colOff>
          <xdr:row>75</xdr:row>
          <xdr:rowOff>104775</xdr:rowOff>
        </xdr:from>
        <xdr:to>
          <xdr:col>2</xdr:col>
          <xdr:colOff>2228850</xdr:colOff>
          <xdr:row>75</xdr:row>
          <xdr:rowOff>438150</xdr:rowOff>
        </xdr:to>
        <xdr:sp macro="" textlink="">
          <xdr:nvSpPr>
            <xdr:cNvPr id="1027" name="Object 3" hidden="1">
              <a:extLst>
                <a:ext uri="{63B3BB69-23CF-44E3-9099-C40C66FF867C}">
                  <a14:compatExt spid="_x0000_s1027"/>
                </a:ext>
                <a:ext uri="{FF2B5EF4-FFF2-40B4-BE49-F238E27FC236}">
                  <a16:creationId xmlns:a16="http://schemas.microsoft.com/office/drawing/2014/main" id="{00000000-0008-0000-0100-0000030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866775</xdr:colOff>
          <xdr:row>74</xdr:row>
          <xdr:rowOff>47625</xdr:rowOff>
        </xdr:from>
        <xdr:to>
          <xdr:col>2</xdr:col>
          <xdr:colOff>2228850</xdr:colOff>
          <xdr:row>74</xdr:row>
          <xdr:rowOff>276225</xdr:rowOff>
        </xdr:to>
        <xdr:sp macro="" textlink="">
          <xdr:nvSpPr>
            <xdr:cNvPr id="1028" name="Object 4" hidden="1">
              <a:extLst>
                <a:ext uri="{63B3BB69-23CF-44E3-9099-C40C66FF867C}">
                  <a14:compatExt spid="_x0000_s1028"/>
                </a:ext>
                <a:ext uri="{FF2B5EF4-FFF2-40B4-BE49-F238E27FC236}">
                  <a16:creationId xmlns:a16="http://schemas.microsoft.com/office/drawing/2014/main" id="{00000000-0008-0000-0100-0000040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796075</xdr:colOff>
      <xdr:row>113</xdr:row>
      <xdr:rowOff>146925</xdr:rowOff>
    </xdr:from>
    <xdr:to>
      <xdr:col>1</xdr:col>
      <xdr:colOff>582715</xdr:colOff>
      <xdr:row>115</xdr:row>
      <xdr:rowOff>55485</xdr:rowOff>
    </xdr:to>
    <xdr:sp macro="" textlink="">
      <xdr:nvSpPr>
        <xdr:cNvPr id="14" name="Flowchart: Data 13">
          <a:extLst>
            <a:ext uri="{FF2B5EF4-FFF2-40B4-BE49-F238E27FC236}">
              <a16:creationId xmlns:a16="http://schemas.microsoft.com/office/drawing/2014/main" id="{00000000-0008-0000-0200-00000E000000}"/>
            </a:ext>
          </a:extLst>
        </xdr:cNvPr>
        <xdr:cNvSpPr/>
      </xdr:nvSpPr>
      <xdr:spPr bwMode="auto">
        <a:xfrm rot="19739516" flipH="1">
          <a:off x="796075" y="18572085"/>
          <a:ext cx="731520" cy="274320"/>
        </a:xfrm>
        <a:prstGeom prst="flowChartInputOutput">
          <a:avLst/>
        </a:prstGeom>
        <a:gradFill>
          <a:gsLst>
            <a:gs pos="0">
              <a:schemeClr val="accent1">
                <a:tint val="66000"/>
                <a:satMod val="160000"/>
              </a:schemeClr>
            </a:gs>
            <a:gs pos="50000">
              <a:schemeClr val="accent1">
                <a:tint val="44500"/>
                <a:satMod val="160000"/>
              </a:schemeClr>
            </a:gs>
            <a:gs pos="100000">
              <a:schemeClr val="accent1">
                <a:tint val="23500"/>
                <a:satMod val="160000"/>
              </a:schemeClr>
            </a:gs>
          </a:gsLst>
          <a:lin ang="3000000" scaled="0"/>
        </a:gradFill>
        <a:ln w="317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US" sz="1100"/>
        </a:p>
      </xdr:txBody>
    </xdr:sp>
    <xdr:clientData/>
  </xdr:twoCellAnchor>
  <xdr:twoCellAnchor>
    <xdr:from>
      <xdr:col>0</xdr:col>
      <xdr:colOff>682152</xdr:colOff>
      <xdr:row>115</xdr:row>
      <xdr:rowOff>172217</xdr:rowOff>
    </xdr:from>
    <xdr:to>
      <xdr:col>1</xdr:col>
      <xdr:colOff>1017432</xdr:colOff>
      <xdr:row>118</xdr:row>
      <xdr:rowOff>172217</xdr:rowOff>
    </xdr:to>
    <xdr:sp macro="" textlink="">
      <xdr:nvSpPr>
        <xdr:cNvPr id="15" name="Flowchart: Data 14">
          <a:extLst>
            <a:ext uri="{FF2B5EF4-FFF2-40B4-BE49-F238E27FC236}">
              <a16:creationId xmlns:a16="http://schemas.microsoft.com/office/drawing/2014/main" id="{00000000-0008-0000-0200-00000F000000}"/>
            </a:ext>
          </a:extLst>
        </xdr:cNvPr>
        <xdr:cNvSpPr/>
      </xdr:nvSpPr>
      <xdr:spPr bwMode="auto">
        <a:xfrm rot="19739516" flipH="1">
          <a:off x="682152" y="18963137"/>
          <a:ext cx="1280160" cy="548640"/>
        </a:xfrm>
        <a:prstGeom prst="flowChartInputOutput">
          <a:avLst/>
        </a:prstGeom>
        <a:gradFill flip="none" rotWithShape="1">
          <a:gsLst>
            <a:gs pos="0">
              <a:schemeClr val="accent1">
                <a:tint val="66000"/>
                <a:satMod val="160000"/>
              </a:schemeClr>
            </a:gs>
            <a:gs pos="50000">
              <a:schemeClr val="accent1">
                <a:tint val="44500"/>
                <a:satMod val="160000"/>
              </a:schemeClr>
            </a:gs>
            <a:gs pos="100000">
              <a:schemeClr val="accent1">
                <a:tint val="23500"/>
                <a:satMod val="160000"/>
              </a:schemeClr>
            </a:gs>
          </a:gsLst>
          <a:lin ang="2700000" scaled="1"/>
          <a:tileRect/>
        </a:gradFill>
        <a:ln w="317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US" sz="1100"/>
        </a:p>
      </xdr:txBody>
    </xdr:sp>
    <xdr:clientData/>
  </xdr:twoCellAnchor>
  <xdr:twoCellAnchor>
    <xdr:from>
      <xdr:col>0</xdr:col>
      <xdr:colOff>773974</xdr:colOff>
      <xdr:row>113</xdr:row>
      <xdr:rowOff>69668</xdr:rowOff>
    </xdr:from>
    <xdr:to>
      <xdr:col>1</xdr:col>
      <xdr:colOff>166279</xdr:colOff>
      <xdr:row>114</xdr:row>
      <xdr:rowOff>98243</xdr:rowOff>
    </xdr:to>
    <xdr:cxnSp macro="">
      <xdr:nvCxnSpPr>
        <xdr:cNvPr id="57" name="Straight Arrow Connector 56">
          <a:extLst>
            <a:ext uri="{FF2B5EF4-FFF2-40B4-BE49-F238E27FC236}">
              <a16:creationId xmlns:a16="http://schemas.microsoft.com/office/drawing/2014/main" id="{00000000-0008-0000-0200-000039000000}"/>
            </a:ext>
          </a:extLst>
        </xdr:cNvPr>
        <xdr:cNvCxnSpPr/>
      </xdr:nvCxnSpPr>
      <xdr:spPr bwMode="auto">
        <a:xfrm>
          <a:off x="773974" y="18494828"/>
          <a:ext cx="337185" cy="211455"/>
        </a:xfrm>
        <a:prstGeom prst="straightConnector1">
          <a:avLst/>
        </a:prstGeom>
        <a:solidFill>
          <a:srgbClr val="FFFFFF"/>
        </a:solidFill>
        <a:ln w="3175" cap="flat" cmpd="sng" algn="ctr">
          <a:solidFill>
            <a:srgbClr val="000000"/>
          </a:solidFill>
          <a:prstDash val="solid"/>
          <a:round/>
          <a:headEnd type="stealth" w="med" len="med"/>
          <a:tailEnd type="stealth"/>
        </a:ln>
        <a:effectLst/>
      </xdr:spPr>
    </xdr:cxnSp>
    <xdr:clientData/>
  </xdr:twoCellAnchor>
  <xdr:twoCellAnchor>
    <xdr:from>
      <xdr:col>0</xdr:col>
      <xdr:colOff>628650</xdr:colOff>
      <xdr:row>114</xdr:row>
      <xdr:rowOff>152400</xdr:rowOff>
    </xdr:from>
    <xdr:to>
      <xdr:col>0</xdr:col>
      <xdr:colOff>776288</xdr:colOff>
      <xdr:row>117</xdr:row>
      <xdr:rowOff>157162</xdr:rowOff>
    </xdr:to>
    <xdr:cxnSp macro="">
      <xdr:nvCxnSpPr>
        <xdr:cNvPr id="127" name="Straight Connector 126">
          <a:extLst>
            <a:ext uri="{FF2B5EF4-FFF2-40B4-BE49-F238E27FC236}">
              <a16:creationId xmlns:a16="http://schemas.microsoft.com/office/drawing/2014/main" id="{00000000-0008-0000-0200-00007F000000}"/>
            </a:ext>
          </a:extLst>
        </xdr:cNvPr>
        <xdr:cNvCxnSpPr/>
      </xdr:nvCxnSpPr>
      <xdr:spPr bwMode="auto">
        <a:xfrm flipH="1">
          <a:off x="628650" y="24988838"/>
          <a:ext cx="147638" cy="547687"/>
        </a:xfrm>
        <a:prstGeom prst="line">
          <a:avLst/>
        </a:prstGeom>
        <a:solidFill>
          <a:srgbClr val="FFFFFF"/>
        </a:solidFill>
        <a:ln w="3175" cap="flat" cmpd="sng" algn="ctr">
          <a:solidFill>
            <a:srgbClr val="000000"/>
          </a:solidFill>
          <a:prstDash val="solid"/>
          <a:round/>
          <a:headEnd type="none" w="med" len="med"/>
          <a:tailEnd type="none" w="med" len="med"/>
        </a:ln>
        <a:effectLst/>
      </xdr:spPr>
    </xdr:cxnSp>
    <xdr:clientData/>
  </xdr:twoCellAnchor>
  <xdr:twoCellAnchor>
    <xdr:from>
      <xdr:col>1</xdr:col>
      <xdr:colOff>147638</xdr:colOff>
      <xdr:row>115</xdr:row>
      <xdr:rowOff>142878</xdr:rowOff>
    </xdr:from>
    <xdr:to>
      <xdr:col>1</xdr:col>
      <xdr:colOff>238125</xdr:colOff>
      <xdr:row>119</xdr:row>
      <xdr:rowOff>142875</xdr:rowOff>
    </xdr:to>
    <xdr:cxnSp macro="">
      <xdr:nvCxnSpPr>
        <xdr:cNvPr id="129" name="Straight Connector 128">
          <a:extLst>
            <a:ext uri="{FF2B5EF4-FFF2-40B4-BE49-F238E27FC236}">
              <a16:creationId xmlns:a16="http://schemas.microsoft.com/office/drawing/2014/main" id="{00000000-0008-0000-0200-000081000000}"/>
            </a:ext>
          </a:extLst>
        </xdr:cNvPr>
        <xdr:cNvCxnSpPr/>
      </xdr:nvCxnSpPr>
      <xdr:spPr bwMode="auto">
        <a:xfrm>
          <a:off x="1023938" y="25160291"/>
          <a:ext cx="90487" cy="723897"/>
        </a:xfrm>
        <a:prstGeom prst="line">
          <a:avLst/>
        </a:prstGeom>
        <a:solidFill>
          <a:srgbClr val="FFFFFF"/>
        </a:solidFill>
        <a:ln w="3175" cap="flat" cmpd="sng" algn="ctr">
          <a:solidFill>
            <a:srgbClr val="000000"/>
          </a:solidFill>
          <a:prstDash val="solid"/>
          <a:round/>
          <a:headEnd type="none" w="med" len="med"/>
          <a:tailEnd type="none" w="med" len="med"/>
        </a:ln>
        <a:effectLst/>
      </xdr:spPr>
    </xdr:cxnSp>
    <xdr:clientData/>
  </xdr:twoCellAnchor>
  <xdr:twoCellAnchor>
    <xdr:from>
      <xdr:col>1</xdr:col>
      <xdr:colOff>342903</xdr:colOff>
      <xdr:row>113</xdr:row>
      <xdr:rowOff>45723</xdr:rowOff>
    </xdr:from>
    <xdr:to>
      <xdr:col>1</xdr:col>
      <xdr:colOff>571501</xdr:colOff>
      <xdr:row>114</xdr:row>
      <xdr:rowOff>179069</xdr:rowOff>
    </xdr:to>
    <xdr:cxnSp macro="">
      <xdr:nvCxnSpPr>
        <xdr:cNvPr id="131" name="Straight Connector 130">
          <a:extLst>
            <a:ext uri="{FF2B5EF4-FFF2-40B4-BE49-F238E27FC236}">
              <a16:creationId xmlns:a16="http://schemas.microsoft.com/office/drawing/2014/main" id="{00000000-0008-0000-0200-000083000000}"/>
            </a:ext>
          </a:extLst>
        </xdr:cNvPr>
        <xdr:cNvCxnSpPr/>
      </xdr:nvCxnSpPr>
      <xdr:spPr bwMode="auto">
        <a:xfrm rot="16200000" flipH="1">
          <a:off x="1243969" y="18514697"/>
          <a:ext cx="316226" cy="228598"/>
        </a:xfrm>
        <a:prstGeom prst="line">
          <a:avLst/>
        </a:prstGeom>
        <a:solidFill>
          <a:srgbClr val="FFFFFF"/>
        </a:solidFill>
        <a:ln w="3175" cap="flat" cmpd="sng" algn="ctr">
          <a:solidFill>
            <a:srgbClr val="000000"/>
          </a:solidFill>
          <a:prstDash val="dash"/>
          <a:round/>
          <a:headEnd type="none" w="med" len="med"/>
          <a:tailEnd type="none" w="med" len="med"/>
        </a:ln>
        <a:effectLst/>
      </xdr:spPr>
    </xdr:cxnSp>
    <xdr:clientData/>
  </xdr:twoCellAnchor>
  <xdr:twoCellAnchor>
    <xdr:from>
      <xdr:col>1</xdr:col>
      <xdr:colOff>600075</xdr:colOff>
      <xdr:row>114</xdr:row>
      <xdr:rowOff>42862</xdr:rowOff>
    </xdr:from>
    <xdr:to>
      <xdr:col>1</xdr:col>
      <xdr:colOff>1057275</xdr:colOff>
      <xdr:row>117</xdr:row>
      <xdr:rowOff>0</xdr:rowOff>
    </xdr:to>
    <xdr:cxnSp macro="">
      <xdr:nvCxnSpPr>
        <xdr:cNvPr id="133" name="Straight Connector 132">
          <a:extLst>
            <a:ext uri="{FF2B5EF4-FFF2-40B4-BE49-F238E27FC236}">
              <a16:creationId xmlns:a16="http://schemas.microsoft.com/office/drawing/2014/main" id="{00000000-0008-0000-0200-000085000000}"/>
            </a:ext>
          </a:extLst>
        </xdr:cNvPr>
        <xdr:cNvCxnSpPr/>
      </xdr:nvCxnSpPr>
      <xdr:spPr bwMode="auto">
        <a:xfrm>
          <a:off x="1476375" y="24879300"/>
          <a:ext cx="457200" cy="500063"/>
        </a:xfrm>
        <a:prstGeom prst="line">
          <a:avLst/>
        </a:prstGeom>
        <a:solidFill>
          <a:srgbClr val="FFFFFF"/>
        </a:solidFill>
        <a:ln w="3175" cap="flat" cmpd="sng" algn="ctr">
          <a:solidFill>
            <a:srgbClr val="000000"/>
          </a:solidFill>
          <a:prstDash val="solid"/>
          <a:round/>
          <a:headEnd type="none" w="med" len="med"/>
          <a:tailEnd type="none" w="med" len="med"/>
        </a:ln>
        <a:effectLst/>
      </xdr:spPr>
    </xdr:cxnSp>
    <xdr:clientData/>
  </xdr:twoCellAnchor>
  <xdr:twoCellAnchor>
    <xdr:from>
      <xdr:col>0</xdr:col>
      <xdr:colOff>464256</xdr:colOff>
      <xdr:row>113</xdr:row>
      <xdr:rowOff>166775</xdr:rowOff>
    </xdr:from>
    <xdr:to>
      <xdr:col>1</xdr:col>
      <xdr:colOff>441139</xdr:colOff>
      <xdr:row>115</xdr:row>
      <xdr:rowOff>3471</xdr:rowOff>
    </xdr:to>
    <xdr:sp macro="" textlink="">
      <xdr:nvSpPr>
        <xdr:cNvPr id="134" name="TextBox 133">
          <a:extLst>
            <a:ext uri="{FF2B5EF4-FFF2-40B4-BE49-F238E27FC236}">
              <a16:creationId xmlns:a16="http://schemas.microsoft.com/office/drawing/2014/main" id="{00000000-0008-0000-0200-000086000000}"/>
            </a:ext>
          </a:extLst>
        </xdr:cNvPr>
        <xdr:cNvSpPr txBox="1"/>
      </xdr:nvSpPr>
      <xdr:spPr>
        <a:xfrm rot="1882380">
          <a:off x="464256" y="19529195"/>
          <a:ext cx="921763" cy="202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700" spc="0" baseline="0"/>
            <a:t>Direction of Travel</a:t>
          </a:r>
        </a:p>
      </xdr:txBody>
    </xdr:sp>
    <xdr:clientData/>
  </xdr:twoCellAnchor>
  <xdr:twoCellAnchor>
    <xdr:from>
      <xdr:col>0</xdr:col>
      <xdr:colOff>415290</xdr:colOff>
      <xdr:row>113</xdr:row>
      <xdr:rowOff>103916</xdr:rowOff>
    </xdr:from>
    <xdr:to>
      <xdr:col>0</xdr:col>
      <xdr:colOff>754380</xdr:colOff>
      <xdr:row>114</xdr:row>
      <xdr:rowOff>156211</xdr:rowOff>
    </xdr:to>
    <xdr:cxnSp macro="">
      <xdr:nvCxnSpPr>
        <xdr:cNvPr id="140" name="Straight Connector 139">
          <a:extLst>
            <a:ext uri="{FF2B5EF4-FFF2-40B4-BE49-F238E27FC236}">
              <a16:creationId xmlns:a16="http://schemas.microsoft.com/office/drawing/2014/main" id="{00000000-0008-0000-0200-00008C000000}"/>
            </a:ext>
          </a:extLst>
        </xdr:cNvPr>
        <xdr:cNvCxnSpPr/>
      </xdr:nvCxnSpPr>
      <xdr:spPr bwMode="auto">
        <a:xfrm rot="10800000">
          <a:off x="415290" y="18529076"/>
          <a:ext cx="339090" cy="235175"/>
        </a:xfrm>
        <a:prstGeom prst="line">
          <a:avLst/>
        </a:prstGeom>
        <a:solidFill>
          <a:srgbClr val="FFFFFF"/>
        </a:solidFill>
        <a:ln w="3175" cap="flat" cmpd="sng" algn="ctr">
          <a:solidFill>
            <a:srgbClr val="000000"/>
          </a:solidFill>
          <a:prstDash val="solid"/>
          <a:round/>
          <a:headEnd type="none" w="med" len="med"/>
          <a:tailEnd type="none" w="med" len="med"/>
        </a:ln>
        <a:effectLst/>
      </xdr:spPr>
    </xdr:cxnSp>
    <xdr:clientData/>
  </xdr:twoCellAnchor>
  <xdr:twoCellAnchor>
    <xdr:from>
      <xdr:col>0</xdr:col>
      <xdr:colOff>902970</xdr:colOff>
      <xdr:row>111</xdr:row>
      <xdr:rowOff>158116</xdr:rowOff>
    </xdr:from>
    <xdr:to>
      <xdr:col>1</xdr:col>
      <xdr:colOff>312420</xdr:colOff>
      <xdr:row>113</xdr:row>
      <xdr:rowOff>38101</xdr:rowOff>
    </xdr:to>
    <xdr:cxnSp macro="">
      <xdr:nvCxnSpPr>
        <xdr:cNvPr id="146" name="Straight Connector 145">
          <a:extLst>
            <a:ext uri="{FF2B5EF4-FFF2-40B4-BE49-F238E27FC236}">
              <a16:creationId xmlns:a16="http://schemas.microsoft.com/office/drawing/2014/main" id="{00000000-0008-0000-0200-000092000000}"/>
            </a:ext>
          </a:extLst>
        </xdr:cNvPr>
        <xdr:cNvCxnSpPr/>
      </xdr:nvCxnSpPr>
      <xdr:spPr bwMode="auto">
        <a:xfrm rot="10800000">
          <a:off x="902970" y="18217516"/>
          <a:ext cx="354330" cy="245745"/>
        </a:xfrm>
        <a:prstGeom prst="line">
          <a:avLst/>
        </a:prstGeom>
        <a:solidFill>
          <a:srgbClr val="FFFFFF"/>
        </a:solidFill>
        <a:ln w="3175" cap="flat" cmpd="sng" algn="ctr">
          <a:solidFill>
            <a:srgbClr val="000000"/>
          </a:solidFill>
          <a:prstDash val="solid"/>
          <a:round/>
          <a:headEnd type="none" w="med" len="med"/>
          <a:tailEnd type="none" w="med" len="med"/>
        </a:ln>
        <a:effectLst/>
      </xdr:spPr>
    </xdr:cxnSp>
    <xdr:clientData/>
  </xdr:twoCellAnchor>
  <xdr:twoCellAnchor>
    <xdr:from>
      <xdr:col>0</xdr:col>
      <xdr:colOff>461010</xdr:colOff>
      <xdr:row>112</xdr:row>
      <xdr:rowOff>11430</xdr:rowOff>
    </xdr:from>
    <xdr:to>
      <xdr:col>1</xdr:col>
      <xdr:colOff>3810</xdr:colOff>
      <xdr:row>113</xdr:row>
      <xdr:rowOff>133350</xdr:rowOff>
    </xdr:to>
    <xdr:cxnSp macro="">
      <xdr:nvCxnSpPr>
        <xdr:cNvPr id="152" name="Straight Arrow Connector 151">
          <a:extLst>
            <a:ext uri="{FF2B5EF4-FFF2-40B4-BE49-F238E27FC236}">
              <a16:creationId xmlns:a16="http://schemas.microsoft.com/office/drawing/2014/main" id="{00000000-0008-0000-0200-000098000000}"/>
            </a:ext>
          </a:extLst>
        </xdr:cNvPr>
        <xdr:cNvCxnSpPr/>
      </xdr:nvCxnSpPr>
      <xdr:spPr bwMode="auto">
        <a:xfrm flipV="1">
          <a:off x="461010" y="18253710"/>
          <a:ext cx="487680" cy="304800"/>
        </a:xfrm>
        <a:prstGeom prst="straightConnector1">
          <a:avLst/>
        </a:prstGeom>
        <a:solidFill>
          <a:srgbClr val="FFFFFF"/>
        </a:solidFill>
        <a:ln w="3175" cap="flat" cmpd="sng" algn="ctr">
          <a:solidFill>
            <a:srgbClr val="000000"/>
          </a:solidFill>
          <a:prstDash val="solid"/>
          <a:round/>
          <a:headEnd type="stealth" w="sm" len="sm"/>
          <a:tailEnd type="stealth" w="sm" len="sm"/>
        </a:ln>
        <a:effectLst/>
      </xdr:spPr>
    </xdr:cxnSp>
    <xdr:clientData/>
  </xdr:twoCellAnchor>
  <xdr:twoCellAnchor>
    <xdr:from>
      <xdr:col>0</xdr:col>
      <xdr:colOff>457198</xdr:colOff>
      <xdr:row>111</xdr:row>
      <xdr:rowOff>152400</xdr:rowOff>
    </xdr:from>
    <xdr:to>
      <xdr:col>0</xdr:col>
      <xdr:colOff>868678</xdr:colOff>
      <xdr:row>112</xdr:row>
      <xdr:rowOff>156210</xdr:rowOff>
    </xdr:to>
    <xdr:sp macro="" textlink="">
      <xdr:nvSpPr>
        <xdr:cNvPr id="153" name="TextBox 152">
          <a:extLst>
            <a:ext uri="{FF2B5EF4-FFF2-40B4-BE49-F238E27FC236}">
              <a16:creationId xmlns:a16="http://schemas.microsoft.com/office/drawing/2014/main" id="{00000000-0008-0000-0200-000099000000}"/>
            </a:ext>
          </a:extLst>
        </xdr:cNvPr>
        <xdr:cNvSpPr txBox="1"/>
      </xdr:nvSpPr>
      <xdr:spPr>
        <a:xfrm rot="19712504">
          <a:off x="457198" y="18211800"/>
          <a:ext cx="411480" cy="1866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700" baseline="0"/>
            <a:t>W</a:t>
          </a:r>
          <a:r>
            <a:rPr lang="en-US" sz="700" baseline="-25000"/>
            <a:t>T</a:t>
          </a:r>
        </a:p>
      </xdr:txBody>
    </xdr:sp>
    <xdr:clientData/>
  </xdr:twoCellAnchor>
  <xdr:twoCellAnchor>
    <xdr:from>
      <xdr:col>1</xdr:col>
      <xdr:colOff>213360</xdr:colOff>
      <xdr:row>119</xdr:row>
      <xdr:rowOff>172498</xdr:rowOff>
    </xdr:from>
    <xdr:to>
      <xdr:col>1</xdr:col>
      <xdr:colOff>381000</xdr:colOff>
      <xdr:row>120</xdr:row>
      <xdr:rowOff>106681</xdr:rowOff>
    </xdr:to>
    <xdr:cxnSp macro="">
      <xdr:nvCxnSpPr>
        <xdr:cNvPr id="154" name="Straight Connector 153">
          <a:extLst>
            <a:ext uri="{FF2B5EF4-FFF2-40B4-BE49-F238E27FC236}">
              <a16:creationId xmlns:a16="http://schemas.microsoft.com/office/drawing/2014/main" id="{00000000-0008-0000-0200-00009A000000}"/>
            </a:ext>
          </a:extLst>
        </xdr:cNvPr>
        <xdr:cNvCxnSpPr/>
      </xdr:nvCxnSpPr>
      <xdr:spPr bwMode="auto">
        <a:xfrm rot="10800000">
          <a:off x="1158240" y="19694938"/>
          <a:ext cx="167640" cy="117063"/>
        </a:xfrm>
        <a:prstGeom prst="line">
          <a:avLst/>
        </a:prstGeom>
        <a:solidFill>
          <a:srgbClr val="FFFFFF"/>
        </a:solidFill>
        <a:ln w="3175" cap="flat" cmpd="sng" algn="ctr">
          <a:solidFill>
            <a:srgbClr val="000000"/>
          </a:solidFill>
          <a:prstDash val="solid"/>
          <a:round/>
          <a:headEnd type="none" w="med" len="med"/>
          <a:tailEnd type="none" w="med" len="med"/>
        </a:ln>
        <a:effectLst/>
      </xdr:spPr>
    </xdr:cxnSp>
    <xdr:clientData/>
  </xdr:twoCellAnchor>
  <xdr:twoCellAnchor>
    <xdr:from>
      <xdr:col>1</xdr:col>
      <xdr:colOff>1097280</xdr:colOff>
      <xdr:row>116</xdr:row>
      <xdr:rowOff>177169</xdr:rowOff>
    </xdr:from>
    <xdr:to>
      <xdr:col>1</xdr:col>
      <xdr:colOff>1257300</xdr:colOff>
      <xdr:row>117</xdr:row>
      <xdr:rowOff>110491</xdr:rowOff>
    </xdr:to>
    <xdr:cxnSp macro="">
      <xdr:nvCxnSpPr>
        <xdr:cNvPr id="155" name="Straight Connector 154">
          <a:extLst>
            <a:ext uri="{FF2B5EF4-FFF2-40B4-BE49-F238E27FC236}">
              <a16:creationId xmlns:a16="http://schemas.microsoft.com/office/drawing/2014/main" id="{00000000-0008-0000-0200-00009B000000}"/>
            </a:ext>
          </a:extLst>
        </xdr:cNvPr>
        <xdr:cNvCxnSpPr/>
      </xdr:nvCxnSpPr>
      <xdr:spPr bwMode="auto">
        <a:xfrm rot="10800000">
          <a:off x="2042160" y="19150969"/>
          <a:ext cx="160020" cy="116202"/>
        </a:xfrm>
        <a:prstGeom prst="line">
          <a:avLst/>
        </a:prstGeom>
        <a:solidFill>
          <a:srgbClr val="FFFFFF"/>
        </a:solidFill>
        <a:ln w="3175" cap="flat" cmpd="sng" algn="ctr">
          <a:solidFill>
            <a:srgbClr val="000000"/>
          </a:solidFill>
          <a:prstDash val="solid"/>
          <a:round/>
          <a:headEnd type="none" w="med" len="med"/>
          <a:tailEnd type="none" w="med" len="med"/>
        </a:ln>
        <a:effectLst/>
      </xdr:spPr>
    </xdr:cxnSp>
    <xdr:clientData/>
  </xdr:twoCellAnchor>
  <xdr:twoCellAnchor>
    <xdr:from>
      <xdr:col>1</xdr:col>
      <xdr:colOff>297180</xdr:colOff>
      <xdr:row>117</xdr:row>
      <xdr:rowOff>49530</xdr:rowOff>
    </xdr:from>
    <xdr:to>
      <xdr:col>1</xdr:col>
      <xdr:colOff>1169670</xdr:colOff>
      <xdr:row>120</xdr:row>
      <xdr:rowOff>45720</xdr:rowOff>
    </xdr:to>
    <xdr:cxnSp macro="">
      <xdr:nvCxnSpPr>
        <xdr:cNvPr id="156" name="Straight Arrow Connector 155">
          <a:extLst>
            <a:ext uri="{FF2B5EF4-FFF2-40B4-BE49-F238E27FC236}">
              <a16:creationId xmlns:a16="http://schemas.microsoft.com/office/drawing/2014/main" id="{00000000-0008-0000-0200-00009C000000}"/>
            </a:ext>
          </a:extLst>
        </xdr:cNvPr>
        <xdr:cNvCxnSpPr/>
      </xdr:nvCxnSpPr>
      <xdr:spPr bwMode="auto">
        <a:xfrm flipV="1">
          <a:off x="1242060" y="19206210"/>
          <a:ext cx="872490" cy="544830"/>
        </a:xfrm>
        <a:prstGeom prst="straightConnector1">
          <a:avLst/>
        </a:prstGeom>
        <a:solidFill>
          <a:srgbClr val="FFFFFF"/>
        </a:solidFill>
        <a:ln w="3175" cap="flat" cmpd="sng" algn="ctr">
          <a:solidFill>
            <a:srgbClr val="000000"/>
          </a:solidFill>
          <a:prstDash val="solid"/>
          <a:round/>
          <a:headEnd type="stealth" w="sm" len="sm"/>
          <a:tailEnd type="stealth" w="sm" len="sm"/>
        </a:ln>
        <a:effectLst/>
      </xdr:spPr>
    </xdr:cxnSp>
    <xdr:clientData/>
  </xdr:twoCellAnchor>
  <xdr:twoCellAnchor>
    <xdr:from>
      <xdr:col>1</xdr:col>
      <xdr:colOff>471774</xdr:colOff>
      <xdr:row>118</xdr:row>
      <xdr:rowOff>68490</xdr:rowOff>
    </xdr:from>
    <xdr:to>
      <xdr:col>1</xdr:col>
      <xdr:colOff>1307033</xdr:colOff>
      <xdr:row>119</xdr:row>
      <xdr:rowOff>72300</xdr:rowOff>
    </xdr:to>
    <xdr:sp macro="" textlink="">
      <xdr:nvSpPr>
        <xdr:cNvPr id="157" name="TextBox 156">
          <a:extLst>
            <a:ext uri="{FF2B5EF4-FFF2-40B4-BE49-F238E27FC236}">
              <a16:creationId xmlns:a16="http://schemas.microsoft.com/office/drawing/2014/main" id="{00000000-0008-0000-0200-00009D000000}"/>
            </a:ext>
          </a:extLst>
        </xdr:cNvPr>
        <xdr:cNvSpPr txBox="1"/>
      </xdr:nvSpPr>
      <xdr:spPr>
        <a:xfrm rot="19680661">
          <a:off x="1416654" y="19408050"/>
          <a:ext cx="835259" cy="1866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700"/>
            <a:t>W</a:t>
          </a:r>
          <a:r>
            <a:rPr lang="en-US" sz="700" baseline="-25000"/>
            <a:t>D</a:t>
          </a:r>
          <a:r>
            <a:rPr lang="en-US" sz="700" baseline="0"/>
            <a:t>= W</a:t>
          </a:r>
          <a:r>
            <a:rPr lang="en-US" sz="700" baseline="-25000"/>
            <a:t>T</a:t>
          </a:r>
          <a:r>
            <a:rPr lang="en-US" sz="700" baseline="0"/>
            <a:t>+ </a:t>
          </a:r>
          <a:r>
            <a:rPr lang="el-GR" sz="700" baseline="0">
              <a:latin typeface="Calibri"/>
            </a:rPr>
            <a:t>φ</a:t>
          </a:r>
          <a:r>
            <a:rPr lang="en-US" sz="700" baseline="-25000">
              <a:latin typeface="Calibri"/>
            </a:rPr>
            <a:t>E</a:t>
          </a:r>
          <a:r>
            <a:rPr lang="en-US" sz="700" baseline="0"/>
            <a:t>H</a:t>
          </a:r>
        </a:p>
      </xdr:txBody>
    </xdr:sp>
    <xdr:clientData/>
  </xdr:twoCellAnchor>
  <xdr:twoCellAnchor>
    <xdr:from>
      <xdr:col>1</xdr:col>
      <xdr:colOff>351064</xdr:colOff>
      <xdr:row>112</xdr:row>
      <xdr:rowOff>114844</xdr:rowOff>
    </xdr:from>
    <xdr:to>
      <xdr:col>1</xdr:col>
      <xdr:colOff>535469</xdr:colOff>
      <xdr:row>113</xdr:row>
      <xdr:rowOff>38644</xdr:rowOff>
    </xdr:to>
    <xdr:cxnSp macro="">
      <xdr:nvCxnSpPr>
        <xdr:cNvPr id="19" name="Straight Connector 18">
          <a:extLst>
            <a:ext uri="{FF2B5EF4-FFF2-40B4-BE49-F238E27FC236}">
              <a16:creationId xmlns:a16="http://schemas.microsoft.com/office/drawing/2014/main" id="{00000000-0008-0000-0200-000013000000}"/>
            </a:ext>
          </a:extLst>
        </xdr:cNvPr>
        <xdr:cNvCxnSpPr/>
      </xdr:nvCxnSpPr>
      <xdr:spPr bwMode="auto">
        <a:xfrm flipV="1">
          <a:off x="1295944" y="18357124"/>
          <a:ext cx="184405" cy="106680"/>
        </a:xfrm>
        <a:prstGeom prst="line">
          <a:avLst/>
        </a:prstGeom>
        <a:solidFill>
          <a:srgbClr val="FFFFFF"/>
        </a:solidFill>
        <a:ln w="3175" cap="flat" cmpd="sng" algn="ctr">
          <a:solidFill>
            <a:srgbClr val="000000"/>
          </a:solidFill>
          <a:prstDash val="solid"/>
          <a:round/>
          <a:headEnd type="none" w="med" len="med"/>
          <a:tailEnd type="none" w="med" len="med"/>
        </a:ln>
        <a:effectLst/>
      </xdr:spPr>
    </xdr:cxnSp>
    <xdr:clientData/>
  </xdr:twoCellAnchor>
  <xdr:twoCellAnchor>
    <xdr:from>
      <xdr:col>1</xdr:col>
      <xdr:colOff>625384</xdr:colOff>
      <xdr:row>113</xdr:row>
      <xdr:rowOff>92119</xdr:rowOff>
    </xdr:from>
    <xdr:to>
      <xdr:col>1</xdr:col>
      <xdr:colOff>803910</xdr:colOff>
      <xdr:row>114</xdr:row>
      <xdr:rowOff>12518</xdr:rowOff>
    </xdr:to>
    <xdr:cxnSp macro="">
      <xdr:nvCxnSpPr>
        <xdr:cNvPr id="20" name="Straight Connector 19">
          <a:extLst>
            <a:ext uri="{FF2B5EF4-FFF2-40B4-BE49-F238E27FC236}">
              <a16:creationId xmlns:a16="http://schemas.microsoft.com/office/drawing/2014/main" id="{00000000-0008-0000-0200-000014000000}"/>
            </a:ext>
          </a:extLst>
        </xdr:cNvPr>
        <xdr:cNvCxnSpPr/>
      </xdr:nvCxnSpPr>
      <xdr:spPr bwMode="auto">
        <a:xfrm flipV="1">
          <a:off x="1570264" y="18517279"/>
          <a:ext cx="178526" cy="103279"/>
        </a:xfrm>
        <a:prstGeom prst="line">
          <a:avLst/>
        </a:prstGeom>
        <a:solidFill>
          <a:srgbClr val="FFFFFF"/>
        </a:solidFill>
        <a:ln w="3175" cap="flat" cmpd="sng" algn="ctr">
          <a:solidFill>
            <a:srgbClr val="000000"/>
          </a:solidFill>
          <a:prstDash val="solid"/>
          <a:round/>
          <a:headEnd type="none" w="med" len="med"/>
          <a:tailEnd type="none" w="med" len="med"/>
        </a:ln>
        <a:effectLst/>
      </xdr:spPr>
    </xdr:cxnSp>
    <xdr:clientData/>
  </xdr:twoCellAnchor>
  <xdr:twoCellAnchor>
    <xdr:from>
      <xdr:col>1</xdr:col>
      <xdr:colOff>481693</xdr:colOff>
      <xdr:row>112</xdr:row>
      <xdr:rowOff>149134</xdr:rowOff>
    </xdr:from>
    <xdr:to>
      <xdr:col>1</xdr:col>
      <xdr:colOff>753836</xdr:colOff>
      <xdr:row>113</xdr:row>
      <xdr:rowOff>120831</xdr:rowOff>
    </xdr:to>
    <xdr:cxnSp macro="">
      <xdr:nvCxnSpPr>
        <xdr:cNvPr id="22" name="Straight Arrow Connector 21">
          <a:extLst>
            <a:ext uri="{FF2B5EF4-FFF2-40B4-BE49-F238E27FC236}">
              <a16:creationId xmlns:a16="http://schemas.microsoft.com/office/drawing/2014/main" id="{00000000-0008-0000-0200-000016000000}"/>
            </a:ext>
          </a:extLst>
        </xdr:cNvPr>
        <xdr:cNvCxnSpPr/>
      </xdr:nvCxnSpPr>
      <xdr:spPr bwMode="auto">
        <a:xfrm>
          <a:off x="1426573" y="18391414"/>
          <a:ext cx="272143" cy="154577"/>
        </a:xfrm>
        <a:prstGeom prst="straightConnector1">
          <a:avLst/>
        </a:prstGeom>
        <a:solidFill>
          <a:srgbClr val="FFFFFF"/>
        </a:solidFill>
        <a:ln w="3175" cap="flat" cmpd="sng" algn="ctr">
          <a:solidFill>
            <a:srgbClr val="000000"/>
          </a:solidFill>
          <a:prstDash val="solid"/>
          <a:round/>
          <a:headEnd type="stealth" w="sm" len="sm"/>
          <a:tailEnd type="stealth" w="sm" len="sm"/>
        </a:ln>
        <a:effectLst/>
      </xdr:spPr>
    </xdr:cxnSp>
    <xdr:clientData/>
  </xdr:twoCellAnchor>
  <xdr:twoCellAnchor>
    <xdr:from>
      <xdr:col>1</xdr:col>
      <xdr:colOff>489536</xdr:colOff>
      <xdr:row>112</xdr:row>
      <xdr:rowOff>87772</xdr:rowOff>
    </xdr:from>
    <xdr:to>
      <xdr:col>1</xdr:col>
      <xdr:colOff>916876</xdr:colOff>
      <xdr:row>113</xdr:row>
      <xdr:rowOff>134859</xdr:rowOff>
    </xdr:to>
    <xdr:sp macro="" textlink="">
      <xdr:nvSpPr>
        <xdr:cNvPr id="26" name="TextBox 25">
          <a:extLst>
            <a:ext uri="{FF2B5EF4-FFF2-40B4-BE49-F238E27FC236}">
              <a16:creationId xmlns:a16="http://schemas.microsoft.com/office/drawing/2014/main" id="{00000000-0008-0000-0200-00001A000000}"/>
            </a:ext>
          </a:extLst>
        </xdr:cNvPr>
        <xdr:cNvSpPr txBox="1"/>
      </xdr:nvSpPr>
      <xdr:spPr>
        <a:xfrm rot="2120571">
          <a:off x="1434416" y="18330052"/>
          <a:ext cx="427340" cy="2299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700" baseline="0"/>
            <a:t>L</a:t>
          </a:r>
          <a:r>
            <a:rPr lang="en-US" sz="700" baseline="-25000"/>
            <a:t>T</a:t>
          </a:r>
        </a:p>
      </xdr:txBody>
    </xdr:sp>
    <xdr:clientData/>
  </xdr:twoCellAnchor>
  <xdr:twoCellAnchor>
    <xdr:from>
      <xdr:col>0</xdr:col>
      <xdr:colOff>403972</xdr:colOff>
      <xdr:row>117</xdr:row>
      <xdr:rowOff>14697</xdr:rowOff>
    </xdr:from>
    <xdr:to>
      <xdr:col>0</xdr:col>
      <xdr:colOff>612867</xdr:colOff>
      <xdr:row>117</xdr:row>
      <xdr:rowOff>159576</xdr:rowOff>
    </xdr:to>
    <xdr:cxnSp macro="">
      <xdr:nvCxnSpPr>
        <xdr:cNvPr id="27" name="Straight Connector 26">
          <a:extLst>
            <a:ext uri="{FF2B5EF4-FFF2-40B4-BE49-F238E27FC236}">
              <a16:creationId xmlns:a16="http://schemas.microsoft.com/office/drawing/2014/main" id="{00000000-0008-0000-0200-00001B000000}"/>
            </a:ext>
          </a:extLst>
        </xdr:cNvPr>
        <xdr:cNvCxnSpPr/>
      </xdr:nvCxnSpPr>
      <xdr:spPr bwMode="auto">
        <a:xfrm rot="10800000">
          <a:off x="403972" y="19171377"/>
          <a:ext cx="208895" cy="144879"/>
        </a:xfrm>
        <a:prstGeom prst="line">
          <a:avLst/>
        </a:prstGeom>
        <a:solidFill>
          <a:srgbClr val="FFFFFF"/>
        </a:solidFill>
        <a:ln w="3175" cap="flat" cmpd="sng" algn="ctr">
          <a:solidFill>
            <a:srgbClr val="000000"/>
          </a:solidFill>
          <a:prstDash val="solid"/>
          <a:round/>
          <a:headEnd type="none" w="med" len="med"/>
          <a:tailEnd type="none" w="med" len="med"/>
        </a:ln>
        <a:effectLst/>
      </xdr:spPr>
    </xdr:cxnSp>
    <xdr:clientData/>
  </xdr:twoCellAnchor>
  <xdr:twoCellAnchor>
    <xdr:from>
      <xdr:col>0</xdr:col>
      <xdr:colOff>456951</xdr:colOff>
      <xdr:row>113</xdr:row>
      <xdr:rowOff>135233</xdr:rowOff>
    </xdr:from>
    <xdr:to>
      <xdr:col>0</xdr:col>
      <xdr:colOff>458539</xdr:colOff>
      <xdr:row>117</xdr:row>
      <xdr:rowOff>52501</xdr:rowOff>
    </xdr:to>
    <xdr:cxnSp macro="">
      <xdr:nvCxnSpPr>
        <xdr:cNvPr id="31" name="Straight Arrow Connector 30">
          <a:extLst>
            <a:ext uri="{FF2B5EF4-FFF2-40B4-BE49-F238E27FC236}">
              <a16:creationId xmlns:a16="http://schemas.microsoft.com/office/drawing/2014/main" id="{00000000-0008-0000-0200-00001F000000}"/>
            </a:ext>
          </a:extLst>
        </xdr:cNvPr>
        <xdr:cNvCxnSpPr/>
      </xdr:nvCxnSpPr>
      <xdr:spPr bwMode="auto">
        <a:xfrm rot="5400000">
          <a:off x="133351" y="18883993"/>
          <a:ext cx="648788" cy="1588"/>
        </a:xfrm>
        <a:prstGeom prst="straightConnector1">
          <a:avLst/>
        </a:prstGeom>
        <a:solidFill>
          <a:srgbClr val="FFFFFF"/>
        </a:solidFill>
        <a:ln w="3175" cap="flat" cmpd="sng" algn="ctr">
          <a:solidFill>
            <a:srgbClr val="000000"/>
          </a:solidFill>
          <a:prstDash val="solid"/>
          <a:round/>
          <a:headEnd type="stealth" w="sm" len="sm"/>
          <a:tailEnd type="stealth" w="sm" len="sm"/>
        </a:ln>
        <a:effectLst/>
      </xdr:spPr>
    </xdr:cxnSp>
    <xdr:clientData/>
  </xdr:twoCellAnchor>
  <xdr:twoCellAnchor>
    <xdr:from>
      <xdr:col>0</xdr:col>
      <xdr:colOff>401140</xdr:colOff>
      <xdr:row>115</xdr:row>
      <xdr:rowOff>19050</xdr:rowOff>
    </xdr:from>
    <xdr:to>
      <xdr:col>0</xdr:col>
      <xdr:colOff>592728</xdr:colOff>
      <xdr:row>115</xdr:row>
      <xdr:rowOff>151856</xdr:rowOff>
    </xdr:to>
    <xdr:sp macro="" textlink="">
      <xdr:nvSpPr>
        <xdr:cNvPr id="32" name="TextBox 31">
          <a:extLst>
            <a:ext uri="{FF2B5EF4-FFF2-40B4-BE49-F238E27FC236}">
              <a16:creationId xmlns:a16="http://schemas.microsoft.com/office/drawing/2014/main" id="{00000000-0008-0000-0200-000020000000}"/>
            </a:ext>
          </a:extLst>
        </xdr:cNvPr>
        <xdr:cNvSpPr txBox="1"/>
      </xdr:nvSpPr>
      <xdr:spPr>
        <a:xfrm>
          <a:off x="401140" y="18809970"/>
          <a:ext cx="191588" cy="1328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700" baseline="0"/>
            <a:t>H</a:t>
          </a:r>
        </a:p>
      </xdr:txBody>
    </xdr:sp>
    <xdr:clientData/>
  </xdr:twoCellAnchor>
  <xdr:twoCellAnchor>
    <xdr:from>
      <xdr:col>0</xdr:col>
      <xdr:colOff>425087</xdr:colOff>
      <xdr:row>118</xdr:row>
      <xdr:rowOff>10341</xdr:rowOff>
    </xdr:from>
    <xdr:to>
      <xdr:col>0</xdr:col>
      <xdr:colOff>609492</xdr:colOff>
      <xdr:row>118</xdr:row>
      <xdr:rowOff>117021</xdr:rowOff>
    </xdr:to>
    <xdr:cxnSp macro="">
      <xdr:nvCxnSpPr>
        <xdr:cNvPr id="34" name="Straight Connector 33">
          <a:extLst>
            <a:ext uri="{FF2B5EF4-FFF2-40B4-BE49-F238E27FC236}">
              <a16:creationId xmlns:a16="http://schemas.microsoft.com/office/drawing/2014/main" id="{00000000-0008-0000-0200-000022000000}"/>
            </a:ext>
          </a:extLst>
        </xdr:cNvPr>
        <xdr:cNvCxnSpPr/>
      </xdr:nvCxnSpPr>
      <xdr:spPr bwMode="auto">
        <a:xfrm flipV="1">
          <a:off x="425087" y="19349901"/>
          <a:ext cx="184405" cy="106680"/>
        </a:xfrm>
        <a:prstGeom prst="line">
          <a:avLst/>
        </a:prstGeom>
        <a:solidFill>
          <a:srgbClr val="FFFFFF"/>
        </a:solidFill>
        <a:ln w="3175" cap="flat" cmpd="sng" algn="ctr">
          <a:solidFill>
            <a:srgbClr val="000000"/>
          </a:solidFill>
          <a:prstDash val="solid"/>
          <a:round/>
          <a:headEnd type="none" w="med" len="med"/>
          <a:tailEnd type="none" w="med" len="med"/>
        </a:ln>
        <a:effectLst/>
      </xdr:spPr>
    </xdr:cxnSp>
    <xdr:clientData/>
  </xdr:twoCellAnchor>
  <xdr:twoCellAnchor>
    <xdr:from>
      <xdr:col>0</xdr:col>
      <xdr:colOff>936716</xdr:colOff>
      <xdr:row>119</xdr:row>
      <xdr:rowOff>163964</xdr:rowOff>
    </xdr:from>
    <xdr:to>
      <xdr:col>1</xdr:col>
      <xdr:colOff>170362</xdr:colOff>
      <xdr:row>120</xdr:row>
      <xdr:rowOff>84363</xdr:rowOff>
    </xdr:to>
    <xdr:cxnSp macro="">
      <xdr:nvCxnSpPr>
        <xdr:cNvPr id="35" name="Straight Connector 34">
          <a:extLst>
            <a:ext uri="{FF2B5EF4-FFF2-40B4-BE49-F238E27FC236}">
              <a16:creationId xmlns:a16="http://schemas.microsoft.com/office/drawing/2014/main" id="{00000000-0008-0000-0200-000023000000}"/>
            </a:ext>
          </a:extLst>
        </xdr:cNvPr>
        <xdr:cNvCxnSpPr/>
      </xdr:nvCxnSpPr>
      <xdr:spPr bwMode="auto">
        <a:xfrm flipV="1">
          <a:off x="936716" y="19686404"/>
          <a:ext cx="178526" cy="103279"/>
        </a:xfrm>
        <a:prstGeom prst="line">
          <a:avLst/>
        </a:prstGeom>
        <a:solidFill>
          <a:srgbClr val="FFFFFF"/>
        </a:solidFill>
        <a:ln w="3175" cap="flat" cmpd="sng" algn="ctr">
          <a:solidFill>
            <a:srgbClr val="000000"/>
          </a:solidFill>
          <a:prstDash val="solid"/>
          <a:round/>
          <a:headEnd type="none" w="med" len="med"/>
          <a:tailEnd type="none" w="med" len="med"/>
        </a:ln>
        <a:effectLst/>
      </xdr:spPr>
    </xdr:cxnSp>
    <xdr:clientData/>
  </xdr:twoCellAnchor>
  <xdr:twoCellAnchor>
    <xdr:from>
      <xdr:col>0</xdr:col>
      <xdr:colOff>479516</xdr:colOff>
      <xdr:row>118</xdr:row>
      <xdr:rowOff>82529</xdr:rowOff>
    </xdr:from>
    <xdr:to>
      <xdr:col>1</xdr:col>
      <xdr:colOff>41910</xdr:colOff>
      <xdr:row>120</xdr:row>
      <xdr:rowOff>58237</xdr:rowOff>
    </xdr:to>
    <xdr:cxnSp macro="">
      <xdr:nvCxnSpPr>
        <xdr:cNvPr id="36" name="Straight Arrow Connector 35">
          <a:extLst>
            <a:ext uri="{FF2B5EF4-FFF2-40B4-BE49-F238E27FC236}">
              <a16:creationId xmlns:a16="http://schemas.microsoft.com/office/drawing/2014/main" id="{00000000-0008-0000-0200-000024000000}"/>
            </a:ext>
          </a:extLst>
        </xdr:cNvPr>
        <xdr:cNvCxnSpPr/>
      </xdr:nvCxnSpPr>
      <xdr:spPr bwMode="auto">
        <a:xfrm>
          <a:off x="479516" y="19422089"/>
          <a:ext cx="507274" cy="341468"/>
        </a:xfrm>
        <a:prstGeom prst="straightConnector1">
          <a:avLst/>
        </a:prstGeom>
        <a:solidFill>
          <a:srgbClr val="FFFFFF"/>
        </a:solidFill>
        <a:ln w="3175" cap="flat" cmpd="sng" algn="ctr">
          <a:solidFill>
            <a:srgbClr val="000000"/>
          </a:solidFill>
          <a:prstDash val="solid"/>
          <a:round/>
          <a:headEnd type="stealth" w="sm" len="sm"/>
          <a:tailEnd type="stealth" w="sm" len="sm"/>
        </a:ln>
        <a:effectLst/>
      </xdr:spPr>
    </xdr:cxnSp>
    <xdr:clientData/>
  </xdr:twoCellAnchor>
  <xdr:twoCellAnchor>
    <xdr:from>
      <xdr:col>0</xdr:col>
      <xdr:colOff>279652</xdr:colOff>
      <xdr:row>119</xdr:row>
      <xdr:rowOff>62862</xdr:rowOff>
    </xdr:from>
    <xdr:to>
      <xdr:col>1</xdr:col>
      <xdr:colOff>161515</xdr:colOff>
      <xdr:row>120</xdr:row>
      <xdr:rowOff>109949</xdr:rowOff>
    </xdr:to>
    <xdr:sp macro="" textlink="">
      <xdr:nvSpPr>
        <xdr:cNvPr id="37" name="TextBox 36">
          <a:extLst>
            <a:ext uri="{FF2B5EF4-FFF2-40B4-BE49-F238E27FC236}">
              <a16:creationId xmlns:a16="http://schemas.microsoft.com/office/drawing/2014/main" id="{00000000-0008-0000-0200-000025000000}"/>
            </a:ext>
          </a:extLst>
        </xdr:cNvPr>
        <xdr:cNvSpPr txBox="1"/>
      </xdr:nvSpPr>
      <xdr:spPr>
        <a:xfrm rot="1997822">
          <a:off x="279652" y="19585302"/>
          <a:ext cx="826743" cy="2299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700" baseline="0"/>
            <a:t>L</a:t>
          </a:r>
          <a:r>
            <a:rPr lang="en-US" sz="700" baseline="-25000"/>
            <a:t>D</a:t>
          </a:r>
          <a:r>
            <a:rPr lang="en-US" sz="700" baseline="0"/>
            <a:t> = L</a:t>
          </a:r>
          <a:r>
            <a:rPr lang="en-US" sz="700" baseline="-25000"/>
            <a:t>T</a:t>
          </a:r>
          <a:r>
            <a:rPr lang="en-US" sz="700" baseline="0"/>
            <a:t> + </a:t>
          </a:r>
          <a:r>
            <a:rPr lang="el-GR" sz="700" baseline="0">
              <a:latin typeface="Calibri"/>
            </a:rPr>
            <a:t>φ</a:t>
          </a:r>
          <a:r>
            <a:rPr lang="en-US" sz="700" baseline="-25000">
              <a:latin typeface="Calibri"/>
            </a:rPr>
            <a:t>E</a:t>
          </a:r>
          <a:r>
            <a:rPr lang="en-US" sz="700" baseline="0"/>
            <a:t>H</a:t>
          </a:r>
        </a:p>
      </xdr:txBody>
    </xdr:sp>
    <xdr:clientData/>
  </xdr:twoCellAnchor>
  <xdr:twoCellAnchor>
    <xdr:from>
      <xdr:col>1</xdr:col>
      <xdr:colOff>555578</xdr:colOff>
      <xdr:row>120</xdr:row>
      <xdr:rowOff>39868</xdr:rowOff>
    </xdr:from>
    <xdr:to>
      <xdr:col>2</xdr:col>
      <xdr:colOff>342900</xdr:colOff>
      <xdr:row>121</xdr:row>
      <xdr:rowOff>17145</xdr:rowOff>
    </xdr:to>
    <xdr:sp macro="" textlink="">
      <xdr:nvSpPr>
        <xdr:cNvPr id="43" name="TextBox 42">
          <a:extLst>
            <a:ext uri="{FF2B5EF4-FFF2-40B4-BE49-F238E27FC236}">
              <a16:creationId xmlns:a16="http://schemas.microsoft.com/office/drawing/2014/main" id="{00000000-0008-0000-0200-00002B000000}"/>
            </a:ext>
          </a:extLst>
        </xdr:cNvPr>
        <xdr:cNvSpPr txBox="1"/>
      </xdr:nvSpPr>
      <xdr:spPr>
        <a:xfrm>
          <a:off x="1431878" y="25962156"/>
          <a:ext cx="958897" cy="2677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700" baseline="0"/>
            <a:t>Distributed Load Area</a:t>
          </a:r>
        </a:p>
      </xdr:txBody>
    </xdr:sp>
    <xdr:clientData/>
  </xdr:twoCellAnchor>
  <xdr:twoCellAnchor>
    <xdr:from>
      <xdr:col>1</xdr:col>
      <xdr:colOff>405458</xdr:colOff>
      <xdr:row>119</xdr:row>
      <xdr:rowOff>45930</xdr:rowOff>
    </xdr:from>
    <xdr:to>
      <xdr:col>1</xdr:col>
      <xdr:colOff>601434</xdr:colOff>
      <xdr:row>120</xdr:row>
      <xdr:rowOff>128997</xdr:rowOff>
    </xdr:to>
    <xdr:cxnSp macro="">
      <xdr:nvCxnSpPr>
        <xdr:cNvPr id="47" name="Straight Arrow Connector 46">
          <a:extLst>
            <a:ext uri="{FF2B5EF4-FFF2-40B4-BE49-F238E27FC236}">
              <a16:creationId xmlns:a16="http://schemas.microsoft.com/office/drawing/2014/main" id="{00000000-0008-0000-0200-00002F000000}"/>
            </a:ext>
          </a:extLst>
        </xdr:cNvPr>
        <xdr:cNvCxnSpPr/>
      </xdr:nvCxnSpPr>
      <xdr:spPr bwMode="auto">
        <a:xfrm rot="10800000">
          <a:off x="1281758" y="25787243"/>
          <a:ext cx="195976" cy="264042"/>
        </a:xfrm>
        <a:prstGeom prst="straightConnector1">
          <a:avLst/>
        </a:prstGeom>
        <a:solidFill>
          <a:srgbClr val="FFFFFF"/>
        </a:solidFill>
        <a:ln w="3175" cap="flat" cmpd="sng" algn="ctr">
          <a:solidFill>
            <a:srgbClr val="000000"/>
          </a:solidFill>
          <a:prstDash val="solid"/>
          <a:round/>
          <a:headEnd type="none" w="med" len="med"/>
          <a:tailEnd type="stealth" w="sm" len="sm"/>
        </a:ln>
        <a:effectLst/>
      </xdr:spPr>
    </xdr:cxnSp>
    <xdr:clientData/>
  </xdr:twoCellAnchor>
  <xdr:twoCellAnchor>
    <xdr:from>
      <xdr:col>1</xdr:col>
      <xdr:colOff>441960</xdr:colOff>
      <xdr:row>111</xdr:row>
      <xdr:rowOff>41365</xdr:rowOff>
    </xdr:from>
    <xdr:to>
      <xdr:col>2</xdr:col>
      <xdr:colOff>290512</xdr:colOff>
      <xdr:row>112</xdr:row>
      <xdr:rowOff>76201</xdr:rowOff>
    </xdr:to>
    <xdr:sp macro="" textlink="">
      <xdr:nvSpPr>
        <xdr:cNvPr id="48" name="TextBox 47">
          <a:extLst>
            <a:ext uri="{FF2B5EF4-FFF2-40B4-BE49-F238E27FC236}">
              <a16:creationId xmlns:a16="http://schemas.microsoft.com/office/drawing/2014/main" id="{00000000-0008-0000-0200-000030000000}"/>
            </a:ext>
          </a:extLst>
        </xdr:cNvPr>
        <xdr:cNvSpPr txBox="1"/>
      </xdr:nvSpPr>
      <xdr:spPr>
        <a:xfrm>
          <a:off x="1318260" y="24334878"/>
          <a:ext cx="1020127" cy="2158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700" baseline="0"/>
            <a:t>Tire Contact Area</a:t>
          </a:r>
        </a:p>
      </xdr:txBody>
    </xdr:sp>
    <xdr:clientData/>
  </xdr:twoCellAnchor>
  <xdr:twoCellAnchor>
    <xdr:from>
      <xdr:col>1</xdr:col>
      <xdr:colOff>396749</xdr:colOff>
      <xdr:row>111</xdr:row>
      <xdr:rowOff>156754</xdr:rowOff>
    </xdr:from>
    <xdr:to>
      <xdr:col>1</xdr:col>
      <xdr:colOff>512173</xdr:colOff>
      <xdr:row>113</xdr:row>
      <xdr:rowOff>83486</xdr:rowOff>
    </xdr:to>
    <xdr:cxnSp macro="">
      <xdr:nvCxnSpPr>
        <xdr:cNvPr id="49" name="Straight Arrow Connector 48">
          <a:extLst>
            <a:ext uri="{FF2B5EF4-FFF2-40B4-BE49-F238E27FC236}">
              <a16:creationId xmlns:a16="http://schemas.microsoft.com/office/drawing/2014/main" id="{00000000-0008-0000-0200-000031000000}"/>
            </a:ext>
          </a:extLst>
        </xdr:cNvPr>
        <xdr:cNvCxnSpPr/>
      </xdr:nvCxnSpPr>
      <xdr:spPr bwMode="auto">
        <a:xfrm rot="5400000">
          <a:off x="1253095" y="18304688"/>
          <a:ext cx="292492" cy="115424"/>
        </a:xfrm>
        <a:prstGeom prst="straightConnector1">
          <a:avLst/>
        </a:prstGeom>
        <a:solidFill>
          <a:srgbClr val="FFFFFF"/>
        </a:solidFill>
        <a:ln w="3175" cap="flat" cmpd="sng" algn="ctr">
          <a:solidFill>
            <a:srgbClr val="000000"/>
          </a:solidFill>
          <a:prstDash val="solid"/>
          <a:round/>
          <a:headEnd type="none" w="med" len="med"/>
          <a:tailEnd type="stealth" w="sm" len="sm"/>
        </a:ln>
        <a:effectLst/>
      </xdr:spPr>
    </xdr:cxnSp>
    <xdr:clientData/>
  </xdr:twoCellAnchor>
  <xdr:twoCellAnchor>
    <xdr:from>
      <xdr:col>1</xdr:col>
      <xdr:colOff>217464</xdr:colOff>
      <xdr:row>111</xdr:row>
      <xdr:rowOff>59033</xdr:rowOff>
    </xdr:from>
    <xdr:to>
      <xdr:col>1</xdr:col>
      <xdr:colOff>219052</xdr:colOff>
      <xdr:row>114</xdr:row>
      <xdr:rowOff>113461</xdr:rowOff>
    </xdr:to>
    <xdr:cxnSp macro="">
      <xdr:nvCxnSpPr>
        <xdr:cNvPr id="53" name="Straight Arrow Connector 52">
          <a:extLst>
            <a:ext uri="{FF2B5EF4-FFF2-40B4-BE49-F238E27FC236}">
              <a16:creationId xmlns:a16="http://schemas.microsoft.com/office/drawing/2014/main" id="{00000000-0008-0000-0200-000035000000}"/>
            </a:ext>
          </a:extLst>
        </xdr:cNvPr>
        <xdr:cNvCxnSpPr/>
      </xdr:nvCxnSpPr>
      <xdr:spPr bwMode="auto">
        <a:xfrm rot="5400000">
          <a:off x="861604" y="18419173"/>
          <a:ext cx="603068" cy="1588"/>
        </a:xfrm>
        <a:prstGeom prst="straightConnector1">
          <a:avLst/>
        </a:prstGeom>
        <a:solidFill>
          <a:srgbClr val="FFFFFF"/>
        </a:solidFill>
        <a:ln w="9525" cap="flat" cmpd="sng" algn="ctr">
          <a:solidFill>
            <a:srgbClr val="FF0000"/>
          </a:solidFill>
          <a:prstDash val="solid"/>
          <a:round/>
          <a:headEnd type="none" w="med" len="med"/>
          <a:tailEnd type="triangle" w="lg" len="lg"/>
        </a:ln>
        <a:effectLst/>
      </xdr:spPr>
    </xdr:cxnSp>
    <xdr:clientData/>
  </xdr:twoCellAnchor>
  <xdr:twoCellAnchor>
    <xdr:from>
      <xdr:col>1</xdr:col>
      <xdr:colOff>34425</xdr:colOff>
      <xdr:row>109</xdr:row>
      <xdr:rowOff>248192</xdr:rowOff>
    </xdr:from>
    <xdr:to>
      <xdr:col>2</xdr:col>
      <xdr:colOff>423863</xdr:colOff>
      <xdr:row>112</xdr:row>
      <xdr:rowOff>32384</xdr:rowOff>
    </xdr:to>
    <xdr:sp macro="" textlink="">
      <xdr:nvSpPr>
        <xdr:cNvPr id="54" name="TextBox 53">
          <a:extLst>
            <a:ext uri="{FF2B5EF4-FFF2-40B4-BE49-F238E27FC236}">
              <a16:creationId xmlns:a16="http://schemas.microsoft.com/office/drawing/2014/main" id="{00000000-0008-0000-0200-000036000000}"/>
            </a:ext>
          </a:extLst>
        </xdr:cNvPr>
        <xdr:cNvSpPr txBox="1"/>
      </xdr:nvSpPr>
      <xdr:spPr>
        <a:xfrm>
          <a:off x="910725" y="24194042"/>
          <a:ext cx="1561013" cy="3128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700" baseline="0"/>
            <a:t>Wheel Load P, </a:t>
          </a:r>
          <a:r>
            <a:rPr lang="en-US" sz="700" b="1" baseline="0"/>
            <a:t>P</a:t>
          </a:r>
          <a:r>
            <a:rPr lang="en-US" sz="700" baseline="0"/>
            <a:t>=1/2  Axle Load </a:t>
          </a:r>
        </a:p>
      </xdr:txBody>
    </xdr:sp>
    <xdr:clientData/>
  </xdr:twoCellAnchor>
  <xdr:twoCellAnchor>
    <xdr:from>
      <xdr:col>2</xdr:col>
      <xdr:colOff>133350</xdr:colOff>
      <xdr:row>114</xdr:row>
      <xdr:rowOff>152400</xdr:rowOff>
    </xdr:from>
    <xdr:to>
      <xdr:col>2</xdr:col>
      <xdr:colOff>590550</xdr:colOff>
      <xdr:row>116</xdr:row>
      <xdr:rowOff>15240</xdr:rowOff>
    </xdr:to>
    <xdr:sp macro="" textlink="">
      <xdr:nvSpPr>
        <xdr:cNvPr id="56" name="Rectangle 55">
          <a:extLst>
            <a:ext uri="{FF2B5EF4-FFF2-40B4-BE49-F238E27FC236}">
              <a16:creationId xmlns:a16="http://schemas.microsoft.com/office/drawing/2014/main" id="{00000000-0008-0000-0200-000038000000}"/>
            </a:ext>
          </a:extLst>
        </xdr:cNvPr>
        <xdr:cNvSpPr/>
      </xdr:nvSpPr>
      <xdr:spPr bwMode="auto">
        <a:xfrm>
          <a:off x="2731770" y="18760440"/>
          <a:ext cx="457200" cy="228600"/>
        </a:xfrm>
        <a:prstGeom prst="rect">
          <a:avLst/>
        </a:prstGeom>
        <a:solidFill>
          <a:schemeClr val="accent1">
            <a:lumMod val="40000"/>
            <a:lumOff val="60000"/>
          </a:schemeClr>
        </a:solidFill>
        <a:ln w="317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US" sz="1100"/>
        </a:p>
      </xdr:txBody>
    </xdr:sp>
    <xdr:clientData/>
  </xdr:twoCellAnchor>
  <xdr:twoCellAnchor>
    <xdr:from>
      <xdr:col>2</xdr:col>
      <xdr:colOff>607694</xdr:colOff>
      <xdr:row>114</xdr:row>
      <xdr:rowOff>152400</xdr:rowOff>
    </xdr:from>
    <xdr:to>
      <xdr:col>3</xdr:col>
      <xdr:colOff>157842</xdr:colOff>
      <xdr:row>116</xdr:row>
      <xdr:rowOff>15240</xdr:rowOff>
    </xdr:to>
    <xdr:sp macro="" textlink="">
      <xdr:nvSpPr>
        <xdr:cNvPr id="58" name="Rectangle 57">
          <a:extLst>
            <a:ext uri="{FF2B5EF4-FFF2-40B4-BE49-F238E27FC236}">
              <a16:creationId xmlns:a16="http://schemas.microsoft.com/office/drawing/2014/main" id="{00000000-0008-0000-0200-00003A000000}"/>
            </a:ext>
          </a:extLst>
        </xdr:cNvPr>
        <xdr:cNvSpPr/>
      </xdr:nvSpPr>
      <xdr:spPr bwMode="auto">
        <a:xfrm>
          <a:off x="2659651" y="24999043"/>
          <a:ext cx="421005" cy="232954"/>
        </a:xfrm>
        <a:prstGeom prst="rect">
          <a:avLst/>
        </a:prstGeom>
        <a:solidFill>
          <a:schemeClr val="accent6">
            <a:lumMod val="60000"/>
            <a:lumOff val="40000"/>
          </a:schemeClr>
        </a:solidFill>
        <a:ln w="317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US" sz="1100"/>
        </a:p>
      </xdr:txBody>
    </xdr:sp>
    <xdr:clientData/>
  </xdr:twoCellAnchor>
  <xdr:twoCellAnchor>
    <xdr:from>
      <xdr:col>4</xdr:col>
      <xdr:colOff>295911</xdr:colOff>
      <xdr:row>116</xdr:row>
      <xdr:rowOff>131444</xdr:rowOff>
    </xdr:from>
    <xdr:to>
      <xdr:col>4</xdr:col>
      <xdr:colOff>640081</xdr:colOff>
      <xdr:row>117</xdr:row>
      <xdr:rowOff>176529</xdr:rowOff>
    </xdr:to>
    <xdr:sp macro="" textlink="">
      <xdr:nvSpPr>
        <xdr:cNvPr id="59" name="Rectangle 58">
          <a:extLst>
            <a:ext uri="{FF2B5EF4-FFF2-40B4-BE49-F238E27FC236}">
              <a16:creationId xmlns:a16="http://schemas.microsoft.com/office/drawing/2014/main" id="{00000000-0008-0000-0200-00003B000000}"/>
            </a:ext>
          </a:extLst>
        </xdr:cNvPr>
        <xdr:cNvSpPr/>
      </xdr:nvSpPr>
      <xdr:spPr bwMode="auto">
        <a:xfrm>
          <a:off x="4906011" y="19105244"/>
          <a:ext cx="344170" cy="227965"/>
        </a:xfrm>
        <a:prstGeom prst="rect">
          <a:avLst/>
        </a:prstGeom>
        <a:gradFill>
          <a:gsLst>
            <a:gs pos="0">
              <a:schemeClr val="accent1">
                <a:tint val="66000"/>
                <a:satMod val="160000"/>
                <a:alpha val="46000"/>
              </a:schemeClr>
            </a:gs>
            <a:gs pos="50000">
              <a:schemeClr val="accent1">
                <a:tint val="44500"/>
                <a:satMod val="160000"/>
              </a:schemeClr>
            </a:gs>
            <a:gs pos="100000">
              <a:schemeClr val="accent1">
                <a:tint val="23500"/>
                <a:satMod val="160000"/>
              </a:schemeClr>
            </a:gs>
          </a:gsLst>
          <a:lin ang="2700000" scaled="1"/>
        </a:gradFill>
        <a:ln w="317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US" sz="1100"/>
        </a:p>
      </xdr:txBody>
    </xdr:sp>
    <xdr:clientData/>
  </xdr:twoCellAnchor>
  <xdr:twoCellAnchor>
    <xdr:from>
      <xdr:col>4</xdr:col>
      <xdr:colOff>750570</xdr:colOff>
      <xdr:row>116</xdr:row>
      <xdr:rowOff>130810</xdr:rowOff>
    </xdr:from>
    <xdr:to>
      <xdr:col>5</xdr:col>
      <xdr:colOff>328930</xdr:colOff>
      <xdr:row>117</xdr:row>
      <xdr:rowOff>177165</xdr:rowOff>
    </xdr:to>
    <xdr:sp macro="" textlink="">
      <xdr:nvSpPr>
        <xdr:cNvPr id="60" name="Rectangle 59">
          <a:extLst>
            <a:ext uri="{FF2B5EF4-FFF2-40B4-BE49-F238E27FC236}">
              <a16:creationId xmlns:a16="http://schemas.microsoft.com/office/drawing/2014/main" id="{00000000-0008-0000-0200-00003C000000}"/>
            </a:ext>
          </a:extLst>
        </xdr:cNvPr>
        <xdr:cNvSpPr/>
      </xdr:nvSpPr>
      <xdr:spPr bwMode="auto">
        <a:xfrm>
          <a:off x="5360670" y="19104610"/>
          <a:ext cx="355600" cy="229235"/>
        </a:xfrm>
        <a:prstGeom prst="rect">
          <a:avLst/>
        </a:prstGeom>
        <a:solidFill>
          <a:schemeClr val="accent6">
            <a:lumMod val="60000"/>
            <a:lumOff val="40000"/>
          </a:schemeClr>
        </a:solidFill>
        <a:ln w="317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US" sz="1100"/>
        </a:p>
      </xdr:txBody>
    </xdr:sp>
    <xdr:clientData/>
  </xdr:twoCellAnchor>
  <xdr:twoCellAnchor>
    <xdr:from>
      <xdr:col>2</xdr:col>
      <xdr:colOff>351790</xdr:colOff>
      <xdr:row>116</xdr:row>
      <xdr:rowOff>147320</xdr:rowOff>
    </xdr:from>
    <xdr:to>
      <xdr:col>2</xdr:col>
      <xdr:colOff>825500</xdr:colOff>
      <xdr:row>116</xdr:row>
      <xdr:rowOff>148908</xdr:rowOff>
    </xdr:to>
    <xdr:cxnSp macro="">
      <xdr:nvCxnSpPr>
        <xdr:cNvPr id="65" name="Straight Arrow Connector 64">
          <a:extLst>
            <a:ext uri="{FF2B5EF4-FFF2-40B4-BE49-F238E27FC236}">
              <a16:creationId xmlns:a16="http://schemas.microsoft.com/office/drawing/2014/main" id="{00000000-0008-0000-0200-000041000000}"/>
            </a:ext>
          </a:extLst>
        </xdr:cNvPr>
        <xdr:cNvCxnSpPr/>
      </xdr:nvCxnSpPr>
      <xdr:spPr bwMode="auto">
        <a:xfrm>
          <a:off x="2950210" y="19121120"/>
          <a:ext cx="473710" cy="1588"/>
        </a:xfrm>
        <a:prstGeom prst="straightConnector1">
          <a:avLst/>
        </a:prstGeom>
        <a:solidFill>
          <a:srgbClr val="FFFFFF"/>
        </a:solidFill>
        <a:ln w="3175" cap="flat" cmpd="sng" algn="ctr">
          <a:solidFill>
            <a:srgbClr val="000000"/>
          </a:solidFill>
          <a:prstDash val="solid"/>
          <a:round/>
          <a:headEnd type="stealth" w="sm" len="sm"/>
          <a:tailEnd type="stealth" w="sm" len="sm"/>
        </a:ln>
        <a:effectLst/>
      </xdr:spPr>
    </xdr:cxnSp>
    <xdr:clientData/>
  </xdr:twoCellAnchor>
  <xdr:twoCellAnchor>
    <xdr:from>
      <xdr:col>2</xdr:col>
      <xdr:colOff>139517</xdr:colOff>
      <xdr:row>114</xdr:row>
      <xdr:rowOff>169453</xdr:rowOff>
    </xdr:from>
    <xdr:to>
      <xdr:col>2</xdr:col>
      <xdr:colOff>458470</xdr:colOff>
      <xdr:row>115</xdr:row>
      <xdr:rowOff>165099</xdr:rowOff>
    </xdr:to>
    <xdr:sp macro="" textlink="">
      <xdr:nvSpPr>
        <xdr:cNvPr id="66" name="TextBox 65">
          <a:extLst>
            <a:ext uri="{FF2B5EF4-FFF2-40B4-BE49-F238E27FC236}">
              <a16:creationId xmlns:a16="http://schemas.microsoft.com/office/drawing/2014/main" id="{00000000-0008-0000-0200-000042000000}"/>
            </a:ext>
          </a:extLst>
        </xdr:cNvPr>
        <xdr:cNvSpPr txBox="1"/>
      </xdr:nvSpPr>
      <xdr:spPr>
        <a:xfrm>
          <a:off x="2737937" y="18777493"/>
          <a:ext cx="318953" cy="1785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700" baseline="0"/>
            <a:t>P</a:t>
          </a:r>
          <a:endParaRPr lang="en-US" sz="700" baseline="-25000"/>
        </a:p>
      </xdr:txBody>
    </xdr:sp>
    <xdr:clientData/>
  </xdr:twoCellAnchor>
  <xdr:twoCellAnchor>
    <xdr:from>
      <xdr:col>2</xdr:col>
      <xdr:colOff>650057</xdr:colOff>
      <xdr:row>115</xdr:row>
      <xdr:rowOff>1812</xdr:rowOff>
    </xdr:from>
    <xdr:to>
      <xdr:col>2</xdr:col>
      <xdr:colOff>939800</xdr:colOff>
      <xdr:row>116</xdr:row>
      <xdr:rowOff>10159</xdr:rowOff>
    </xdr:to>
    <xdr:sp macro="" textlink="">
      <xdr:nvSpPr>
        <xdr:cNvPr id="68" name="TextBox 67">
          <a:extLst>
            <a:ext uri="{FF2B5EF4-FFF2-40B4-BE49-F238E27FC236}">
              <a16:creationId xmlns:a16="http://schemas.microsoft.com/office/drawing/2014/main" id="{00000000-0008-0000-0200-000044000000}"/>
            </a:ext>
          </a:extLst>
        </xdr:cNvPr>
        <xdr:cNvSpPr txBox="1"/>
      </xdr:nvSpPr>
      <xdr:spPr>
        <a:xfrm>
          <a:off x="3248477" y="18792732"/>
          <a:ext cx="289743" cy="1912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700" baseline="0"/>
            <a:t>P</a:t>
          </a:r>
          <a:endParaRPr lang="en-US" sz="700" baseline="-25000"/>
        </a:p>
      </xdr:txBody>
    </xdr:sp>
    <xdr:clientData/>
  </xdr:twoCellAnchor>
  <xdr:twoCellAnchor>
    <xdr:from>
      <xdr:col>1</xdr:col>
      <xdr:colOff>1601470</xdr:colOff>
      <xdr:row>114</xdr:row>
      <xdr:rowOff>154940</xdr:rowOff>
    </xdr:from>
    <xdr:to>
      <xdr:col>2</xdr:col>
      <xdr:colOff>95250</xdr:colOff>
      <xdr:row>114</xdr:row>
      <xdr:rowOff>154940</xdr:rowOff>
    </xdr:to>
    <xdr:cxnSp macro="">
      <xdr:nvCxnSpPr>
        <xdr:cNvPr id="71" name="Straight Connector 70">
          <a:extLst>
            <a:ext uri="{FF2B5EF4-FFF2-40B4-BE49-F238E27FC236}">
              <a16:creationId xmlns:a16="http://schemas.microsoft.com/office/drawing/2014/main" id="{00000000-0008-0000-0200-000047000000}"/>
            </a:ext>
          </a:extLst>
        </xdr:cNvPr>
        <xdr:cNvCxnSpPr/>
      </xdr:nvCxnSpPr>
      <xdr:spPr bwMode="auto">
        <a:xfrm rot="10800000">
          <a:off x="2546350" y="18762980"/>
          <a:ext cx="147320" cy="0"/>
        </a:xfrm>
        <a:prstGeom prst="line">
          <a:avLst/>
        </a:prstGeom>
        <a:solidFill>
          <a:srgbClr val="FFFFFF"/>
        </a:solidFill>
        <a:ln w="3175" cap="flat" cmpd="sng" algn="ctr">
          <a:solidFill>
            <a:srgbClr val="000000"/>
          </a:solidFill>
          <a:prstDash val="solid"/>
          <a:round/>
          <a:headEnd type="none" w="med" len="med"/>
          <a:tailEnd type="none" w="med" len="med"/>
        </a:ln>
        <a:effectLst/>
      </xdr:spPr>
    </xdr:cxnSp>
    <xdr:clientData/>
  </xdr:twoCellAnchor>
  <xdr:twoCellAnchor>
    <xdr:from>
      <xdr:col>1</xdr:col>
      <xdr:colOff>1601470</xdr:colOff>
      <xdr:row>116</xdr:row>
      <xdr:rowOff>17780</xdr:rowOff>
    </xdr:from>
    <xdr:to>
      <xdr:col>2</xdr:col>
      <xdr:colOff>95250</xdr:colOff>
      <xdr:row>116</xdr:row>
      <xdr:rowOff>17780</xdr:rowOff>
    </xdr:to>
    <xdr:cxnSp macro="">
      <xdr:nvCxnSpPr>
        <xdr:cNvPr id="74" name="Straight Connector 73">
          <a:extLst>
            <a:ext uri="{FF2B5EF4-FFF2-40B4-BE49-F238E27FC236}">
              <a16:creationId xmlns:a16="http://schemas.microsoft.com/office/drawing/2014/main" id="{00000000-0008-0000-0200-00004A000000}"/>
            </a:ext>
          </a:extLst>
        </xdr:cNvPr>
        <xdr:cNvCxnSpPr/>
      </xdr:nvCxnSpPr>
      <xdr:spPr bwMode="auto">
        <a:xfrm rot="10800000">
          <a:off x="2546350" y="18991580"/>
          <a:ext cx="147320" cy="0"/>
        </a:xfrm>
        <a:prstGeom prst="line">
          <a:avLst/>
        </a:prstGeom>
        <a:solidFill>
          <a:srgbClr val="FFFFFF"/>
        </a:solidFill>
        <a:ln w="3175" cap="flat" cmpd="sng" algn="ctr">
          <a:solidFill>
            <a:srgbClr val="000000"/>
          </a:solidFill>
          <a:prstDash val="solid"/>
          <a:round/>
          <a:headEnd type="none" w="med" len="med"/>
          <a:tailEnd type="none" w="med" len="med"/>
        </a:ln>
        <a:effectLst/>
      </xdr:spPr>
    </xdr:cxnSp>
    <xdr:clientData/>
  </xdr:twoCellAnchor>
  <xdr:twoCellAnchor>
    <xdr:from>
      <xdr:col>3</xdr:col>
      <xdr:colOff>155032</xdr:colOff>
      <xdr:row>116</xdr:row>
      <xdr:rowOff>43181</xdr:rowOff>
    </xdr:from>
    <xdr:to>
      <xdr:col>3</xdr:col>
      <xdr:colOff>155032</xdr:colOff>
      <xdr:row>118</xdr:row>
      <xdr:rowOff>10160</xdr:rowOff>
    </xdr:to>
    <xdr:cxnSp macro="">
      <xdr:nvCxnSpPr>
        <xdr:cNvPr id="76" name="Straight Connector 75">
          <a:extLst>
            <a:ext uri="{FF2B5EF4-FFF2-40B4-BE49-F238E27FC236}">
              <a16:creationId xmlns:a16="http://schemas.microsoft.com/office/drawing/2014/main" id="{00000000-0008-0000-0200-00004C000000}"/>
            </a:ext>
          </a:extLst>
        </xdr:cNvPr>
        <xdr:cNvCxnSpPr/>
      </xdr:nvCxnSpPr>
      <xdr:spPr bwMode="auto">
        <a:xfrm rot="5400000">
          <a:off x="2909299" y="25428485"/>
          <a:ext cx="337093" cy="0"/>
        </a:xfrm>
        <a:prstGeom prst="line">
          <a:avLst/>
        </a:prstGeom>
        <a:solidFill>
          <a:srgbClr val="FFFFFF"/>
        </a:solidFill>
        <a:ln w="3175" cap="flat" cmpd="sng" algn="ctr">
          <a:solidFill>
            <a:srgbClr val="000000"/>
          </a:solidFill>
          <a:prstDash val="solid"/>
          <a:round/>
          <a:headEnd type="none" w="med" len="med"/>
          <a:tailEnd type="none" w="med" len="med"/>
        </a:ln>
        <a:effectLst/>
      </xdr:spPr>
    </xdr:cxnSp>
    <xdr:clientData/>
  </xdr:twoCellAnchor>
  <xdr:twoCellAnchor>
    <xdr:from>
      <xdr:col>2</xdr:col>
      <xdr:colOff>15716</xdr:colOff>
      <xdr:row>114</xdr:row>
      <xdr:rowOff>155734</xdr:rowOff>
    </xdr:from>
    <xdr:to>
      <xdr:col>2</xdr:col>
      <xdr:colOff>17304</xdr:colOff>
      <xdr:row>116</xdr:row>
      <xdr:rowOff>18574</xdr:rowOff>
    </xdr:to>
    <xdr:cxnSp macro="">
      <xdr:nvCxnSpPr>
        <xdr:cNvPr id="79" name="Straight Arrow Connector 78">
          <a:extLst>
            <a:ext uri="{FF2B5EF4-FFF2-40B4-BE49-F238E27FC236}">
              <a16:creationId xmlns:a16="http://schemas.microsoft.com/office/drawing/2014/main" id="{00000000-0008-0000-0200-00004F000000}"/>
            </a:ext>
          </a:extLst>
        </xdr:cNvPr>
        <xdr:cNvCxnSpPr/>
      </xdr:nvCxnSpPr>
      <xdr:spPr bwMode="auto">
        <a:xfrm rot="5400000">
          <a:off x="2500630" y="18877280"/>
          <a:ext cx="228600" cy="1588"/>
        </a:xfrm>
        <a:prstGeom prst="straightConnector1">
          <a:avLst/>
        </a:prstGeom>
        <a:solidFill>
          <a:srgbClr val="FFFFFF"/>
        </a:solidFill>
        <a:ln w="3175" cap="flat" cmpd="sng" algn="ctr">
          <a:solidFill>
            <a:srgbClr val="000000"/>
          </a:solidFill>
          <a:prstDash val="solid"/>
          <a:round/>
          <a:headEnd type="stealth" w="sm" len="sm"/>
          <a:tailEnd type="stealth" w="sm" len="sm"/>
        </a:ln>
        <a:effectLst/>
      </xdr:spPr>
    </xdr:cxnSp>
    <xdr:clientData/>
  </xdr:twoCellAnchor>
  <xdr:twoCellAnchor>
    <xdr:from>
      <xdr:col>2</xdr:col>
      <xdr:colOff>598805</xdr:colOff>
      <xdr:row>117</xdr:row>
      <xdr:rowOff>154942</xdr:rowOff>
    </xdr:from>
    <xdr:to>
      <xdr:col>3</xdr:col>
      <xdr:colOff>157843</xdr:colOff>
      <xdr:row>117</xdr:row>
      <xdr:rowOff>154942</xdr:rowOff>
    </xdr:to>
    <xdr:cxnSp macro="">
      <xdr:nvCxnSpPr>
        <xdr:cNvPr id="82" name="Straight Arrow Connector 81">
          <a:extLst>
            <a:ext uri="{FF2B5EF4-FFF2-40B4-BE49-F238E27FC236}">
              <a16:creationId xmlns:a16="http://schemas.microsoft.com/office/drawing/2014/main" id="{00000000-0008-0000-0200-000052000000}"/>
            </a:ext>
          </a:extLst>
        </xdr:cNvPr>
        <xdr:cNvCxnSpPr/>
      </xdr:nvCxnSpPr>
      <xdr:spPr bwMode="auto">
        <a:xfrm>
          <a:off x="2650762" y="25556756"/>
          <a:ext cx="429895" cy="0"/>
        </a:xfrm>
        <a:prstGeom prst="straightConnector1">
          <a:avLst/>
        </a:prstGeom>
        <a:solidFill>
          <a:srgbClr val="FFFFFF"/>
        </a:solidFill>
        <a:ln w="3175" cap="flat" cmpd="sng" algn="ctr">
          <a:solidFill>
            <a:srgbClr val="000000"/>
          </a:solidFill>
          <a:prstDash val="solid"/>
          <a:round/>
          <a:headEnd type="stealth" w="sm" len="sm"/>
          <a:tailEnd type="stealth" w="sm" len="sm"/>
        </a:ln>
        <a:effectLst/>
      </xdr:spPr>
    </xdr:cxnSp>
    <xdr:clientData/>
  </xdr:twoCellAnchor>
  <xdr:twoCellAnchor>
    <xdr:from>
      <xdr:col>1</xdr:col>
      <xdr:colOff>1439997</xdr:colOff>
      <xdr:row>114</xdr:row>
      <xdr:rowOff>179613</xdr:rowOff>
    </xdr:from>
    <xdr:to>
      <xdr:col>2</xdr:col>
      <xdr:colOff>105410</xdr:colOff>
      <xdr:row>115</xdr:row>
      <xdr:rowOff>175259</xdr:rowOff>
    </xdr:to>
    <xdr:sp macro="" textlink="">
      <xdr:nvSpPr>
        <xdr:cNvPr id="83" name="TextBox 82">
          <a:extLst>
            <a:ext uri="{FF2B5EF4-FFF2-40B4-BE49-F238E27FC236}">
              <a16:creationId xmlns:a16="http://schemas.microsoft.com/office/drawing/2014/main" id="{00000000-0008-0000-0200-000053000000}"/>
            </a:ext>
          </a:extLst>
        </xdr:cNvPr>
        <xdr:cNvSpPr txBox="1"/>
      </xdr:nvSpPr>
      <xdr:spPr>
        <a:xfrm>
          <a:off x="2384877" y="18787653"/>
          <a:ext cx="318953" cy="1785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700" baseline="0"/>
            <a:t>L</a:t>
          </a:r>
          <a:r>
            <a:rPr lang="en-US" sz="700" baseline="-25000"/>
            <a:t>D</a:t>
          </a:r>
          <a:r>
            <a:rPr lang="en-US" sz="700" baseline="0"/>
            <a:t> </a:t>
          </a:r>
        </a:p>
      </xdr:txBody>
    </xdr:sp>
    <xdr:clientData/>
  </xdr:twoCellAnchor>
  <xdr:twoCellAnchor>
    <xdr:from>
      <xdr:col>2</xdr:col>
      <xdr:colOff>253817</xdr:colOff>
      <xdr:row>116</xdr:row>
      <xdr:rowOff>161832</xdr:rowOff>
    </xdr:from>
    <xdr:to>
      <xdr:col>2</xdr:col>
      <xdr:colOff>572770</xdr:colOff>
      <xdr:row>118</xdr:row>
      <xdr:rowOff>1269</xdr:rowOff>
    </xdr:to>
    <xdr:sp macro="" textlink="">
      <xdr:nvSpPr>
        <xdr:cNvPr id="84" name="TextBox 83">
          <a:extLst>
            <a:ext uri="{FF2B5EF4-FFF2-40B4-BE49-F238E27FC236}">
              <a16:creationId xmlns:a16="http://schemas.microsoft.com/office/drawing/2014/main" id="{00000000-0008-0000-0200-000054000000}"/>
            </a:ext>
          </a:extLst>
        </xdr:cNvPr>
        <xdr:cNvSpPr txBox="1"/>
      </xdr:nvSpPr>
      <xdr:spPr>
        <a:xfrm>
          <a:off x="2852237" y="19623312"/>
          <a:ext cx="318953" cy="2051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700" baseline="0"/>
            <a:t>W</a:t>
          </a:r>
          <a:r>
            <a:rPr lang="en-US" sz="700" baseline="-25000"/>
            <a:t>D</a:t>
          </a:r>
          <a:r>
            <a:rPr lang="en-US" sz="700" baseline="0"/>
            <a:t> </a:t>
          </a:r>
        </a:p>
      </xdr:txBody>
    </xdr:sp>
    <xdr:clientData/>
  </xdr:twoCellAnchor>
  <xdr:twoCellAnchor>
    <xdr:from>
      <xdr:col>2</xdr:col>
      <xdr:colOff>678631</xdr:colOff>
      <xdr:row>116</xdr:row>
      <xdr:rowOff>161833</xdr:rowOff>
    </xdr:from>
    <xdr:to>
      <xdr:col>3</xdr:col>
      <xdr:colOff>212271</xdr:colOff>
      <xdr:row>118</xdr:row>
      <xdr:rowOff>1905</xdr:rowOff>
    </xdr:to>
    <xdr:sp macro="" textlink="">
      <xdr:nvSpPr>
        <xdr:cNvPr id="85" name="TextBox 84">
          <a:extLst>
            <a:ext uri="{FF2B5EF4-FFF2-40B4-BE49-F238E27FC236}">
              <a16:creationId xmlns:a16="http://schemas.microsoft.com/office/drawing/2014/main" id="{00000000-0008-0000-0200-000055000000}"/>
            </a:ext>
          </a:extLst>
        </xdr:cNvPr>
        <xdr:cNvSpPr txBox="1"/>
      </xdr:nvSpPr>
      <xdr:spPr>
        <a:xfrm>
          <a:off x="2730588" y="25378590"/>
          <a:ext cx="404497" cy="210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700" baseline="0"/>
            <a:t>W</a:t>
          </a:r>
          <a:r>
            <a:rPr lang="en-US" sz="700" baseline="-25000"/>
            <a:t>D</a:t>
          </a:r>
          <a:r>
            <a:rPr lang="en-US" sz="700" baseline="0"/>
            <a:t> </a:t>
          </a:r>
        </a:p>
      </xdr:txBody>
    </xdr:sp>
    <xdr:clientData/>
  </xdr:twoCellAnchor>
  <xdr:twoCellAnchor>
    <xdr:from>
      <xdr:col>4</xdr:col>
      <xdr:colOff>640080</xdr:colOff>
      <xdr:row>116</xdr:row>
      <xdr:rowOff>131445</xdr:rowOff>
    </xdr:from>
    <xdr:to>
      <xdr:col>4</xdr:col>
      <xdr:colOff>750570</xdr:colOff>
      <xdr:row>117</xdr:row>
      <xdr:rowOff>177165</xdr:rowOff>
    </xdr:to>
    <xdr:sp macro="" textlink="">
      <xdr:nvSpPr>
        <xdr:cNvPr id="190" name="Rectangle 189">
          <a:extLst>
            <a:ext uri="{FF2B5EF4-FFF2-40B4-BE49-F238E27FC236}">
              <a16:creationId xmlns:a16="http://schemas.microsoft.com/office/drawing/2014/main" id="{00000000-0008-0000-0200-0000BE000000}"/>
            </a:ext>
          </a:extLst>
        </xdr:cNvPr>
        <xdr:cNvSpPr/>
      </xdr:nvSpPr>
      <xdr:spPr bwMode="auto">
        <a:xfrm>
          <a:off x="5250180" y="19105245"/>
          <a:ext cx="110490" cy="228600"/>
        </a:xfrm>
        <a:prstGeom prst="rect">
          <a:avLst/>
        </a:prstGeom>
        <a:solidFill>
          <a:schemeClr val="accent3">
            <a:lumMod val="40000"/>
            <a:lumOff val="60000"/>
          </a:schemeClr>
        </a:solidFill>
        <a:ln w="317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US" sz="1100"/>
        </a:p>
      </xdr:txBody>
    </xdr:sp>
    <xdr:clientData/>
  </xdr:twoCellAnchor>
  <xdr:twoCellAnchor>
    <xdr:from>
      <xdr:col>4</xdr:col>
      <xdr:colOff>129540</xdr:colOff>
      <xdr:row>116</xdr:row>
      <xdr:rowOff>133350</xdr:rowOff>
    </xdr:from>
    <xdr:to>
      <xdr:col>4</xdr:col>
      <xdr:colOff>276860</xdr:colOff>
      <xdr:row>116</xdr:row>
      <xdr:rowOff>133350</xdr:rowOff>
    </xdr:to>
    <xdr:cxnSp macro="">
      <xdr:nvCxnSpPr>
        <xdr:cNvPr id="206" name="Straight Connector 205">
          <a:extLst>
            <a:ext uri="{FF2B5EF4-FFF2-40B4-BE49-F238E27FC236}">
              <a16:creationId xmlns:a16="http://schemas.microsoft.com/office/drawing/2014/main" id="{00000000-0008-0000-0200-0000CE000000}"/>
            </a:ext>
          </a:extLst>
        </xdr:cNvPr>
        <xdr:cNvCxnSpPr/>
      </xdr:nvCxnSpPr>
      <xdr:spPr bwMode="auto">
        <a:xfrm rot="10800000">
          <a:off x="4739640" y="19107150"/>
          <a:ext cx="147320" cy="0"/>
        </a:xfrm>
        <a:prstGeom prst="line">
          <a:avLst/>
        </a:prstGeom>
        <a:solidFill>
          <a:srgbClr val="FFFFFF"/>
        </a:solidFill>
        <a:ln w="3175" cap="flat" cmpd="sng" algn="ctr">
          <a:solidFill>
            <a:srgbClr val="000000"/>
          </a:solidFill>
          <a:prstDash val="solid"/>
          <a:round/>
          <a:headEnd type="none" w="med" len="med"/>
          <a:tailEnd type="none" w="med" len="med"/>
        </a:ln>
        <a:effectLst/>
      </xdr:spPr>
    </xdr:cxnSp>
    <xdr:clientData/>
  </xdr:twoCellAnchor>
  <xdr:twoCellAnchor>
    <xdr:from>
      <xdr:col>4</xdr:col>
      <xdr:colOff>297183</xdr:colOff>
      <xdr:row>118</xdr:row>
      <xdr:rowOff>12697</xdr:rowOff>
    </xdr:from>
    <xdr:to>
      <xdr:col>4</xdr:col>
      <xdr:colOff>297183</xdr:colOff>
      <xdr:row>120</xdr:row>
      <xdr:rowOff>3</xdr:rowOff>
    </xdr:to>
    <xdr:cxnSp macro="">
      <xdr:nvCxnSpPr>
        <xdr:cNvPr id="207" name="Straight Connector 206">
          <a:extLst>
            <a:ext uri="{FF2B5EF4-FFF2-40B4-BE49-F238E27FC236}">
              <a16:creationId xmlns:a16="http://schemas.microsoft.com/office/drawing/2014/main" id="{00000000-0008-0000-0200-0000CF000000}"/>
            </a:ext>
          </a:extLst>
        </xdr:cNvPr>
        <xdr:cNvCxnSpPr/>
      </xdr:nvCxnSpPr>
      <xdr:spPr bwMode="auto">
        <a:xfrm rot="5400000">
          <a:off x="4730750" y="19528790"/>
          <a:ext cx="353066" cy="0"/>
        </a:xfrm>
        <a:prstGeom prst="line">
          <a:avLst/>
        </a:prstGeom>
        <a:solidFill>
          <a:srgbClr val="FFFFFF"/>
        </a:solidFill>
        <a:ln w="3175" cap="flat" cmpd="sng" algn="ctr">
          <a:solidFill>
            <a:srgbClr val="000000"/>
          </a:solidFill>
          <a:prstDash val="solid"/>
          <a:round/>
          <a:headEnd type="none" w="med" len="med"/>
          <a:tailEnd type="none" w="med" len="med"/>
        </a:ln>
        <a:effectLst/>
      </xdr:spPr>
    </xdr:cxnSp>
    <xdr:clientData/>
  </xdr:twoCellAnchor>
  <xdr:twoCellAnchor>
    <xdr:from>
      <xdr:col>4</xdr:col>
      <xdr:colOff>129540</xdr:colOff>
      <xdr:row>117</xdr:row>
      <xdr:rowOff>179070</xdr:rowOff>
    </xdr:from>
    <xdr:to>
      <xdr:col>4</xdr:col>
      <xdr:colOff>276860</xdr:colOff>
      <xdr:row>117</xdr:row>
      <xdr:rowOff>179070</xdr:rowOff>
    </xdr:to>
    <xdr:cxnSp macro="">
      <xdr:nvCxnSpPr>
        <xdr:cNvPr id="208" name="Straight Connector 207">
          <a:extLst>
            <a:ext uri="{FF2B5EF4-FFF2-40B4-BE49-F238E27FC236}">
              <a16:creationId xmlns:a16="http://schemas.microsoft.com/office/drawing/2014/main" id="{00000000-0008-0000-0200-0000D0000000}"/>
            </a:ext>
          </a:extLst>
        </xdr:cNvPr>
        <xdr:cNvCxnSpPr/>
      </xdr:nvCxnSpPr>
      <xdr:spPr bwMode="auto">
        <a:xfrm rot="10800000">
          <a:off x="4739640" y="19335750"/>
          <a:ext cx="147320" cy="0"/>
        </a:xfrm>
        <a:prstGeom prst="line">
          <a:avLst/>
        </a:prstGeom>
        <a:solidFill>
          <a:srgbClr val="FFFFFF"/>
        </a:solidFill>
        <a:ln w="3175" cap="flat" cmpd="sng" algn="ctr">
          <a:solidFill>
            <a:srgbClr val="000000"/>
          </a:solidFill>
          <a:prstDash val="solid"/>
          <a:round/>
          <a:headEnd type="none" w="med" len="med"/>
          <a:tailEnd type="none" w="med" len="med"/>
        </a:ln>
        <a:effectLst/>
      </xdr:spPr>
    </xdr:cxnSp>
    <xdr:clientData/>
  </xdr:twoCellAnchor>
  <xdr:twoCellAnchor>
    <xdr:from>
      <xdr:col>4</xdr:col>
      <xdr:colOff>751840</xdr:colOff>
      <xdr:row>118</xdr:row>
      <xdr:rowOff>13970</xdr:rowOff>
    </xdr:from>
    <xdr:to>
      <xdr:col>4</xdr:col>
      <xdr:colOff>751840</xdr:colOff>
      <xdr:row>118</xdr:row>
      <xdr:rowOff>144780</xdr:rowOff>
    </xdr:to>
    <xdr:cxnSp macro="">
      <xdr:nvCxnSpPr>
        <xdr:cNvPr id="209" name="Straight Connector 208">
          <a:extLst>
            <a:ext uri="{FF2B5EF4-FFF2-40B4-BE49-F238E27FC236}">
              <a16:creationId xmlns:a16="http://schemas.microsoft.com/office/drawing/2014/main" id="{00000000-0008-0000-0200-0000D1000000}"/>
            </a:ext>
          </a:extLst>
        </xdr:cNvPr>
        <xdr:cNvCxnSpPr/>
      </xdr:nvCxnSpPr>
      <xdr:spPr bwMode="auto">
        <a:xfrm rot="5400000">
          <a:off x="5296535" y="19418935"/>
          <a:ext cx="130810" cy="0"/>
        </a:xfrm>
        <a:prstGeom prst="line">
          <a:avLst/>
        </a:prstGeom>
        <a:solidFill>
          <a:srgbClr val="FFFFFF"/>
        </a:solidFill>
        <a:ln w="3175" cap="flat" cmpd="sng" algn="ctr">
          <a:solidFill>
            <a:srgbClr val="000000"/>
          </a:solidFill>
          <a:prstDash val="solid"/>
          <a:round/>
          <a:headEnd type="none" w="med" len="med"/>
          <a:tailEnd type="none" w="med" len="med"/>
        </a:ln>
        <a:effectLst/>
      </xdr:spPr>
    </xdr:cxnSp>
    <xdr:clientData/>
  </xdr:twoCellAnchor>
  <xdr:twoCellAnchor>
    <xdr:from>
      <xdr:col>5</xdr:col>
      <xdr:colOff>330838</xdr:colOff>
      <xdr:row>118</xdr:row>
      <xdr:rowOff>10157</xdr:rowOff>
    </xdr:from>
    <xdr:to>
      <xdr:col>5</xdr:col>
      <xdr:colOff>330838</xdr:colOff>
      <xdr:row>120</xdr:row>
      <xdr:rowOff>7623</xdr:rowOff>
    </xdr:to>
    <xdr:cxnSp macro="">
      <xdr:nvCxnSpPr>
        <xdr:cNvPr id="210" name="Straight Connector 209">
          <a:extLst>
            <a:ext uri="{FF2B5EF4-FFF2-40B4-BE49-F238E27FC236}">
              <a16:creationId xmlns:a16="http://schemas.microsoft.com/office/drawing/2014/main" id="{00000000-0008-0000-0200-0000D2000000}"/>
            </a:ext>
          </a:extLst>
        </xdr:cNvPr>
        <xdr:cNvCxnSpPr/>
      </xdr:nvCxnSpPr>
      <xdr:spPr bwMode="auto">
        <a:xfrm rot="5400000">
          <a:off x="5536565" y="19531330"/>
          <a:ext cx="363226" cy="0"/>
        </a:xfrm>
        <a:prstGeom prst="line">
          <a:avLst/>
        </a:prstGeom>
        <a:solidFill>
          <a:srgbClr val="FFFFFF"/>
        </a:solidFill>
        <a:ln w="3175" cap="flat" cmpd="sng" algn="ctr">
          <a:solidFill>
            <a:srgbClr val="000000"/>
          </a:solidFill>
          <a:prstDash val="solid"/>
          <a:round/>
          <a:headEnd type="none" w="med" len="med"/>
          <a:tailEnd type="none" w="med" len="med"/>
        </a:ln>
        <a:effectLst/>
      </xdr:spPr>
    </xdr:cxnSp>
    <xdr:clientData/>
  </xdr:twoCellAnchor>
  <xdr:twoCellAnchor>
    <xdr:from>
      <xdr:col>4</xdr:col>
      <xdr:colOff>197326</xdr:colOff>
      <xdr:row>116</xdr:row>
      <xdr:rowOff>134144</xdr:rowOff>
    </xdr:from>
    <xdr:to>
      <xdr:col>4</xdr:col>
      <xdr:colOff>198914</xdr:colOff>
      <xdr:row>117</xdr:row>
      <xdr:rowOff>179864</xdr:rowOff>
    </xdr:to>
    <xdr:cxnSp macro="">
      <xdr:nvCxnSpPr>
        <xdr:cNvPr id="211" name="Straight Arrow Connector 210">
          <a:extLst>
            <a:ext uri="{FF2B5EF4-FFF2-40B4-BE49-F238E27FC236}">
              <a16:creationId xmlns:a16="http://schemas.microsoft.com/office/drawing/2014/main" id="{00000000-0008-0000-0200-0000D3000000}"/>
            </a:ext>
          </a:extLst>
        </xdr:cNvPr>
        <xdr:cNvCxnSpPr/>
      </xdr:nvCxnSpPr>
      <xdr:spPr bwMode="auto">
        <a:xfrm rot="5400000">
          <a:off x="4693920" y="19221450"/>
          <a:ext cx="228600" cy="1588"/>
        </a:xfrm>
        <a:prstGeom prst="straightConnector1">
          <a:avLst/>
        </a:prstGeom>
        <a:solidFill>
          <a:srgbClr val="FFFFFF"/>
        </a:solidFill>
        <a:ln w="3175" cap="flat" cmpd="sng" algn="ctr">
          <a:solidFill>
            <a:srgbClr val="000000"/>
          </a:solidFill>
          <a:prstDash val="solid"/>
          <a:round/>
          <a:headEnd type="stealth" w="sm" len="sm"/>
          <a:tailEnd type="stealth" w="sm" len="sm"/>
        </a:ln>
        <a:effectLst/>
      </xdr:spPr>
    </xdr:cxnSp>
    <xdr:clientData/>
  </xdr:twoCellAnchor>
  <xdr:twoCellAnchor>
    <xdr:from>
      <xdr:col>4</xdr:col>
      <xdr:colOff>297180</xdr:colOff>
      <xdr:row>118</xdr:row>
      <xdr:rowOff>106680</xdr:rowOff>
    </xdr:from>
    <xdr:to>
      <xdr:col>4</xdr:col>
      <xdr:colOff>752475</xdr:colOff>
      <xdr:row>118</xdr:row>
      <xdr:rowOff>106682</xdr:rowOff>
    </xdr:to>
    <xdr:cxnSp macro="">
      <xdr:nvCxnSpPr>
        <xdr:cNvPr id="212" name="Straight Arrow Connector 211">
          <a:extLst>
            <a:ext uri="{FF2B5EF4-FFF2-40B4-BE49-F238E27FC236}">
              <a16:creationId xmlns:a16="http://schemas.microsoft.com/office/drawing/2014/main" id="{00000000-0008-0000-0200-0000D4000000}"/>
            </a:ext>
          </a:extLst>
        </xdr:cNvPr>
        <xdr:cNvCxnSpPr/>
      </xdr:nvCxnSpPr>
      <xdr:spPr bwMode="auto">
        <a:xfrm flipV="1">
          <a:off x="4907280" y="19446240"/>
          <a:ext cx="455295" cy="2"/>
        </a:xfrm>
        <a:prstGeom prst="straightConnector1">
          <a:avLst/>
        </a:prstGeom>
        <a:solidFill>
          <a:srgbClr val="FFFFFF"/>
        </a:solidFill>
        <a:ln w="3175" cap="flat" cmpd="sng" algn="ctr">
          <a:solidFill>
            <a:srgbClr val="000000"/>
          </a:solidFill>
          <a:prstDash val="solid"/>
          <a:round/>
          <a:headEnd type="stealth" w="sm" len="sm"/>
          <a:tailEnd type="stealth" w="sm" len="sm"/>
        </a:ln>
        <a:effectLst/>
      </xdr:spPr>
    </xdr:cxnSp>
    <xdr:clientData/>
  </xdr:twoCellAnchor>
  <xdr:twoCellAnchor>
    <xdr:from>
      <xdr:col>4</xdr:col>
      <xdr:colOff>640080</xdr:colOff>
      <xdr:row>118</xdr:row>
      <xdr:rowOff>179388</xdr:rowOff>
    </xdr:from>
    <xdr:to>
      <xdr:col>5</xdr:col>
      <xdr:colOff>327025</xdr:colOff>
      <xdr:row>118</xdr:row>
      <xdr:rowOff>180976</xdr:rowOff>
    </xdr:to>
    <xdr:cxnSp macro="">
      <xdr:nvCxnSpPr>
        <xdr:cNvPr id="213" name="Straight Arrow Connector 212">
          <a:extLst>
            <a:ext uri="{FF2B5EF4-FFF2-40B4-BE49-F238E27FC236}">
              <a16:creationId xmlns:a16="http://schemas.microsoft.com/office/drawing/2014/main" id="{00000000-0008-0000-0200-0000D5000000}"/>
            </a:ext>
          </a:extLst>
        </xdr:cNvPr>
        <xdr:cNvCxnSpPr/>
      </xdr:nvCxnSpPr>
      <xdr:spPr bwMode="auto">
        <a:xfrm>
          <a:off x="5250180" y="19518948"/>
          <a:ext cx="464185" cy="1588"/>
        </a:xfrm>
        <a:prstGeom prst="straightConnector1">
          <a:avLst/>
        </a:prstGeom>
        <a:solidFill>
          <a:srgbClr val="FFFFFF"/>
        </a:solidFill>
        <a:ln w="3175" cap="flat" cmpd="sng" algn="ctr">
          <a:solidFill>
            <a:srgbClr val="000000"/>
          </a:solidFill>
          <a:prstDash val="solid"/>
          <a:round/>
          <a:headEnd type="stealth" w="sm" len="sm"/>
          <a:tailEnd type="stealth" w="sm" len="sm"/>
        </a:ln>
        <a:effectLst/>
      </xdr:spPr>
    </xdr:cxnSp>
    <xdr:clientData/>
  </xdr:twoCellAnchor>
  <xdr:twoCellAnchor>
    <xdr:from>
      <xdr:col>4</xdr:col>
      <xdr:colOff>1723</xdr:colOff>
      <xdr:row>116</xdr:row>
      <xdr:rowOff>147228</xdr:rowOff>
    </xdr:from>
    <xdr:to>
      <xdr:col>4</xdr:col>
      <xdr:colOff>260985</xdr:colOff>
      <xdr:row>117</xdr:row>
      <xdr:rowOff>142874</xdr:rowOff>
    </xdr:to>
    <xdr:sp macro="" textlink="">
      <xdr:nvSpPr>
        <xdr:cNvPr id="214" name="TextBox 213">
          <a:extLst>
            <a:ext uri="{FF2B5EF4-FFF2-40B4-BE49-F238E27FC236}">
              <a16:creationId xmlns:a16="http://schemas.microsoft.com/office/drawing/2014/main" id="{00000000-0008-0000-0200-0000D6000000}"/>
            </a:ext>
          </a:extLst>
        </xdr:cNvPr>
        <xdr:cNvSpPr txBox="1"/>
      </xdr:nvSpPr>
      <xdr:spPr>
        <a:xfrm>
          <a:off x="4611823" y="19121028"/>
          <a:ext cx="259262" cy="1785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700" baseline="0"/>
            <a:t>L</a:t>
          </a:r>
          <a:r>
            <a:rPr lang="en-US" sz="700" baseline="-25000"/>
            <a:t>D</a:t>
          </a:r>
          <a:r>
            <a:rPr lang="en-US" sz="700" baseline="0"/>
            <a:t> </a:t>
          </a:r>
        </a:p>
      </xdr:txBody>
    </xdr:sp>
    <xdr:clientData/>
  </xdr:twoCellAnchor>
  <xdr:twoCellAnchor>
    <xdr:from>
      <xdr:col>4</xdr:col>
      <xdr:colOff>369387</xdr:colOff>
      <xdr:row>117</xdr:row>
      <xdr:rowOff>125003</xdr:rowOff>
    </xdr:from>
    <xdr:to>
      <xdr:col>4</xdr:col>
      <xdr:colOff>688340</xdr:colOff>
      <xdr:row>118</xdr:row>
      <xdr:rowOff>120649</xdr:rowOff>
    </xdr:to>
    <xdr:sp macro="" textlink="">
      <xdr:nvSpPr>
        <xdr:cNvPr id="215" name="TextBox 214">
          <a:extLst>
            <a:ext uri="{FF2B5EF4-FFF2-40B4-BE49-F238E27FC236}">
              <a16:creationId xmlns:a16="http://schemas.microsoft.com/office/drawing/2014/main" id="{00000000-0008-0000-0200-0000D7000000}"/>
            </a:ext>
          </a:extLst>
        </xdr:cNvPr>
        <xdr:cNvSpPr txBox="1"/>
      </xdr:nvSpPr>
      <xdr:spPr>
        <a:xfrm>
          <a:off x="4979487" y="19769363"/>
          <a:ext cx="318953" cy="1785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700" baseline="0"/>
            <a:t>W</a:t>
          </a:r>
          <a:r>
            <a:rPr lang="en-US" sz="700" baseline="-25000"/>
            <a:t>D</a:t>
          </a:r>
          <a:r>
            <a:rPr lang="en-US" sz="700" baseline="0"/>
            <a:t> </a:t>
          </a:r>
        </a:p>
      </xdr:txBody>
    </xdr:sp>
    <xdr:clientData/>
  </xdr:twoCellAnchor>
  <xdr:twoCellAnchor>
    <xdr:from>
      <xdr:col>5</xdr:col>
      <xdr:colOff>2175</xdr:colOff>
      <xdr:row>118</xdr:row>
      <xdr:rowOff>9433</xdr:rowOff>
    </xdr:from>
    <xdr:to>
      <xdr:col>5</xdr:col>
      <xdr:colOff>424542</xdr:colOff>
      <xdr:row>119</xdr:row>
      <xdr:rowOff>5079</xdr:rowOff>
    </xdr:to>
    <xdr:sp macro="" textlink="">
      <xdr:nvSpPr>
        <xdr:cNvPr id="216" name="TextBox 215">
          <a:extLst>
            <a:ext uri="{FF2B5EF4-FFF2-40B4-BE49-F238E27FC236}">
              <a16:creationId xmlns:a16="http://schemas.microsoft.com/office/drawing/2014/main" id="{00000000-0008-0000-0200-0000D8000000}"/>
            </a:ext>
          </a:extLst>
        </xdr:cNvPr>
        <xdr:cNvSpPr txBox="1"/>
      </xdr:nvSpPr>
      <xdr:spPr>
        <a:xfrm>
          <a:off x="4487089" y="25596304"/>
          <a:ext cx="422367" cy="180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700" baseline="0"/>
            <a:t>W</a:t>
          </a:r>
          <a:r>
            <a:rPr lang="en-US" sz="700" baseline="-25000"/>
            <a:t>D</a:t>
          </a:r>
          <a:r>
            <a:rPr lang="en-US" sz="700" baseline="0"/>
            <a:t> </a:t>
          </a:r>
        </a:p>
      </xdr:txBody>
    </xdr:sp>
    <xdr:clientData/>
  </xdr:twoCellAnchor>
  <xdr:twoCellAnchor>
    <xdr:from>
      <xdr:col>4</xdr:col>
      <xdr:colOff>641350</xdr:colOff>
      <xdr:row>118</xdr:row>
      <xdr:rowOff>17780</xdr:rowOff>
    </xdr:from>
    <xdr:to>
      <xdr:col>4</xdr:col>
      <xdr:colOff>641350</xdr:colOff>
      <xdr:row>119</xdr:row>
      <xdr:rowOff>34290</xdr:rowOff>
    </xdr:to>
    <xdr:cxnSp macro="">
      <xdr:nvCxnSpPr>
        <xdr:cNvPr id="217" name="Straight Connector 216">
          <a:extLst>
            <a:ext uri="{FF2B5EF4-FFF2-40B4-BE49-F238E27FC236}">
              <a16:creationId xmlns:a16="http://schemas.microsoft.com/office/drawing/2014/main" id="{00000000-0008-0000-0200-0000D9000000}"/>
            </a:ext>
          </a:extLst>
        </xdr:cNvPr>
        <xdr:cNvCxnSpPr/>
      </xdr:nvCxnSpPr>
      <xdr:spPr bwMode="auto">
        <a:xfrm rot="5400000">
          <a:off x="5151755" y="19457035"/>
          <a:ext cx="199390" cy="0"/>
        </a:xfrm>
        <a:prstGeom prst="line">
          <a:avLst/>
        </a:prstGeom>
        <a:solidFill>
          <a:srgbClr val="FFFFFF"/>
        </a:solidFill>
        <a:ln w="3175" cap="flat" cmpd="sng" algn="ctr">
          <a:solidFill>
            <a:srgbClr val="000000"/>
          </a:solidFill>
          <a:prstDash val="solid"/>
          <a:round/>
          <a:headEnd type="none" w="med" len="med"/>
          <a:tailEnd type="none" w="med" len="med"/>
        </a:ln>
        <a:effectLst/>
      </xdr:spPr>
    </xdr:cxnSp>
    <xdr:clientData/>
  </xdr:twoCellAnchor>
  <xdr:twoCellAnchor>
    <xdr:from>
      <xdr:col>4</xdr:col>
      <xdr:colOff>295275</xdr:colOff>
      <xdr:row>119</xdr:row>
      <xdr:rowOff>146368</xdr:rowOff>
    </xdr:from>
    <xdr:to>
      <xdr:col>5</xdr:col>
      <xdr:colOff>335280</xdr:colOff>
      <xdr:row>119</xdr:row>
      <xdr:rowOff>147956</xdr:rowOff>
    </xdr:to>
    <xdr:cxnSp macro="">
      <xdr:nvCxnSpPr>
        <xdr:cNvPr id="232" name="Straight Arrow Connector 231">
          <a:extLst>
            <a:ext uri="{FF2B5EF4-FFF2-40B4-BE49-F238E27FC236}">
              <a16:creationId xmlns:a16="http://schemas.microsoft.com/office/drawing/2014/main" id="{00000000-0008-0000-0200-0000E8000000}"/>
            </a:ext>
          </a:extLst>
        </xdr:cNvPr>
        <xdr:cNvCxnSpPr/>
      </xdr:nvCxnSpPr>
      <xdr:spPr bwMode="auto">
        <a:xfrm>
          <a:off x="4905375" y="19668808"/>
          <a:ext cx="817245" cy="1588"/>
        </a:xfrm>
        <a:prstGeom prst="straightConnector1">
          <a:avLst/>
        </a:prstGeom>
        <a:solidFill>
          <a:srgbClr val="FFFFFF"/>
        </a:solidFill>
        <a:ln w="3175" cap="flat" cmpd="sng" algn="ctr">
          <a:solidFill>
            <a:srgbClr val="000000"/>
          </a:solidFill>
          <a:prstDash val="solid"/>
          <a:round/>
          <a:headEnd type="stealth" w="sm" len="sm"/>
          <a:tailEnd type="stealth" w="sm" len="sm"/>
        </a:ln>
        <a:effectLst/>
      </xdr:spPr>
    </xdr:cxnSp>
    <xdr:clientData/>
  </xdr:twoCellAnchor>
  <xdr:twoCellAnchor>
    <xdr:from>
      <xdr:col>4</xdr:col>
      <xdr:colOff>490671</xdr:colOff>
      <xdr:row>118</xdr:row>
      <xdr:rowOff>150402</xdr:rowOff>
    </xdr:from>
    <xdr:to>
      <xdr:col>5</xdr:col>
      <xdr:colOff>457200</xdr:colOff>
      <xdr:row>119</xdr:row>
      <xdr:rowOff>182879</xdr:rowOff>
    </xdr:to>
    <xdr:sp macro="" textlink="">
      <xdr:nvSpPr>
        <xdr:cNvPr id="237" name="TextBox 236">
          <a:extLst>
            <a:ext uri="{FF2B5EF4-FFF2-40B4-BE49-F238E27FC236}">
              <a16:creationId xmlns:a16="http://schemas.microsoft.com/office/drawing/2014/main" id="{00000000-0008-0000-0200-0000ED000000}"/>
            </a:ext>
          </a:extLst>
        </xdr:cNvPr>
        <xdr:cNvSpPr txBox="1"/>
      </xdr:nvSpPr>
      <xdr:spPr>
        <a:xfrm>
          <a:off x="4268014" y="25737273"/>
          <a:ext cx="674100" cy="2175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700" baseline="0"/>
            <a:t>W</a:t>
          </a:r>
          <a:r>
            <a:rPr lang="en-US" sz="700" baseline="-25000"/>
            <a:t>D (total)</a:t>
          </a:r>
          <a:r>
            <a:rPr lang="en-US" sz="700" baseline="0"/>
            <a:t> </a:t>
          </a:r>
        </a:p>
      </xdr:txBody>
    </xdr:sp>
    <xdr:clientData/>
  </xdr:twoCellAnchor>
  <xdr:twoCellAnchor>
    <xdr:from>
      <xdr:col>2</xdr:col>
      <xdr:colOff>116840</xdr:colOff>
      <xdr:row>118</xdr:row>
      <xdr:rowOff>102870</xdr:rowOff>
    </xdr:from>
    <xdr:to>
      <xdr:col>3</xdr:col>
      <xdr:colOff>359229</xdr:colOff>
      <xdr:row>120</xdr:row>
      <xdr:rowOff>114300</xdr:rowOff>
    </xdr:to>
    <xdr:sp macro="" textlink="">
      <xdr:nvSpPr>
        <xdr:cNvPr id="240" name="TextBox 239">
          <a:extLst>
            <a:ext uri="{FF2B5EF4-FFF2-40B4-BE49-F238E27FC236}">
              <a16:creationId xmlns:a16="http://schemas.microsoft.com/office/drawing/2014/main" id="{00000000-0008-0000-0200-0000F0000000}"/>
            </a:ext>
          </a:extLst>
        </xdr:cNvPr>
        <xdr:cNvSpPr txBox="1"/>
      </xdr:nvSpPr>
      <xdr:spPr>
        <a:xfrm>
          <a:off x="2168797" y="25689741"/>
          <a:ext cx="1113246" cy="3815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700" b="1" u="sng"/>
            <a:t>Distributed Load</a:t>
          </a:r>
          <a:r>
            <a:rPr lang="en-US" sz="700" b="1" u="sng" baseline="0"/>
            <a:t> Area</a:t>
          </a:r>
        </a:p>
        <a:p>
          <a:r>
            <a:rPr lang="en-US" sz="700" b="0" u="none" baseline="0"/>
            <a:t>       (no overlapping)</a:t>
          </a:r>
          <a:endParaRPr lang="en-US" sz="700" b="0" u="none"/>
        </a:p>
      </xdr:txBody>
    </xdr:sp>
    <xdr:clientData/>
  </xdr:twoCellAnchor>
  <xdr:twoCellAnchor>
    <xdr:from>
      <xdr:col>3</xdr:col>
      <xdr:colOff>370840</xdr:colOff>
      <xdr:row>119</xdr:row>
      <xdr:rowOff>180340</xdr:rowOff>
    </xdr:from>
    <xdr:to>
      <xdr:col>7</xdr:col>
      <xdr:colOff>243840</xdr:colOff>
      <xdr:row>121</xdr:row>
      <xdr:rowOff>80010</xdr:rowOff>
    </xdr:to>
    <xdr:sp macro="" textlink="">
      <xdr:nvSpPr>
        <xdr:cNvPr id="241" name="TextBox 240">
          <a:extLst>
            <a:ext uri="{FF2B5EF4-FFF2-40B4-BE49-F238E27FC236}">
              <a16:creationId xmlns:a16="http://schemas.microsoft.com/office/drawing/2014/main" id="{00000000-0008-0000-0200-0000F1000000}"/>
            </a:ext>
          </a:extLst>
        </xdr:cNvPr>
        <xdr:cNvSpPr txBox="1"/>
      </xdr:nvSpPr>
      <xdr:spPr>
        <a:xfrm>
          <a:off x="4066540" y="20640040"/>
          <a:ext cx="2501900" cy="372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n-US" sz="700" b="1" u="sng"/>
            <a:t>Wheel loads distributed  area</a:t>
          </a:r>
        </a:p>
        <a:p>
          <a:pPr marL="0" marR="0" indent="0" algn="ctr" defTabSz="914400" eaLnBrk="1" fontAlgn="auto" latinLnBrk="0" hangingPunct="1">
            <a:lnSpc>
              <a:spcPct val="100000"/>
            </a:lnSpc>
            <a:spcBef>
              <a:spcPts val="0"/>
            </a:spcBef>
            <a:spcAft>
              <a:spcPts val="0"/>
            </a:spcAft>
            <a:buClrTx/>
            <a:buSzTx/>
            <a:buFontTx/>
            <a:buNone/>
            <a:tabLst/>
            <a:defRPr/>
          </a:pPr>
          <a:r>
            <a:rPr lang="en-US" sz="700" b="0">
              <a:solidFill>
                <a:schemeClr val="dk1"/>
              </a:solidFill>
              <a:latin typeface="+mn-lt"/>
              <a:ea typeface="+mn-ea"/>
              <a:cs typeface="+mn-cs"/>
            </a:rPr>
            <a:t>(overlapping perpendicular to</a:t>
          </a:r>
          <a:r>
            <a:rPr lang="en-US" sz="700" b="0" baseline="0">
              <a:solidFill>
                <a:schemeClr val="dk1"/>
              </a:solidFill>
              <a:latin typeface="+mn-lt"/>
              <a:ea typeface="+mn-ea"/>
              <a:cs typeface="+mn-cs"/>
            </a:rPr>
            <a:t> the direction of travel</a:t>
          </a:r>
          <a:r>
            <a:rPr lang="en-US" sz="700" b="0">
              <a:solidFill>
                <a:schemeClr val="dk1"/>
              </a:solidFill>
              <a:latin typeface="+mn-lt"/>
              <a:ea typeface="+mn-ea"/>
              <a:cs typeface="+mn-cs"/>
            </a:rPr>
            <a:t>)</a:t>
          </a:r>
          <a:r>
            <a:rPr lang="en-US" sz="700" b="0" baseline="0">
              <a:solidFill>
                <a:schemeClr val="dk1"/>
              </a:solidFill>
              <a:latin typeface="+mn-lt"/>
              <a:ea typeface="+mn-ea"/>
              <a:cs typeface="+mn-cs"/>
            </a:rPr>
            <a:t> </a:t>
          </a:r>
          <a:endParaRPr lang="en-US" sz="700" b="0"/>
        </a:p>
        <a:p>
          <a:pPr algn="ctr"/>
          <a:endParaRPr lang="en-US" sz="700" b="1" u="none" baseline="0"/>
        </a:p>
      </xdr:txBody>
    </xdr:sp>
    <xdr:clientData/>
  </xdr:twoCellAnchor>
  <xdr:twoCellAnchor>
    <xdr:from>
      <xdr:col>4</xdr:col>
      <xdr:colOff>306070</xdr:colOff>
      <xdr:row>116</xdr:row>
      <xdr:rowOff>151130</xdr:rowOff>
    </xdr:from>
    <xdr:to>
      <xdr:col>4</xdr:col>
      <xdr:colOff>625023</xdr:colOff>
      <xdr:row>117</xdr:row>
      <xdr:rowOff>146776</xdr:rowOff>
    </xdr:to>
    <xdr:sp macro="" textlink="">
      <xdr:nvSpPr>
        <xdr:cNvPr id="242" name="TextBox 241">
          <a:extLst>
            <a:ext uri="{FF2B5EF4-FFF2-40B4-BE49-F238E27FC236}">
              <a16:creationId xmlns:a16="http://schemas.microsoft.com/office/drawing/2014/main" id="{00000000-0008-0000-0200-0000F2000000}"/>
            </a:ext>
          </a:extLst>
        </xdr:cNvPr>
        <xdr:cNvSpPr txBox="1"/>
      </xdr:nvSpPr>
      <xdr:spPr>
        <a:xfrm>
          <a:off x="4916170" y="19124930"/>
          <a:ext cx="318953" cy="1785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700" baseline="0"/>
            <a:t>P</a:t>
          </a:r>
          <a:endParaRPr lang="en-US" sz="700" baseline="-25000"/>
        </a:p>
      </xdr:txBody>
    </xdr:sp>
    <xdr:clientData/>
  </xdr:twoCellAnchor>
  <xdr:twoCellAnchor>
    <xdr:from>
      <xdr:col>5</xdr:col>
      <xdr:colOff>88900</xdr:colOff>
      <xdr:row>116</xdr:row>
      <xdr:rowOff>156210</xdr:rowOff>
    </xdr:from>
    <xdr:to>
      <xdr:col>5</xdr:col>
      <xdr:colOff>407853</xdr:colOff>
      <xdr:row>117</xdr:row>
      <xdr:rowOff>151856</xdr:rowOff>
    </xdr:to>
    <xdr:sp macro="" textlink="">
      <xdr:nvSpPr>
        <xdr:cNvPr id="243" name="TextBox 242">
          <a:extLst>
            <a:ext uri="{FF2B5EF4-FFF2-40B4-BE49-F238E27FC236}">
              <a16:creationId xmlns:a16="http://schemas.microsoft.com/office/drawing/2014/main" id="{00000000-0008-0000-0200-0000F3000000}"/>
            </a:ext>
          </a:extLst>
        </xdr:cNvPr>
        <xdr:cNvSpPr txBox="1"/>
      </xdr:nvSpPr>
      <xdr:spPr>
        <a:xfrm>
          <a:off x="5476240" y="19130010"/>
          <a:ext cx="318953" cy="1785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700" baseline="0"/>
            <a:t>P</a:t>
          </a:r>
          <a:endParaRPr lang="en-US" sz="700" baseline="-25000"/>
        </a:p>
      </xdr:txBody>
    </xdr:sp>
    <xdr:clientData/>
  </xdr:twoCellAnchor>
  <xdr:twoCellAnchor>
    <xdr:from>
      <xdr:col>2</xdr:col>
      <xdr:colOff>337821</xdr:colOff>
      <xdr:row>115</xdr:row>
      <xdr:rowOff>66040</xdr:rowOff>
    </xdr:from>
    <xdr:to>
      <xdr:col>2</xdr:col>
      <xdr:colOff>383540</xdr:colOff>
      <xdr:row>115</xdr:row>
      <xdr:rowOff>111759</xdr:rowOff>
    </xdr:to>
    <xdr:sp macro="" textlink="">
      <xdr:nvSpPr>
        <xdr:cNvPr id="244" name="Oval 243">
          <a:extLst>
            <a:ext uri="{FF2B5EF4-FFF2-40B4-BE49-F238E27FC236}">
              <a16:creationId xmlns:a16="http://schemas.microsoft.com/office/drawing/2014/main" id="{00000000-0008-0000-0200-0000F4000000}"/>
            </a:ext>
          </a:extLst>
        </xdr:cNvPr>
        <xdr:cNvSpPr/>
      </xdr:nvSpPr>
      <xdr:spPr bwMode="auto">
        <a:xfrm>
          <a:off x="2936241" y="18856960"/>
          <a:ext cx="45719" cy="45719"/>
        </a:xfrm>
        <a:prstGeom prst="ellipse">
          <a:avLst/>
        </a:prstGeom>
        <a:solidFill>
          <a:srgbClr val="FF00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lang="en-US" sz="1100"/>
        </a:p>
      </xdr:txBody>
    </xdr:sp>
    <xdr:clientData/>
  </xdr:twoCellAnchor>
  <xdr:twoCellAnchor>
    <xdr:from>
      <xdr:col>2</xdr:col>
      <xdr:colOff>805181</xdr:colOff>
      <xdr:row>115</xdr:row>
      <xdr:rowOff>66040</xdr:rowOff>
    </xdr:from>
    <xdr:to>
      <xdr:col>2</xdr:col>
      <xdr:colOff>850900</xdr:colOff>
      <xdr:row>115</xdr:row>
      <xdr:rowOff>111759</xdr:rowOff>
    </xdr:to>
    <xdr:sp macro="" textlink="">
      <xdr:nvSpPr>
        <xdr:cNvPr id="249" name="Oval 248">
          <a:extLst>
            <a:ext uri="{FF2B5EF4-FFF2-40B4-BE49-F238E27FC236}">
              <a16:creationId xmlns:a16="http://schemas.microsoft.com/office/drawing/2014/main" id="{00000000-0008-0000-0200-0000F9000000}"/>
            </a:ext>
          </a:extLst>
        </xdr:cNvPr>
        <xdr:cNvSpPr/>
      </xdr:nvSpPr>
      <xdr:spPr bwMode="auto">
        <a:xfrm>
          <a:off x="3403601" y="18856960"/>
          <a:ext cx="45719" cy="45719"/>
        </a:xfrm>
        <a:prstGeom prst="ellipse">
          <a:avLst/>
        </a:prstGeom>
        <a:solidFill>
          <a:srgbClr val="FF00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lang="en-US" sz="1100"/>
        </a:p>
      </xdr:txBody>
    </xdr:sp>
    <xdr:clientData/>
  </xdr:twoCellAnchor>
  <xdr:twoCellAnchor>
    <xdr:from>
      <xdr:col>2</xdr:col>
      <xdr:colOff>130810</xdr:colOff>
      <xdr:row>113</xdr:row>
      <xdr:rowOff>15240</xdr:rowOff>
    </xdr:from>
    <xdr:to>
      <xdr:col>2</xdr:col>
      <xdr:colOff>588010</xdr:colOff>
      <xdr:row>114</xdr:row>
      <xdr:rowOff>60960</xdr:rowOff>
    </xdr:to>
    <xdr:sp macro="" textlink="">
      <xdr:nvSpPr>
        <xdr:cNvPr id="250" name="Rectangle 249">
          <a:extLst>
            <a:ext uri="{FF2B5EF4-FFF2-40B4-BE49-F238E27FC236}">
              <a16:creationId xmlns:a16="http://schemas.microsoft.com/office/drawing/2014/main" id="{00000000-0008-0000-0200-0000FA000000}"/>
            </a:ext>
          </a:extLst>
        </xdr:cNvPr>
        <xdr:cNvSpPr/>
      </xdr:nvSpPr>
      <xdr:spPr bwMode="auto">
        <a:xfrm>
          <a:off x="2729230" y="18440400"/>
          <a:ext cx="457200" cy="228600"/>
        </a:xfrm>
        <a:prstGeom prst="rect">
          <a:avLst/>
        </a:prstGeom>
        <a:solidFill>
          <a:schemeClr val="accent1">
            <a:lumMod val="40000"/>
            <a:lumOff val="60000"/>
          </a:schemeClr>
        </a:solidFill>
        <a:ln w="317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US" sz="1100"/>
        </a:p>
      </xdr:txBody>
    </xdr:sp>
    <xdr:clientData/>
  </xdr:twoCellAnchor>
  <xdr:twoCellAnchor>
    <xdr:from>
      <xdr:col>2</xdr:col>
      <xdr:colOff>605154</xdr:colOff>
      <xdr:row>113</xdr:row>
      <xdr:rowOff>15240</xdr:rowOff>
    </xdr:from>
    <xdr:to>
      <xdr:col>3</xdr:col>
      <xdr:colOff>157842</xdr:colOff>
      <xdr:row>114</xdr:row>
      <xdr:rowOff>60960</xdr:rowOff>
    </xdr:to>
    <xdr:sp macro="" textlink="">
      <xdr:nvSpPr>
        <xdr:cNvPr id="251" name="Rectangle 250">
          <a:extLst>
            <a:ext uri="{FF2B5EF4-FFF2-40B4-BE49-F238E27FC236}">
              <a16:creationId xmlns:a16="http://schemas.microsoft.com/office/drawing/2014/main" id="{00000000-0008-0000-0200-0000FB000000}"/>
            </a:ext>
          </a:extLst>
        </xdr:cNvPr>
        <xdr:cNvSpPr/>
      </xdr:nvSpPr>
      <xdr:spPr bwMode="auto">
        <a:xfrm>
          <a:off x="2657111" y="24676826"/>
          <a:ext cx="423545" cy="230777"/>
        </a:xfrm>
        <a:prstGeom prst="rect">
          <a:avLst/>
        </a:prstGeom>
        <a:solidFill>
          <a:schemeClr val="accent6">
            <a:lumMod val="60000"/>
            <a:lumOff val="40000"/>
          </a:schemeClr>
        </a:solidFill>
        <a:ln w="317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US" sz="1100"/>
        </a:p>
      </xdr:txBody>
    </xdr:sp>
    <xdr:clientData/>
  </xdr:twoCellAnchor>
  <xdr:twoCellAnchor>
    <xdr:from>
      <xdr:col>2</xdr:col>
      <xdr:colOff>134437</xdr:colOff>
      <xdr:row>113</xdr:row>
      <xdr:rowOff>34833</xdr:rowOff>
    </xdr:from>
    <xdr:to>
      <xdr:col>2</xdr:col>
      <xdr:colOff>453390</xdr:colOff>
      <xdr:row>114</xdr:row>
      <xdr:rowOff>30479</xdr:rowOff>
    </xdr:to>
    <xdr:sp macro="" textlink="">
      <xdr:nvSpPr>
        <xdr:cNvPr id="252" name="TextBox 251">
          <a:extLst>
            <a:ext uri="{FF2B5EF4-FFF2-40B4-BE49-F238E27FC236}">
              <a16:creationId xmlns:a16="http://schemas.microsoft.com/office/drawing/2014/main" id="{00000000-0008-0000-0200-0000FC000000}"/>
            </a:ext>
          </a:extLst>
        </xdr:cNvPr>
        <xdr:cNvSpPr txBox="1"/>
      </xdr:nvSpPr>
      <xdr:spPr>
        <a:xfrm>
          <a:off x="2732857" y="18459993"/>
          <a:ext cx="318953" cy="1785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700" baseline="0"/>
            <a:t>P</a:t>
          </a:r>
          <a:endParaRPr lang="en-US" sz="700" baseline="-25000"/>
        </a:p>
      </xdr:txBody>
    </xdr:sp>
    <xdr:clientData/>
  </xdr:twoCellAnchor>
  <xdr:twoCellAnchor>
    <xdr:from>
      <xdr:col>2</xdr:col>
      <xdr:colOff>624657</xdr:colOff>
      <xdr:row>113</xdr:row>
      <xdr:rowOff>17052</xdr:rowOff>
    </xdr:from>
    <xdr:to>
      <xdr:col>2</xdr:col>
      <xdr:colOff>914400</xdr:colOff>
      <xdr:row>114</xdr:row>
      <xdr:rowOff>25399</xdr:rowOff>
    </xdr:to>
    <xdr:sp macro="" textlink="">
      <xdr:nvSpPr>
        <xdr:cNvPr id="253" name="TextBox 252">
          <a:extLst>
            <a:ext uri="{FF2B5EF4-FFF2-40B4-BE49-F238E27FC236}">
              <a16:creationId xmlns:a16="http://schemas.microsoft.com/office/drawing/2014/main" id="{00000000-0008-0000-0200-0000FD000000}"/>
            </a:ext>
          </a:extLst>
        </xdr:cNvPr>
        <xdr:cNvSpPr txBox="1"/>
      </xdr:nvSpPr>
      <xdr:spPr>
        <a:xfrm>
          <a:off x="3223077" y="18442212"/>
          <a:ext cx="289743" cy="1912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700" baseline="0"/>
            <a:t>P</a:t>
          </a:r>
          <a:endParaRPr lang="en-US" sz="700" baseline="-25000"/>
        </a:p>
      </xdr:txBody>
    </xdr:sp>
    <xdr:clientData/>
  </xdr:twoCellAnchor>
  <xdr:twoCellAnchor>
    <xdr:from>
      <xdr:col>2</xdr:col>
      <xdr:colOff>335281</xdr:colOff>
      <xdr:row>113</xdr:row>
      <xdr:rowOff>111760</xdr:rowOff>
    </xdr:from>
    <xdr:to>
      <xdr:col>2</xdr:col>
      <xdr:colOff>381000</xdr:colOff>
      <xdr:row>113</xdr:row>
      <xdr:rowOff>157479</xdr:rowOff>
    </xdr:to>
    <xdr:sp macro="" textlink="">
      <xdr:nvSpPr>
        <xdr:cNvPr id="254" name="Oval 253">
          <a:extLst>
            <a:ext uri="{FF2B5EF4-FFF2-40B4-BE49-F238E27FC236}">
              <a16:creationId xmlns:a16="http://schemas.microsoft.com/office/drawing/2014/main" id="{00000000-0008-0000-0200-0000FE000000}"/>
            </a:ext>
          </a:extLst>
        </xdr:cNvPr>
        <xdr:cNvSpPr/>
      </xdr:nvSpPr>
      <xdr:spPr bwMode="auto">
        <a:xfrm>
          <a:off x="2933701" y="18536920"/>
          <a:ext cx="45719" cy="45719"/>
        </a:xfrm>
        <a:prstGeom prst="ellipse">
          <a:avLst/>
        </a:prstGeom>
        <a:solidFill>
          <a:srgbClr val="FF00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lang="en-US" sz="1100"/>
        </a:p>
      </xdr:txBody>
    </xdr:sp>
    <xdr:clientData/>
  </xdr:twoCellAnchor>
  <xdr:twoCellAnchor>
    <xdr:from>
      <xdr:col>2</xdr:col>
      <xdr:colOff>802641</xdr:colOff>
      <xdr:row>113</xdr:row>
      <xdr:rowOff>111760</xdr:rowOff>
    </xdr:from>
    <xdr:to>
      <xdr:col>2</xdr:col>
      <xdr:colOff>848360</xdr:colOff>
      <xdr:row>113</xdr:row>
      <xdr:rowOff>157479</xdr:rowOff>
    </xdr:to>
    <xdr:sp macro="" textlink="">
      <xdr:nvSpPr>
        <xdr:cNvPr id="255" name="Oval 254">
          <a:extLst>
            <a:ext uri="{FF2B5EF4-FFF2-40B4-BE49-F238E27FC236}">
              <a16:creationId xmlns:a16="http://schemas.microsoft.com/office/drawing/2014/main" id="{00000000-0008-0000-0200-0000FF000000}"/>
            </a:ext>
          </a:extLst>
        </xdr:cNvPr>
        <xdr:cNvSpPr/>
      </xdr:nvSpPr>
      <xdr:spPr bwMode="auto">
        <a:xfrm>
          <a:off x="3401061" y="18536920"/>
          <a:ext cx="45719" cy="45719"/>
        </a:xfrm>
        <a:prstGeom prst="ellipse">
          <a:avLst/>
        </a:prstGeom>
        <a:solidFill>
          <a:srgbClr val="FF00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lang="en-US" sz="1100"/>
        </a:p>
      </xdr:txBody>
    </xdr:sp>
    <xdr:clientData/>
  </xdr:twoCellAnchor>
  <xdr:twoCellAnchor>
    <xdr:from>
      <xdr:col>2</xdr:col>
      <xdr:colOff>353060</xdr:colOff>
      <xdr:row>115</xdr:row>
      <xdr:rowOff>149861</xdr:rowOff>
    </xdr:from>
    <xdr:to>
      <xdr:col>2</xdr:col>
      <xdr:colOff>353062</xdr:colOff>
      <xdr:row>117</xdr:row>
      <xdr:rowOff>43183</xdr:rowOff>
    </xdr:to>
    <xdr:cxnSp macro="">
      <xdr:nvCxnSpPr>
        <xdr:cNvPr id="257" name="Straight Connector 256">
          <a:extLst>
            <a:ext uri="{FF2B5EF4-FFF2-40B4-BE49-F238E27FC236}">
              <a16:creationId xmlns:a16="http://schemas.microsoft.com/office/drawing/2014/main" id="{00000000-0008-0000-0200-000001010000}"/>
            </a:ext>
          </a:extLst>
        </xdr:cNvPr>
        <xdr:cNvCxnSpPr/>
      </xdr:nvCxnSpPr>
      <xdr:spPr bwMode="auto">
        <a:xfrm rot="5400000">
          <a:off x="2821940" y="19070321"/>
          <a:ext cx="259082" cy="2"/>
        </a:xfrm>
        <a:prstGeom prst="line">
          <a:avLst/>
        </a:prstGeom>
        <a:solidFill>
          <a:srgbClr val="FFFFFF"/>
        </a:solidFill>
        <a:ln w="3175" cap="flat" cmpd="sng" algn="ctr">
          <a:solidFill>
            <a:srgbClr val="000000"/>
          </a:solidFill>
          <a:prstDash val="solid"/>
          <a:round/>
          <a:headEnd type="none" w="med" len="med"/>
          <a:tailEnd type="none" w="med" len="med"/>
        </a:ln>
        <a:effectLst/>
      </xdr:spPr>
    </xdr:cxnSp>
    <xdr:clientData/>
  </xdr:twoCellAnchor>
  <xdr:twoCellAnchor>
    <xdr:from>
      <xdr:col>2</xdr:col>
      <xdr:colOff>825500</xdr:colOff>
      <xdr:row>115</xdr:row>
      <xdr:rowOff>154942</xdr:rowOff>
    </xdr:from>
    <xdr:to>
      <xdr:col>2</xdr:col>
      <xdr:colOff>828040</xdr:colOff>
      <xdr:row>117</xdr:row>
      <xdr:rowOff>40640</xdr:rowOff>
    </xdr:to>
    <xdr:cxnSp macro="">
      <xdr:nvCxnSpPr>
        <xdr:cNvPr id="261" name="Straight Connector 260">
          <a:extLst>
            <a:ext uri="{FF2B5EF4-FFF2-40B4-BE49-F238E27FC236}">
              <a16:creationId xmlns:a16="http://schemas.microsoft.com/office/drawing/2014/main" id="{00000000-0008-0000-0200-000005010000}"/>
            </a:ext>
          </a:extLst>
        </xdr:cNvPr>
        <xdr:cNvCxnSpPr/>
      </xdr:nvCxnSpPr>
      <xdr:spPr bwMode="auto">
        <a:xfrm rot="16200000" flipH="1">
          <a:off x="2750821" y="25313278"/>
          <a:ext cx="255812" cy="2540"/>
        </a:xfrm>
        <a:prstGeom prst="line">
          <a:avLst/>
        </a:prstGeom>
        <a:solidFill>
          <a:srgbClr val="FFFFFF"/>
        </a:solidFill>
        <a:ln w="3175" cap="flat" cmpd="sng" algn="ctr">
          <a:solidFill>
            <a:srgbClr val="000000"/>
          </a:solidFill>
          <a:prstDash val="solid"/>
          <a:round/>
          <a:headEnd type="none" w="med" len="med"/>
          <a:tailEnd type="none" w="med" len="med"/>
        </a:ln>
        <a:effectLst/>
      </xdr:spPr>
    </xdr:cxnSp>
    <xdr:clientData/>
  </xdr:twoCellAnchor>
  <xdr:twoCellAnchor>
    <xdr:from>
      <xdr:col>2</xdr:col>
      <xdr:colOff>393516</xdr:colOff>
      <xdr:row>115</xdr:row>
      <xdr:rowOff>171993</xdr:rowOff>
    </xdr:from>
    <xdr:to>
      <xdr:col>3</xdr:col>
      <xdr:colOff>642256</xdr:colOff>
      <xdr:row>116</xdr:row>
      <xdr:rowOff>167639</xdr:rowOff>
    </xdr:to>
    <xdr:sp macro="" textlink="">
      <xdr:nvSpPr>
        <xdr:cNvPr id="69" name="TextBox 68">
          <a:extLst>
            <a:ext uri="{FF2B5EF4-FFF2-40B4-BE49-F238E27FC236}">
              <a16:creationId xmlns:a16="http://schemas.microsoft.com/office/drawing/2014/main" id="{00000000-0008-0000-0200-000045000000}"/>
            </a:ext>
          </a:extLst>
        </xdr:cNvPr>
        <xdr:cNvSpPr txBox="1"/>
      </xdr:nvSpPr>
      <xdr:spPr>
        <a:xfrm>
          <a:off x="2445473" y="25203693"/>
          <a:ext cx="1119597" cy="1807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700" baseline="0"/>
            <a:t>Wheel Spacing</a:t>
          </a:r>
        </a:p>
      </xdr:txBody>
    </xdr:sp>
    <xdr:clientData/>
  </xdr:twoCellAnchor>
  <xdr:twoCellAnchor>
    <xdr:from>
      <xdr:col>1</xdr:col>
      <xdr:colOff>1614170</xdr:colOff>
      <xdr:row>113</xdr:row>
      <xdr:rowOff>15240</xdr:rowOff>
    </xdr:from>
    <xdr:to>
      <xdr:col>2</xdr:col>
      <xdr:colOff>107950</xdr:colOff>
      <xdr:row>113</xdr:row>
      <xdr:rowOff>15240</xdr:rowOff>
    </xdr:to>
    <xdr:cxnSp macro="">
      <xdr:nvCxnSpPr>
        <xdr:cNvPr id="263" name="Straight Connector 262">
          <a:extLst>
            <a:ext uri="{FF2B5EF4-FFF2-40B4-BE49-F238E27FC236}">
              <a16:creationId xmlns:a16="http://schemas.microsoft.com/office/drawing/2014/main" id="{00000000-0008-0000-0200-000007010000}"/>
            </a:ext>
          </a:extLst>
        </xdr:cNvPr>
        <xdr:cNvCxnSpPr/>
      </xdr:nvCxnSpPr>
      <xdr:spPr bwMode="auto">
        <a:xfrm rot="10800000">
          <a:off x="2559050" y="18440400"/>
          <a:ext cx="147320" cy="0"/>
        </a:xfrm>
        <a:prstGeom prst="line">
          <a:avLst/>
        </a:prstGeom>
        <a:solidFill>
          <a:srgbClr val="FFFFFF"/>
        </a:solidFill>
        <a:ln w="3175" cap="flat" cmpd="sng" algn="ctr">
          <a:solidFill>
            <a:srgbClr val="000000"/>
          </a:solidFill>
          <a:prstDash val="solid"/>
          <a:round/>
          <a:headEnd type="none" w="med" len="med"/>
          <a:tailEnd type="none" w="med" len="med"/>
        </a:ln>
        <a:effectLst/>
      </xdr:spPr>
    </xdr:cxnSp>
    <xdr:clientData/>
  </xdr:twoCellAnchor>
  <xdr:twoCellAnchor>
    <xdr:from>
      <xdr:col>1</xdr:col>
      <xdr:colOff>1614170</xdr:colOff>
      <xdr:row>114</xdr:row>
      <xdr:rowOff>60960</xdr:rowOff>
    </xdr:from>
    <xdr:to>
      <xdr:col>2</xdr:col>
      <xdr:colOff>107950</xdr:colOff>
      <xdr:row>114</xdr:row>
      <xdr:rowOff>60960</xdr:rowOff>
    </xdr:to>
    <xdr:cxnSp macro="">
      <xdr:nvCxnSpPr>
        <xdr:cNvPr id="264" name="Straight Connector 263">
          <a:extLst>
            <a:ext uri="{FF2B5EF4-FFF2-40B4-BE49-F238E27FC236}">
              <a16:creationId xmlns:a16="http://schemas.microsoft.com/office/drawing/2014/main" id="{00000000-0008-0000-0200-000008010000}"/>
            </a:ext>
          </a:extLst>
        </xdr:cNvPr>
        <xdr:cNvCxnSpPr/>
      </xdr:nvCxnSpPr>
      <xdr:spPr bwMode="auto">
        <a:xfrm rot="10800000">
          <a:off x="2559050" y="18669000"/>
          <a:ext cx="147320" cy="0"/>
        </a:xfrm>
        <a:prstGeom prst="line">
          <a:avLst/>
        </a:prstGeom>
        <a:solidFill>
          <a:srgbClr val="FFFFFF"/>
        </a:solidFill>
        <a:ln w="3175" cap="flat" cmpd="sng" algn="ctr">
          <a:solidFill>
            <a:srgbClr val="000000"/>
          </a:solidFill>
          <a:prstDash val="solid"/>
          <a:round/>
          <a:headEnd type="none" w="med" len="med"/>
          <a:tailEnd type="none" w="med" len="med"/>
        </a:ln>
        <a:effectLst/>
      </xdr:spPr>
    </xdr:cxnSp>
    <xdr:clientData/>
  </xdr:twoCellAnchor>
  <xdr:twoCellAnchor>
    <xdr:from>
      <xdr:col>1</xdr:col>
      <xdr:colOff>1434917</xdr:colOff>
      <xdr:row>113</xdr:row>
      <xdr:rowOff>29753</xdr:rowOff>
    </xdr:from>
    <xdr:to>
      <xdr:col>2</xdr:col>
      <xdr:colOff>100330</xdr:colOff>
      <xdr:row>114</xdr:row>
      <xdr:rowOff>25399</xdr:rowOff>
    </xdr:to>
    <xdr:sp macro="" textlink="">
      <xdr:nvSpPr>
        <xdr:cNvPr id="265" name="TextBox 264">
          <a:extLst>
            <a:ext uri="{FF2B5EF4-FFF2-40B4-BE49-F238E27FC236}">
              <a16:creationId xmlns:a16="http://schemas.microsoft.com/office/drawing/2014/main" id="{00000000-0008-0000-0200-000009010000}"/>
            </a:ext>
          </a:extLst>
        </xdr:cNvPr>
        <xdr:cNvSpPr txBox="1"/>
      </xdr:nvSpPr>
      <xdr:spPr>
        <a:xfrm>
          <a:off x="2379797" y="18454913"/>
          <a:ext cx="318953" cy="1785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700" baseline="0"/>
            <a:t>L</a:t>
          </a:r>
          <a:r>
            <a:rPr lang="en-US" sz="700" baseline="-25000"/>
            <a:t>D</a:t>
          </a:r>
          <a:r>
            <a:rPr lang="en-US" sz="700" baseline="0"/>
            <a:t> </a:t>
          </a:r>
        </a:p>
      </xdr:txBody>
    </xdr:sp>
    <xdr:clientData/>
  </xdr:twoCellAnchor>
  <xdr:twoCellAnchor>
    <xdr:from>
      <xdr:col>2</xdr:col>
      <xdr:colOff>13176</xdr:colOff>
      <xdr:row>113</xdr:row>
      <xdr:rowOff>16034</xdr:rowOff>
    </xdr:from>
    <xdr:to>
      <xdr:col>2</xdr:col>
      <xdr:colOff>14764</xdr:colOff>
      <xdr:row>114</xdr:row>
      <xdr:rowOff>61754</xdr:rowOff>
    </xdr:to>
    <xdr:cxnSp macro="">
      <xdr:nvCxnSpPr>
        <xdr:cNvPr id="266" name="Straight Arrow Connector 265">
          <a:extLst>
            <a:ext uri="{FF2B5EF4-FFF2-40B4-BE49-F238E27FC236}">
              <a16:creationId xmlns:a16="http://schemas.microsoft.com/office/drawing/2014/main" id="{00000000-0008-0000-0200-00000A010000}"/>
            </a:ext>
          </a:extLst>
        </xdr:cNvPr>
        <xdr:cNvCxnSpPr/>
      </xdr:nvCxnSpPr>
      <xdr:spPr bwMode="auto">
        <a:xfrm rot="5400000">
          <a:off x="2498090" y="18554700"/>
          <a:ext cx="228600" cy="1588"/>
        </a:xfrm>
        <a:prstGeom prst="straightConnector1">
          <a:avLst/>
        </a:prstGeom>
        <a:solidFill>
          <a:srgbClr val="FFFFFF"/>
        </a:solidFill>
        <a:ln w="3175" cap="flat" cmpd="sng" algn="ctr">
          <a:solidFill>
            <a:srgbClr val="000000"/>
          </a:solidFill>
          <a:prstDash val="solid"/>
          <a:round/>
          <a:headEnd type="stealth" w="sm" len="sm"/>
          <a:tailEnd type="stealth" w="sm" len="sm"/>
        </a:ln>
        <a:effectLst/>
      </xdr:spPr>
    </xdr:cxnSp>
    <xdr:clientData/>
  </xdr:twoCellAnchor>
  <xdr:twoCellAnchor>
    <xdr:from>
      <xdr:col>3</xdr:col>
      <xdr:colOff>190863</xdr:colOff>
      <xdr:row>113</xdr:row>
      <xdr:rowOff>134620</xdr:rowOff>
    </xdr:from>
    <xdr:to>
      <xdr:col>3</xdr:col>
      <xdr:colOff>363220</xdr:colOff>
      <xdr:row>113</xdr:row>
      <xdr:rowOff>134620</xdr:rowOff>
    </xdr:to>
    <xdr:cxnSp macro="">
      <xdr:nvCxnSpPr>
        <xdr:cNvPr id="268" name="Straight Connector 267">
          <a:extLst>
            <a:ext uri="{FF2B5EF4-FFF2-40B4-BE49-F238E27FC236}">
              <a16:creationId xmlns:a16="http://schemas.microsoft.com/office/drawing/2014/main" id="{00000000-0008-0000-0200-00000C010000}"/>
            </a:ext>
          </a:extLst>
        </xdr:cNvPr>
        <xdr:cNvCxnSpPr/>
      </xdr:nvCxnSpPr>
      <xdr:spPr bwMode="auto">
        <a:xfrm>
          <a:off x="3113677" y="24796206"/>
          <a:ext cx="172357" cy="0"/>
        </a:xfrm>
        <a:prstGeom prst="line">
          <a:avLst/>
        </a:prstGeom>
        <a:solidFill>
          <a:srgbClr val="FFFFFF"/>
        </a:solidFill>
        <a:ln w="3175" cap="flat" cmpd="sng" algn="ctr">
          <a:solidFill>
            <a:srgbClr val="000000"/>
          </a:solidFill>
          <a:prstDash val="solid"/>
          <a:round/>
          <a:headEnd type="none" w="med" len="med"/>
          <a:tailEnd type="none" w="med" len="med"/>
        </a:ln>
        <a:effectLst/>
      </xdr:spPr>
    </xdr:cxnSp>
    <xdr:clientData/>
  </xdr:twoCellAnchor>
  <xdr:twoCellAnchor>
    <xdr:from>
      <xdr:col>3</xdr:col>
      <xdr:colOff>188323</xdr:colOff>
      <xdr:row>115</xdr:row>
      <xdr:rowOff>86360</xdr:rowOff>
    </xdr:from>
    <xdr:to>
      <xdr:col>3</xdr:col>
      <xdr:colOff>350520</xdr:colOff>
      <xdr:row>115</xdr:row>
      <xdr:rowOff>86360</xdr:rowOff>
    </xdr:to>
    <xdr:cxnSp macro="">
      <xdr:nvCxnSpPr>
        <xdr:cNvPr id="270" name="Straight Connector 269">
          <a:extLst>
            <a:ext uri="{FF2B5EF4-FFF2-40B4-BE49-F238E27FC236}">
              <a16:creationId xmlns:a16="http://schemas.microsoft.com/office/drawing/2014/main" id="{00000000-0008-0000-0200-00000E010000}"/>
            </a:ext>
          </a:extLst>
        </xdr:cNvPr>
        <xdr:cNvCxnSpPr/>
      </xdr:nvCxnSpPr>
      <xdr:spPr bwMode="auto">
        <a:xfrm>
          <a:off x="3111137" y="25118060"/>
          <a:ext cx="162197" cy="0"/>
        </a:xfrm>
        <a:prstGeom prst="line">
          <a:avLst/>
        </a:prstGeom>
        <a:solidFill>
          <a:srgbClr val="FFFFFF"/>
        </a:solidFill>
        <a:ln w="3175" cap="flat" cmpd="sng" algn="ctr">
          <a:solidFill>
            <a:srgbClr val="000000"/>
          </a:solidFill>
          <a:prstDash val="solid"/>
          <a:round/>
          <a:headEnd type="none" w="med" len="med"/>
          <a:tailEnd type="none" w="med" len="med"/>
        </a:ln>
        <a:effectLst/>
      </xdr:spPr>
    </xdr:cxnSp>
    <xdr:clientData/>
  </xdr:twoCellAnchor>
  <xdr:twoCellAnchor>
    <xdr:from>
      <xdr:col>3</xdr:col>
      <xdr:colOff>296386</xdr:colOff>
      <xdr:row>113</xdr:row>
      <xdr:rowOff>135414</xdr:rowOff>
    </xdr:from>
    <xdr:to>
      <xdr:col>3</xdr:col>
      <xdr:colOff>297974</xdr:colOff>
      <xdr:row>115</xdr:row>
      <xdr:rowOff>87154</xdr:rowOff>
    </xdr:to>
    <xdr:cxnSp macro="">
      <xdr:nvCxnSpPr>
        <xdr:cNvPr id="272" name="Straight Arrow Connector 271">
          <a:extLst>
            <a:ext uri="{FF2B5EF4-FFF2-40B4-BE49-F238E27FC236}">
              <a16:creationId xmlns:a16="http://schemas.microsoft.com/office/drawing/2014/main" id="{00000000-0008-0000-0200-000010010000}"/>
            </a:ext>
          </a:extLst>
        </xdr:cNvPr>
        <xdr:cNvCxnSpPr/>
      </xdr:nvCxnSpPr>
      <xdr:spPr bwMode="auto">
        <a:xfrm rot="5400000">
          <a:off x="3059067" y="24957133"/>
          <a:ext cx="321854" cy="1588"/>
        </a:xfrm>
        <a:prstGeom prst="straightConnector1">
          <a:avLst/>
        </a:prstGeom>
        <a:solidFill>
          <a:srgbClr val="FFFFFF"/>
        </a:solidFill>
        <a:ln w="3175" cap="flat" cmpd="sng" algn="ctr">
          <a:solidFill>
            <a:srgbClr val="000000"/>
          </a:solidFill>
          <a:prstDash val="solid"/>
          <a:round/>
          <a:headEnd type="stealth" w="sm" len="sm"/>
          <a:tailEnd type="stealth" w="sm" len="sm"/>
        </a:ln>
        <a:effectLst/>
      </xdr:spPr>
    </xdr:cxnSp>
    <xdr:clientData/>
  </xdr:twoCellAnchor>
  <xdr:twoCellAnchor>
    <xdr:from>
      <xdr:col>3</xdr:col>
      <xdr:colOff>408757</xdr:colOff>
      <xdr:row>112</xdr:row>
      <xdr:rowOff>50072</xdr:rowOff>
    </xdr:from>
    <xdr:to>
      <xdr:col>4</xdr:col>
      <xdr:colOff>189411</xdr:colOff>
      <xdr:row>114</xdr:row>
      <xdr:rowOff>15239</xdr:rowOff>
    </xdr:to>
    <xdr:sp macro="" textlink="">
      <xdr:nvSpPr>
        <xdr:cNvPr id="275" name="TextBox 274">
          <a:extLst>
            <a:ext uri="{FF2B5EF4-FFF2-40B4-BE49-F238E27FC236}">
              <a16:creationId xmlns:a16="http://schemas.microsoft.com/office/drawing/2014/main" id="{00000000-0008-0000-0200-000013010000}"/>
            </a:ext>
          </a:extLst>
        </xdr:cNvPr>
        <xdr:cNvSpPr txBox="1"/>
      </xdr:nvSpPr>
      <xdr:spPr>
        <a:xfrm>
          <a:off x="3331571" y="24526601"/>
          <a:ext cx="635183" cy="3352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900" baseline="0"/>
            <a:t>S</a:t>
          </a:r>
          <a:r>
            <a:rPr lang="en-US" sz="900" baseline="-25000"/>
            <a:t>axle</a:t>
          </a:r>
        </a:p>
      </xdr:txBody>
    </xdr:sp>
    <xdr:clientData/>
  </xdr:twoCellAnchor>
  <xdr:twoCellAnchor>
    <xdr:from>
      <xdr:col>3</xdr:col>
      <xdr:colOff>297180</xdr:colOff>
      <xdr:row>113</xdr:row>
      <xdr:rowOff>66040</xdr:rowOff>
    </xdr:from>
    <xdr:to>
      <xdr:col>3</xdr:col>
      <xdr:colOff>441960</xdr:colOff>
      <xdr:row>114</xdr:row>
      <xdr:rowOff>116840</xdr:rowOff>
    </xdr:to>
    <xdr:cxnSp macro="">
      <xdr:nvCxnSpPr>
        <xdr:cNvPr id="277" name="Straight Connector 276">
          <a:extLst>
            <a:ext uri="{FF2B5EF4-FFF2-40B4-BE49-F238E27FC236}">
              <a16:creationId xmlns:a16="http://schemas.microsoft.com/office/drawing/2014/main" id="{00000000-0008-0000-0200-000015010000}"/>
            </a:ext>
          </a:extLst>
        </xdr:cNvPr>
        <xdr:cNvCxnSpPr/>
      </xdr:nvCxnSpPr>
      <xdr:spPr bwMode="auto">
        <a:xfrm rot="5400000" flipH="1" flipV="1">
          <a:off x="3174455" y="24773165"/>
          <a:ext cx="235857" cy="144780"/>
        </a:xfrm>
        <a:prstGeom prst="line">
          <a:avLst/>
        </a:prstGeom>
        <a:solidFill>
          <a:srgbClr val="FFFFFF"/>
        </a:solidFill>
        <a:ln w="3175" cap="flat" cmpd="sng" algn="ctr">
          <a:solidFill>
            <a:srgbClr val="000000"/>
          </a:solidFill>
          <a:prstDash val="solid"/>
          <a:round/>
          <a:headEnd type="none" w="med" len="med"/>
          <a:tailEnd type="none" w="med" len="med"/>
        </a:ln>
        <a:effectLst/>
      </xdr:spPr>
    </xdr:cxnSp>
    <xdr:clientData/>
  </xdr:twoCellAnchor>
  <xdr:twoCellAnchor>
    <xdr:from>
      <xdr:col>3</xdr:col>
      <xdr:colOff>441960</xdr:colOff>
      <xdr:row>113</xdr:row>
      <xdr:rowOff>66040</xdr:rowOff>
    </xdr:from>
    <xdr:to>
      <xdr:col>3</xdr:col>
      <xdr:colOff>723900</xdr:colOff>
      <xdr:row>113</xdr:row>
      <xdr:rowOff>66040</xdr:rowOff>
    </xdr:to>
    <xdr:cxnSp macro="">
      <xdr:nvCxnSpPr>
        <xdr:cNvPr id="279" name="Straight Connector 278">
          <a:extLst>
            <a:ext uri="{FF2B5EF4-FFF2-40B4-BE49-F238E27FC236}">
              <a16:creationId xmlns:a16="http://schemas.microsoft.com/office/drawing/2014/main" id="{00000000-0008-0000-0200-000017010000}"/>
            </a:ext>
          </a:extLst>
        </xdr:cNvPr>
        <xdr:cNvCxnSpPr/>
      </xdr:nvCxnSpPr>
      <xdr:spPr bwMode="auto">
        <a:xfrm>
          <a:off x="3364774" y="24727626"/>
          <a:ext cx="281940" cy="0"/>
        </a:xfrm>
        <a:prstGeom prst="line">
          <a:avLst/>
        </a:prstGeom>
        <a:solidFill>
          <a:srgbClr val="FFFFFF"/>
        </a:solidFill>
        <a:ln w="3175" cap="flat" cmpd="sng" algn="ctr">
          <a:solidFill>
            <a:srgbClr val="000000"/>
          </a:solidFill>
          <a:prstDash val="solid"/>
          <a:round/>
          <a:headEnd type="none" w="med" len="med"/>
          <a:tailEnd type="none" w="med" len="med"/>
        </a:ln>
        <a:effectLst/>
      </xdr:spPr>
    </xdr:cxnSp>
    <xdr:clientData/>
  </xdr:twoCellAnchor>
  <xdr:twoCellAnchor>
    <xdr:from>
      <xdr:col>2</xdr:col>
      <xdr:colOff>130813</xdr:colOff>
      <xdr:row>116</xdr:row>
      <xdr:rowOff>43179</xdr:rowOff>
    </xdr:from>
    <xdr:to>
      <xdr:col>2</xdr:col>
      <xdr:colOff>130813</xdr:colOff>
      <xdr:row>118</xdr:row>
      <xdr:rowOff>35562</xdr:rowOff>
    </xdr:to>
    <xdr:cxnSp macro="">
      <xdr:nvCxnSpPr>
        <xdr:cNvPr id="282" name="Straight Connector 281">
          <a:extLst>
            <a:ext uri="{FF2B5EF4-FFF2-40B4-BE49-F238E27FC236}">
              <a16:creationId xmlns:a16="http://schemas.microsoft.com/office/drawing/2014/main" id="{00000000-0008-0000-0200-00001A010000}"/>
            </a:ext>
          </a:extLst>
        </xdr:cNvPr>
        <xdr:cNvCxnSpPr/>
      </xdr:nvCxnSpPr>
      <xdr:spPr bwMode="auto">
        <a:xfrm rot="5400000">
          <a:off x="2550161" y="19196051"/>
          <a:ext cx="358143" cy="0"/>
        </a:xfrm>
        <a:prstGeom prst="line">
          <a:avLst/>
        </a:prstGeom>
        <a:solidFill>
          <a:srgbClr val="FFFFFF"/>
        </a:solidFill>
        <a:ln w="3175" cap="flat" cmpd="sng" algn="ctr">
          <a:solidFill>
            <a:srgbClr val="000000"/>
          </a:solidFill>
          <a:prstDash val="solid"/>
          <a:round/>
          <a:headEnd type="none" w="med" len="med"/>
          <a:tailEnd type="none" w="med" len="med"/>
        </a:ln>
        <a:effectLst/>
      </xdr:spPr>
    </xdr:cxnSp>
    <xdr:clientData/>
  </xdr:twoCellAnchor>
  <xdr:twoCellAnchor>
    <xdr:from>
      <xdr:col>2</xdr:col>
      <xdr:colOff>585471</xdr:colOff>
      <xdr:row>116</xdr:row>
      <xdr:rowOff>149860</xdr:rowOff>
    </xdr:from>
    <xdr:to>
      <xdr:col>2</xdr:col>
      <xdr:colOff>585471</xdr:colOff>
      <xdr:row>118</xdr:row>
      <xdr:rowOff>20319</xdr:rowOff>
    </xdr:to>
    <xdr:cxnSp macro="">
      <xdr:nvCxnSpPr>
        <xdr:cNvPr id="283" name="Straight Connector 282">
          <a:extLst>
            <a:ext uri="{FF2B5EF4-FFF2-40B4-BE49-F238E27FC236}">
              <a16:creationId xmlns:a16="http://schemas.microsoft.com/office/drawing/2014/main" id="{00000000-0008-0000-0200-00001B010000}"/>
            </a:ext>
          </a:extLst>
        </xdr:cNvPr>
        <xdr:cNvCxnSpPr/>
      </xdr:nvCxnSpPr>
      <xdr:spPr bwMode="auto">
        <a:xfrm rot="5400000">
          <a:off x="3065781" y="19241770"/>
          <a:ext cx="236219" cy="0"/>
        </a:xfrm>
        <a:prstGeom prst="line">
          <a:avLst/>
        </a:prstGeom>
        <a:solidFill>
          <a:srgbClr val="FFFFFF"/>
        </a:solidFill>
        <a:ln w="3175" cap="flat" cmpd="sng" algn="ctr">
          <a:solidFill>
            <a:srgbClr val="000000"/>
          </a:solidFill>
          <a:prstDash val="solid"/>
          <a:round/>
          <a:headEnd type="none" w="med" len="med"/>
          <a:tailEnd type="none" w="med" len="med"/>
        </a:ln>
        <a:effectLst/>
      </xdr:spPr>
    </xdr:cxnSp>
    <xdr:clientData/>
  </xdr:twoCellAnchor>
  <xdr:twoCellAnchor>
    <xdr:from>
      <xdr:col>2</xdr:col>
      <xdr:colOff>130810</xdr:colOff>
      <xdr:row>117</xdr:row>
      <xdr:rowOff>152401</xdr:rowOff>
    </xdr:from>
    <xdr:to>
      <xdr:col>2</xdr:col>
      <xdr:colOff>586105</xdr:colOff>
      <xdr:row>117</xdr:row>
      <xdr:rowOff>152403</xdr:rowOff>
    </xdr:to>
    <xdr:cxnSp macro="">
      <xdr:nvCxnSpPr>
        <xdr:cNvPr id="284" name="Straight Arrow Connector 283">
          <a:extLst>
            <a:ext uri="{FF2B5EF4-FFF2-40B4-BE49-F238E27FC236}">
              <a16:creationId xmlns:a16="http://schemas.microsoft.com/office/drawing/2014/main" id="{00000000-0008-0000-0200-00001C010000}"/>
            </a:ext>
          </a:extLst>
        </xdr:cNvPr>
        <xdr:cNvCxnSpPr/>
      </xdr:nvCxnSpPr>
      <xdr:spPr bwMode="auto">
        <a:xfrm flipV="1">
          <a:off x="2729230" y="19309081"/>
          <a:ext cx="455295" cy="2"/>
        </a:xfrm>
        <a:prstGeom prst="straightConnector1">
          <a:avLst/>
        </a:prstGeom>
        <a:solidFill>
          <a:srgbClr val="FFFFFF"/>
        </a:solidFill>
        <a:ln w="3175" cap="flat" cmpd="sng" algn="ctr">
          <a:solidFill>
            <a:srgbClr val="000000"/>
          </a:solidFill>
          <a:prstDash val="solid"/>
          <a:round/>
          <a:headEnd type="stealth" w="sm" len="sm"/>
          <a:tailEnd type="stealth" w="sm" len="sm"/>
        </a:ln>
        <a:effectLst/>
      </xdr:spPr>
    </xdr:cxnSp>
    <xdr:clientData/>
  </xdr:twoCellAnchor>
  <xdr:twoCellAnchor>
    <xdr:from>
      <xdr:col>2</xdr:col>
      <xdr:colOff>606425</xdr:colOff>
      <xdr:row>116</xdr:row>
      <xdr:rowOff>151766</xdr:rowOff>
    </xdr:from>
    <xdr:to>
      <xdr:col>2</xdr:col>
      <xdr:colOff>606425</xdr:colOff>
      <xdr:row>118</xdr:row>
      <xdr:rowOff>22860</xdr:rowOff>
    </xdr:to>
    <xdr:cxnSp macro="">
      <xdr:nvCxnSpPr>
        <xdr:cNvPr id="285" name="Straight Connector 284">
          <a:extLst>
            <a:ext uri="{FF2B5EF4-FFF2-40B4-BE49-F238E27FC236}">
              <a16:creationId xmlns:a16="http://schemas.microsoft.com/office/drawing/2014/main" id="{00000000-0008-0000-0200-00001D010000}"/>
            </a:ext>
          </a:extLst>
        </xdr:cNvPr>
        <xdr:cNvCxnSpPr/>
      </xdr:nvCxnSpPr>
      <xdr:spPr bwMode="auto">
        <a:xfrm rot="5400000">
          <a:off x="3086418" y="19243993"/>
          <a:ext cx="236854" cy="0"/>
        </a:xfrm>
        <a:prstGeom prst="line">
          <a:avLst/>
        </a:prstGeom>
        <a:solidFill>
          <a:srgbClr val="FFFFFF"/>
        </a:solidFill>
        <a:ln w="3175" cap="flat" cmpd="sng" algn="ctr">
          <a:solidFill>
            <a:srgbClr val="000000"/>
          </a:solidFill>
          <a:prstDash val="solid"/>
          <a:round/>
          <a:headEnd type="none" w="med" len="med"/>
          <a:tailEnd type="none" w="med" len="med"/>
        </a:ln>
        <a:effectLst/>
      </xdr:spPr>
    </xdr:cxnSp>
    <xdr:clientData/>
  </xdr:twoCellAnchor>
  <xdr:twoCellAnchor>
    <xdr:from>
      <xdr:col>4</xdr:col>
      <xdr:colOff>488951</xdr:colOff>
      <xdr:row>117</xdr:row>
      <xdr:rowOff>39370</xdr:rowOff>
    </xdr:from>
    <xdr:to>
      <xdr:col>4</xdr:col>
      <xdr:colOff>534670</xdr:colOff>
      <xdr:row>117</xdr:row>
      <xdr:rowOff>85089</xdr:rowOff>
    </xdr:to>
    <xdr:sp macro="" textlink="">
      <xdr:nvSpPr>
        <xdr:cNvPr id="379" name="Oval 378">
          <a:extLst>
            <a:ext uri="{FF2B5EF4-FFF2-40B4-BE49-F238E27FC236}">
              <a16:creationId xmlns:a16="http://schemas.microsoft.com/office/drawing/2014/main" id="{00000000-0008-0000-0200-00007B010000}"/>
            </a:ext>
          </a:extLst>
        </xdr:cNvPr>
        <xdr:cNvSpPr/>
      </xdr:nvSpPr>
      <xdr:spPr bwMode="auto">
        <a:xfrm>
          <a:off x="5099051" y="19196050"/>
          <a:ext cx="45719" cy="45719"/>
        </a:xfrm>
        <a:prstGeom prst="ellipse">
          <a:avLst/>
        </a:prstGeom>
        <a:solidFill>
          <a:srgbClr val="FF00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lang="en-US" sz="1100"/>
        </a:p>
      </xdr:txBody>
    </xdr:sp>
    <xdr:clientData/>
  </xdr:twoCellAnchor>
  <xdr:twoCellAnchor>
    <xdr:from>
      <xdr:col>5</xdr:col>
      <xdr:colOff>82551</xdr:colOff>
      <xdr:row>117</xdr:row>
      <xdr:rowOff>39370</xdr:rowOff>
    </xdr:from>
    <xdr:to>
      <xdr:col>5</xdr:col>
      <xdr:colOff>128270</xdr:colOff>
      <xdr:row>117</xdr:row>
      <xdr:rowOff>85089</xdr:rowOff>
    </xdr:to>
    <xdr:sp macro="" textlink="">
      <xdr:nvSpPr>
        <xdr:cNvPr id="381" name="Oval 380">
          <a:extLst>
            <a:ext uri="{FF2B5EF4-FFF2-40B4-BE49-F238E27FC236}">
              <a16:creationId xmlns:a16="http://schemas.microsoft.com/office/drawing/2014/main" id="{00000000-0008-0000-0200-00007D010000}"/>
            </a:ext>
          </a:extLst>
        </xdr:cNvPr>
        <xdr:cNvSpPr/>
      </xdr:nvSpPr>
      <xdr:spPr bwMode="auto">
        <a:xfrm>
          <a:off x="5469891" y="19196050"/>
          <a:ext cx="45719" cy="45719"/>
        </a:xfrm>
        <a:prstGeom prst="ellipse">
          <a:avLst/>
        </a:prstGeom>
        <a:solidFill>
          <a:srgbClr val="FF00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lang="en-US" sz="1100"/>
        </a:p>
      </xdr:txBody>
    </xdr:sp>
    <xdr:clientData/>
  </xdr:twoCellAnchor>
  <xdr:twoCellAnchor>
    <xdr:from>
      <xdr:col>4</xdr:col>
      <xdr:colOff>631007</xdr:colOff>
      <xdr:row>112</xdr:row>
      <xdr:rowOff>36103</xdr:rowOff>
    </xdr:from>
    <xdr:to>
      <xdr:col>5</xdr:col>
      <xdr:colOff>172720</xdr:colOff>
      <xdr:row>113</xdr:row>
      <xdr:rowOff>31749</xdr:rowOff>
    </xdr:to>
    <xdr:sp macro="" textlink="">
      <xdr:nvSpPr>
        <xdr:cNvPr id="395" name="TextBox 394">
          <a:extLst>
            <a:ext uri="{FF2B5EF4-FFF2-40B4-BE49-F238E27FC236}">
              <a16:creationId xmlns:a16="http://schemas.microsoft.com/office/drawing/2014/main" id="{00000000-0008-0000-0200-00008B010000}"/>
            </a:ext>
          </a:extLst>
        </xdr:cNvPr>
        <xdr:cNvSpPr txBox="1"/>
      </xdr:nvSpPr>
      <xdr:spPr>
        <a:xfrm>
          <a:off x="5241107" y="18278383"/>
          <a:ext cx="318953" cy="1785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700" baseline="0"/>
            <a:t>P</a:t>
          </a:r>
          <a:endParaRPr lang="en-US" sz="700" baseline="-25000"/>
        </a:p>
      </xdr:txBody>
    </xdr:sp>
    <xdr:clientData/>
  </xdr:twoCellAnchor>
  <xdr:twoCellAnchor>
    <xdr:from>
      <xdr:col>5</xdr:col>
      <xdr:colOff>52071</xdr:colOff>
      <xdr:row>112</xdr:row>
      <xdr:rowOff>115570</xdr:rowOff>
    </xdr:from>
    <xdr:to>
      <xdr:col>5</xdr:col>
      <xdr:colOff>97790</xdr:colOff>
      <xdr:row>112</xdr:row>
      <xdr:rowOff>161289</xdr:rowOff>
    </xdr:to>
    <xdr:sp macro="" textlink="">
      <xdr:nvSpPr>
        <xdr:cNvPr id="396" name="Oval 395">
          <a:extLst>
            <a:ext uri="{FF2B5EF4-FFF2-40B4-BE49-F238E27FC236}">
              <a16:creationId xmlns:a16="http://schemas.microsoft.com/office/drawing/2014/main" id="{00000000-0008-0000-0200-00008C010000}"/>
            </a:ext>
          </a:extLst>
        </xdr:cNvPr>
        <xdr:cNvSpPr/>
      </xdr:nvSpPr>
      <xdr:spPr bwMode="auto">
        <a:xfrm>
          <a:off x="5439411" y="18357850"/>
          <a:ext cx="45719" cy="45719"/>
        </a:xfrm>
        <a:prstGeom prst="ellipse">
          <a:avLst/>
        </a:prstGeom>
        <a:solidFill>
          <a:srgbClr val="FF00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lang="en-US" sz="1100"/>
        </a:p>
      </xdr:txBody>
    </xdr:sp>
    <xdr:clientData/>
  </xdr:twoCellAnchor>
  <xdr:twoCellAnchor>
    <xdr:from>
      <xdr:col>4</xdr:col>
      <xdr:colOff>625927</xdr:colOff>
      <xdr:row>111</xdr:row>
      <xdr:rowOff>57693</xdr:rowOff>
    </xdr:from>
    <xdr:to>
      <xdr:col>5</xdr:col>
      <xdr:colOff>167640</xdr:colOff>
      <xdr:row>112</xdr:row>
      <xdr:rowOff>53339</xdr:rowOff>
    </xdr:to>
    <xdr:sp macro="" textlink="">
      <xdr:nvSpPr>
        <xdr:cNvPr id="398" name="TextBox 397">
          <a:extLst>
            <a:ext uri="{FF2B5EF4-FFF2-40B4-BE49-F238E27FC236}">
              <a16:creationId xmlns:a16="http://schemas.microsoft.com/office/drawing/2014/main" id="{00000000-0008-0000-0200-00008E010000}"/>
            </a:ext>
          </a:extLst>
        </xdr:cNvPr>
        <xdr:cNvSpPr txBox="1"/>
      </xdr:nvSpPr>
      <xdr:spPr>
        <a:xfrm>
          <a:off x="5236027" y="18117093"/>
          <a:ext cx="318953" cy="1785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700" baseline="0"/>
            <a:t>P</a:t>
          </a:r>
          <a:endParaRPr lang="en-US" sz="700" baseline="-25000"/>
        </a:p>
      </xdr:txBody>
    </xdr:sp>
    <xdr:clientData/>
  </xdr:twoCellAnchor>
  <xdr:twoCellAnchor>
    <xdr:from>
      <xdr:col>5</xdr:col>
      <xdr:colOff>49531</xdr:colOff>
      <xdr:row>111</xdr:row>
      <xdr:rowOff>134620</xdr:rowOff>
    </xdr:from>
    <xdr:to>
      <xdr:col>5</xdr:col>
      <xdr:colOff>95250</xdr:colOff>
      <xdr:row>111</xdr:row>
      <xdr:rowOff>180339</xdr:rowOff>
    </xdr:to>
    <xdr:sp macro="" textlink="">
      <xdr:nvSpPr>
        <xdr:cNvPr id="399" name="Oval 398">
          <a:extLst>
            <a:ext uri="{FF2B5EF4-FFF2-40B4-BE49-F238E27FC236}">
              <a16:creationId xmlns:a16="http://schemas.microsoft.com/office/drawing/2014/main" id="{00000000-0008-0000-0200-00008F010000}"/>
            </a:ext>
          </a:extLst>
        </xdr:cNvPr>
        <xdr:cNvSpPr/>
      </xdr:nvSpPr>
      <xdr:spPr bwMode="auto">
        <a:xfrm>
          <a:off x="5436871" y="18194020"/>
          <a:ext cx="45719" cy="45719"/>
        </a:xfrm>
        <a:prstGeom prst="ellipse">
          <a:avLst/>
        </a:prstGeom>
        <a:solidFill>
          <a:srgbClr val="FF00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lang="en-US" sz="1100"/>
        </a:p>
      </xdr:txBody>
    </xdr:sp>
    <xdr:clientData/>
  </xdr:twoCellAnchor>
  <xdr:twoCellAnchor>
    <xdr:from>
      <xdr:col>4</xdr:col>
      <xdr:colOff>259080</xdr:colOff>
      <xdr:row>111</xdr:row>
      <xdr:rowOff>38100</xdr:rowOff>
    </xdr:from>
    <xdr:to>
      <xdr:col>4</xdr:col>
      <xdr:colOff>599440</xdr:colOff>
      <xdr:row>111</xdr:row>
      <xdr:rowOff>38100</xdr:rowOff>
    </xdr:to>
    <xdr:cxnSp macro="">
      <xdr:nvCxnSpPr>
        <xdr:cNvPr id="400" name="Straight Connector 399">
          <a:extLst>
            <a:ext uri="{FF2B5EF4-FFF2-40B4-BE49-F238E27FC236}">
              <a16:creationId xmlns:a16="http://schemas.microsoft.com/office/drawing/2014/main" id="{00000000-0008-0000-0200-000090010000}"/>
            </a:ext>
          </a:extLst>
        </xdr:cNvPr>
        <xdr:cNvCxnSpPr/>
      </xdr:nvCxnSpPr>
      <xdr:spPr bwMode="auto">
        <a:xfrm rot="10800000">
          <a:off x="4869180" y="18097500"/>
          <a:ext cx="340360" cy="0"/>
        </a:xfrm>
        <a:prstGeom prst="line">
          <a:avLst/>
        </a:prstGeom>
        <a:solidFill>
          <a:srgbClr val="FFFFFF"/>
        </a:solidFill>
        <a:ln w="3175" cap="flat" cmpd="sng" algn="ctr">
          <a:solidFill>
            <a:srgbClr val="000000"/>
          </a:solidFill>
          <a:prstDash val="solid"/>
          <a:round/>
          <a:headEnd type="none" w="med" len="med"/>
          <a:tailEnd type="none" w="med" len="med"/>
        </a:ln>
        <a:effectLst/>
      </xdr:spPr>
    </xdr:cxnSp>
    <xdr:clientData/>
  </xdr:twoCellAnchor>
  <xdr:twoCellAnchor>
    <xdr:from>
      <xdr:col>4</xdr:col>
      <xdr:colOff>452120</xdr:colOff>
      <xdr:row>112</xdr:row>
      <xdr:rowOff>83820</xdr:rowOff>
    </xdr:from>
    <xdr:to>
      <xdr:col>4</xdr:col>
      <xdr:colOff>599440</xdr:colOff>
      <xdr:row>112</xdr:row>
      <xdr:rowOff>83820</xdr:rowOff>
    </xdr:to>
    <xdr:cxnSp macro="">
      <xdr:nvCxnSpPr>
        <xdr:cNvPr id="401" name="Straight Connector 400">
          <a:extLst>
            <a:ext uri="{FF2B5EF4-FFF2-40B4-BE49-F238E27FC236}">
              <a16:creationId xmlns:a16="http://schemas.microsoft.com/office/drawing/2014/main" id="{00000000-0008-0000-0200-000091010000}"/>
            </a:ext>
          </a:extLst>
        </xdr:cNvPr>
        <xdr:cNvCxnSpPr/>
      </xdr:nvCxnSpPr>
      <xdr:spPr bwMode="auto">
        <a:xfrm rot="10800000">
          <a:off x="5062220" y="18326100"/>
          <a:ext cx="147320" cy="0"/>
        </a:xfrm>
        <a:prstGeom prst="line">
          <a:avLst/>
        </a:prstGeom>
        <a:solidFill>
          <a:srgbClr val="FFFFFF"/>
        </a:solidFill>
        <a:ln w="3175" cap="flat" cmpd="sng" algn="ctr">
          <a:solidFill>
            <a:srgbClr val="000000"/>
          </a:solidFill>
          <a:prstDash val="solid"/>
          <a:round/>
          <a:headEnd type="none" w="med" len="med"/>
          <a:tailEnd type="none" w="med" len="med"/>
        </a:ln>
        <a:effectLst/>
      </xdr:spPr>
    </xdr:cxnSp>
    <xdr:clientData/>
  </xdr:twoCellAnchor>
  <xdr:twoCellAnchor>
    <xdr:from>
      <xdr:col>4</xdr:col>
      <xdr:colOff>272867</xdr:colOff>
      <xdr:row>111</xdr:row>
      <xdr:rowOff>52612</xdr:rowOff>
    </xdr:from>
    <xdr:to>
      <xdr:col>4</xdr:col>
      <xdr:colOff>591820</xdr:colOff>
      <xdr:row>112</xdr:row>
      <xdr:rowOff>87629</xdr:rowOff>
    </xdr:to>
    <xdr:sp macro="" textlink="">
      <xdr:nvSpPr>
        <xdr:cNvPr id="402" name="TextBox 401">
          <a:extLst>
            <a:ext uri="{FF2B5EF4-FFF2-40B4-BE49-F238E27FC236}">
              <a16:creationId xmlns:a16="http://schemas.microsoft.com/office/drawing/2014/main" id="{00000000-0008-0000-0200-000092010000}"/>
            </a:ext>
          </a:extLst>
        </xdr:cNvPr>
        <xdr:cNvSpPr txBox="1"/>
      </xdr:nvSpPr>
      <xdr:spPr>
        <a:xfrm>
          <a:off x="4882967" y="18112012"/>
          <a:ext cx="318953" cy="2178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700" baseline="0"/>
            <a:t>L</a:t>
          </a:r>
          <a:r>
            <a:rPr lang="en-US" sz="700" baseline="-25000"/>
            <a:t>D</a:t>
          </a:r>
          <a:r>
            <a:rPr lang="en-US" sz="700" baseline="0"/>
            <a:t> </a:t>
          </a:r>
        </a:p>
      </xdr:txBody>
    </xdr:sp>
    <xdr:clientData/>
  </xdr:twoCellAnchor>
  <xdr:twoCellAnchor>
    <xdr:from>
      <xdr:col>4</xdr:col>
      <xdr:colOff>504666</xdr:colOff>
      <xdr:row>111</xdr:row>
      <xdr:rowOff>38894</xdr:rowOff>
    </xdr:from>
    <xdr:to>
      <xdr:col>4</xdr:col>
      <xdr:colOff>506254</xdr:colOff>
      <xdr:row>112</xdr:row>
      <xdr:rowOff>84614</xdr:rowOff>
    </xdr:to>
    <xdr:cxnSp macro="">
      <xdr:nvCxnSpPr>
        <xdr:cNvPr id="403" name="Straight Arrow Connector 402">
          <a:extLst>
            <a:ext uri="{FF2B5EF4-FFF2-40B4-BE49-F238E27FC236}">
              <a16:creationId xmlns:a16="http://schemas.microsoft.com/office/drawing/2014/main" id="{00000000-0008-0000-0200-000093010000}"/>
            </a:ext>
          </a:extLst>
        </xdr:cNvPr>
        <xdr:cNvCxnSpPr/>
      </xdr:nvCxnSpPr>
      <xdr:spPr bwMode="auto">
        <a:xfrm rot="5400000">
          <a:off x="5001260" y="18211800"/>
          <a:ext cx="228600" cy="1588"/>
        </a:xfrm>
        <a:prstGeom prst="straightConnector1">
          <a:avLst/>
        </a:prstGeom>
        <a:solidFill>
          <a:srgbClr val="FFFFFF"/>
        </a:solidFill>
        <a:ln w="3175" cap="flat" cmpd="sng" algn="ctr">
          <a:solidFill>
            <a:srgbClr val="000000"/>
          </a:solidFill>
          <a:prstDash val="solid"/>
          <a:round/>
          <a:headEnd type="stealth" w="sm" len="sm"/>
          <a:tailEnd type="stealth" w="sm" len="sm"/>
        </a:ln>
        <a:effectLst/>
      </xdr:spPr>
    </xdr:cxnSp>
    <xdr:clientData/>
  </xdr:twoCellAnchor>
  <xdr:twoCellAnchor>
    <xdr:from>
      <xdr:col>5</xdr:col>
      <xdr:colOff>347162</xdr:colOff>
      <xdr:row>112</xdr:row>
      <xdr:rowOff>39278</xdr:rowOff>
    </xdr:from>
    <xdr:to>
      <xdr:col>5</xdr:col>
      <xdr:colOff>666115</xdr:colOff>
      <xdr:row>113</xdr:row>
      <xdr:rowOff>64770</xdr:rowOff>
    </xdr:to>
    <xdr:sp macro="" textlink="">
      <xdr:nvSpPr>
        <xdr:cNvPr id="404" name="TextBox 403">
          <a:extLst>
            <a:ext uri="{FF2B5EF4-FFF2-40B4-BE49-F238E27FC236}">
              <a16:creationId xmlns:a16="http://schemas.microsoft.com/office/drawing/2014/main" id="{00000000-0008-0000-0200-000094010000}"/>
            </a:ext>
          </a:extLst>
        </xdr:cNvPr>
        <xdr:cNvSpPr txBox="1"/>
      </xdr:nvSpPr>
      <xdr:spPr>
        <a:xfrm>
          <a:off x="5734502" y="18281558"/>
          <a:ext cx="318953" cy="2083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700" baseline="0"/>
            <a:t>L</a:t>
          </a:r>
          <a:r>
            <a:rPr lang="en-US" sz="700" baseline="-25000"/>
            <a:t>D</a:t>
          </a:r>
          <a:r>
            <a:rPr lang="en-US" sz="700" baseline="0"/>
            <a:t> </a:t>
          </a:r>
        </a:p>
      </xdr:txBody>
    </xdr:sp>
    <xdr:clientData/>
  </xdr:twoCellAnchor>
  <xdr:twoCellAnchor>
    <xdr:from>
      <xdr:col>5</xdr:col>
      <xdr:colOff>388461</xdr:colOff>
      <xdr:row>112</xdr:row>
      <xdr:rowOff>17939</xdr:rowOff>
    </xdr:from>
    <xdr:to>
      <xdr:col>5</xdr:col>
      <xdr:colOff>390049</xdr:colOff>
      <xdr:row>113</xdr:row>
      <xdr:rowOff>63659</xdr:rowOff>
    </xdr:to>
    <xdr:cxnSp macro="">
      <xdr:nvCxnSpPr>
        <xdr:cNvPr id="405" name="Straight Arrow Connector 404">
          <a:extLst>
            <a:ext uri="{FF2B5EF4-FFF2-40B4-BE49-F238E27FC236}">
              <a16:creationId xmlns:a16="http://schemas.microsoft.com/office/drawing/2014/main" id="{00000000-0008-0000-0200-000095010000}"/>
            </a:ext>
          </a:extLst>
        </xdr:cNvPr>
        <xdr:cNvCxnSpPr/>
      </xdr:nvCxnSpPr>
      <xdr:spPr bwMode="auto">
        <a:xfrm rot="5400000">
          <a:off x="5662295" y="18373725"/>
          <a:ext cx="228600" cy="1588"/>
        </a:xfrm>
        <a:prstGeom prst="straightConnector1">
          <a:avLst/>
        </a:prstGeom>
        <a:solidFill>
          <a:srgbClr val="FFFFFF"/>
        </a:solidFill>
        <a:ln w="3175" cap="flat" cmpd="sng" algn="ctr">
          <a:solidFill>
            <a:srgbClr val="000000"/>
          </a:solidFill>
          <a:prstDash val="solid"/>
          <a:round/>
          <a:headEnd type="stealth" w="sm" len="sm"/>
          <a:tailEnd type="stealth" w="sm" len="sm"/>
        </a:ln>
        <a:effectLst/>
      </xdr:spPr>
    </xdr:cxnSp>
    <xdr:clientData/>
  </xdr:twoCellAnchor>
  <xdr:twoCellAnchor>
    <xdr:from>
      <xdr:col>4</xdr:col>
      <xdr:colOff>619125</xdr:colOff>
      <xdr:row>111</xdr:row>
      <xdr:rowOff>34290</xdr:rowOff>
    </xdr:from>
    <xdr:to>
      <xdr:col>5</xdr:col>
      <xdr:colOff>300990</xdr:colOff>
      <xdr:row>112</xdr:row>
      <xdr:rowOff>13335</xdr:rowOff>
    </xdr:to>
    <xdr:sp macro="" textlink="">
      <xdr:nvSpPr>
        <xdr:cNvPr id="406" name="Rectangle 405">
          <a:extLst>
            <a:ext uri="{FF2B5EF4-FFF2-40B4-BE49-F238E27FC236}">
              <a16:creationId xmlns:a16="http://schemas.microsoft.com/office/drawing/2014/main" id="{00000000-0008-0000-0200-000096010000}"/>
            </a:ext>
          </a:extLst>
        </xdr:cNvPr>
        <xdr:cNvSpPr/>
      </xdr:nvSpPr>
      <xdr:spPr bwMode="auto">
        <a:xfrm>
          <a:off x="5229225" y="18093690"/>
          <a:ext cx="459105" cy="161925"/>
        </a:xfrm>
        <a:prstGeom prst="rect">
          <a:avLst/>
        </a:prstGeom>
        <a:solidFill>
          <a:schemeClr val="accent4">
            <a:lumMod val="40000"/>
            <a:lumOff val="60000"/>
          </a:schemeClr>
        </a:solidFill>
        <a:ln w="317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US" sz="1100"/>
        </a:p>
      </xdr:txBody>
    </xdr:sp>
    <xdr:clientData/>
  </xdr:twoCellAnchor>
  <xdr:twoCellAnchor>
    <xdr:from>
      <xdr:col>4</xdr:col>
      <xdr:colOff>619125</xdr:colOff>
      <xdr:row>112</xdr:row>
      <xdr:rowOff>15240</xdr:rowOff>
    </xdr:from>
    <xdr:to>
      <xdr:col>5</xdr:col>
      <xdr:colOff>302895</xdr:colOff>
      <xdr:row>112</xdr:row>
      <xdr:rowOff>80010</xdr:rowOff>
    </xdr:to>
    <xdr:sp macro="" textlink="">
      <xdr:nvSpPr>
        <xdr:cNvPr id="407" name="Rectangle 406">
          <a:extLst>
            <a:ext uri="{FF2B5EF4-FFF2-40B4-BE49-F238E27FC236}">
              <a16:creationId xmlns:a16="http://schemas.microsoft.com/office/drawing/2014/main" id="{00000000-0008-0000-0200-000097010000}"/>
            </a:ext>
          </a:extLst>
        </xdr:cNvPr>
        <xdr:cNvSpPr/>
      </xdr:nvSpPr>
      <xdr:spPr bwMode="auto">
        <a:xfrm>
          <a:off x="5229225" y="18257520"/>
          <a:ext cx="461010" cy="64770"/>
        </a:xfrm>
        <a:prstGeom prst="rect">
          <a:avLst/>
        </a:prstGeom>
        <a:solidFill>
          <a:srgbClr val="FFC000"/>
        </a:solidFill>
        <a:ln w="317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US" sz="1100"/>
        </a:p>
      </xdr:txBody>
    </xdr:sp>
    <xdr:clientData/>
  </xdr:twoCellAnchor>
  <xdr:twoCellAnchor>
    <xdr:from>
      <xdr:col>4</xdr:col>
      <xdr:colOff>619125</xdr:colOff>
      <xdr:row>112</xdr:row>
      <xdr:rowOff>80010</xdr:rowOff>
    </xdr:from>
    <xdr:to>
      <xdr:col>5</xdr:col>
      <xdr:colOff>299085</xdr:colOff>
      <xdr:row>113</xdr:row>
      <xdr:rowOff>64770</xdr:rowOff>
    </xdr:to>
    <xdr:sp macro="" textlink="">
      <xdr:nvSpPr>
        <xdr:cNvPr id="408" name="Rectangle 407">
          <a:extLst>
            <a:ext uri="{FF2B5EF4-FFF2-40B4-BE49-F238E27FC236}">
              <a16:creationId xmlns:a16="http://schemas.microsoft.com/office/drawing/2014/main" id="{00000000-0008-0000-0200-000098010000}"/>
            </a:ext>
          </a:extLst>
        </xdr:cNvPr>
        <xdr:cNvSpPr/>
      </xdr:nvSpPr>
      <xdr:spPr bwMode="auto">
        <a:xfrm>
          <a:off x="5229225" y="18322290"/>
          <a:ext cx="457200" cy="167640"/>
        </a:xfrm>
        <a:prstGeom prst="rect">
          <a:avLst/>
        </a:prstGeom>
        <a:solidFill>
          <a:schemeClr val="tx2">
            <a:lumMod val="40000"/>
            <a:lumOff val="60000"/>
          </a:schemeClr>
        </a:solidFill>
        <a:ln w="317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endParaRPr lang="en-US" sz="1100"/>
        </a:p>
      </xdr:txBody>
    </xdr:sp>
    <xdr:clientData/>
  </xdr:twoCellAnchor>
  <xdr:twoCellAnchor>
    <xdr:from>
      <xdr:col>5</xdr:col>
      <xdr:colOff>318770</xdr:colOff>
      <xdr:row>112</xdr:row>
      <xdr:rowOff>19050</xdr:rowOff>
    </xdr:from>
    <xdr:to>
      <xdr:col>5</xdr:col>
      <xdr:colOff>466090</xdr:colOff>
      <xdr:row>112</xdr:row>
      <xdr:rowOff>19050</xdr:rowOff>
    </xdr:to>
    <xdr:cxnSp macro="">
      <xdr:nvCxnSpPr>
        <xdr:cNvPr id="411" name="Straight Connector 410">
          <a:extLst>
            <a:ext uri="{FF2B5EF4-FFF2-40B4-BE49-F238E27FC236}">
              <a16:creationId xmlns:a16="http://schemas.microsoft.com/office/drawing/2014/main" id="{00000000-0008-0000-0200-00009B010000}"/>
            </a:ext>
          </a:extLst>
        </xdr:cNvPr>
        <xdr:cNvCxnSpPr/>
      </xdr:nvCxnSpPr>
      <xdr:spPr bwMode="auto">
        <a:xfrm rot="10800000">
          <a:off x="5706110" y="18261330"/>
          <a:ext cx="147320" cy="0"/>
        </a:xfrm>
        <a:prstGeom prst="line">
          <a:avLst/>
        </a:prstGeom>
        <a:solidFill>
          <a:srgbClr val="FFFFFF"/>
        </a:solidFill>
        <a:ln w="3175" cap="flat" cmpd="sng" algn="ctr">
          <a:solidFill>
            <a:srgbClr val="000000"/>
          </a:solidFill>
          <a:prstDash val="solid"/>
          <a:round/>
          <a:headEnd type="none" w="med" len="med"/>
          <a:tailEnd type="none" w="med" len="med"/>
        </a:ln>
        <a:effectLst/>
      </xdr:spPr>
    </xdr:cxnSp>
    <xdr:clientData/>
  </xdr:twoCellAnchor>
  <xdr:twoCellAnchor>
    <xdr:from>
      <xdr:col>5</xdr:col>
      <xdr:colOff>318770</xdr:colOff>
      <xdr:row>113</xdr:row>
      <xdr:rowOff>64770</xdr:rowOff>
    </xdr:from>
    <xdr:to>
      <xdr:col>5</xdr:col>
      <xdr:colOff>466090</xdr:colOff>
      <xdr:row>113</xdr:row>
      <xdr:rowOff>64770</xdr:rowOff>
    </xdr:to>
    <xdr:cxnSp macro="">
      <xdr:nvCxnSpPr>
        <xdr:cNvPr id="412" name="Straight Connector 411">
          <a:extLst>
            <a:ext uri="{FF2B5EF4-FFF2-40B4-BE49-F238E27FC236}">
              <a16:creationId xmlns:a16="http://schemas.microsoft.com/office/drawing/2014/main" id="{00000000-0008-0000-0200-00009C010000}"/>
            </a:ext>
          </a:extLst>
        </xdr:cNvPr>
        <xdr:cNvCxnSpPr/>
      </xdr:nvCxnSpPr>
      <xdr:spPr bwMode="auto">
        <a:xfrm rot="10800000">
          <a:off x="5706110" y="18489930"/>
          <a:ext cx="147320" cy="0"/>
        </a:xfrm>
        <a:prstGeom prst="line">
          <a:avLst/>
        </a:prstGeom>
        <a:solidFill>
          <a:srgbClr val="FFFFFF"/>
        </a:solidFill>
        <a:ln w="3175" cap="flat" cmpd="sng" algn="ctr">
          <a:solidFill>
            <a:srgbClr val="000000"/>
          </a:solidFill>
          <a:prstDash val="solid"/>
          <a:round/>
          <a:headEnd type="none" w="med" len="med"/>
          <a:tailEnd type="none" w="med" len="med"/>
        </a:ln>
        <a:effectLst/>
      </xdr:spPr>
    </xdr:cxnSp>
    <xdr:clientData/>
  </xdr:twoCellAnchor>
  <xdr:twoCellAnchor>
    <xdr:from>
      <xdr:col>4</xdr:col>
      <xdr:colOff>264795</xdr:colOff>
      <xdr:row>113</xdr:row>
      <xdr:rowOff>62865</xdr:rowOff>
    </xdr:from>
    <xdr:to>
      <xdr:col>4</xdr:col>
      <xdr:colOff>605155</xdr:colOff>
      <xdr:row>113</xdr:row>
      <xdr:rowOff>62865</xdr:rowOff>
    </xdr:to>
    <xdr:cxnSp macro="">
      <xdr:nvCxnSpPr>
        <xdr:cNvPr id="414" name="Straight Connector 413">
          <a:extLst>
            <a:ext uri="{FF2B5EF4-FFF2-40B4-BE49-F238E27FC236}">
              <a16:creationId xmlns:a16="http://schemas.microsoft.com/office/drawing/2014/main" id="{00000000-0008-0000-0200-00009E010000}"/>
            </a:ext>
          </a:extLst>
        </xdr:cNvPr>
        <xdr:cNvCxnSpPr/>
      </xdr:nvCxnSpPr>
      <xdr:spPr bwMode="auto">
        <a:xfrm rot="10800000">
          <a:off x="4874895" y="18488025"/>
          <a:ext cx="340360" cy="0"/>
        </a:xfrm>
        <a:prstGeom prst="line">
          <a:avLst/>
        </a:prstGeom>
        <a:solidFill>
          <a:srgbClr val="FFFFFF"/>
        </a:solidFill>
        <a:ln w="3175" cap="flat" cmpd="sng" algn="ctr">
          <a:solidFill>
            <a:srgbClr val="000000"/>
          </a:solidFill>
          <a:prstDash val="solid"/>
          <a:round/>
          <a:headEnd type="none" w="med" len="med"/>
          <a:tailEnd type="none" w="med" len="med"/>
        </a:ln>
        <a:effectLst/>
      </xdr:spPr>
    </xdr:cxnSp>
    <xdr:clientData/>
  </xdr:twoCellAnchor>
  <xdr:twoCellAnchor>
    <xdr:from>
      <xdr:col>4</xdr:col>
      <xdr:colOff>311151</xdr:colOff>
      <xdr:row>111</xdr:row>
      <xdr:rowOff>39687</xdr:rowOff>
    </xdr:from>
    <xdr:to>
      <xdr:col>4</xdr:col>
      <xdr:colOff>312739</xdr:colOff>
      <xdr:row>113</xdr:row>
      <xdr:rowOff>56038</xdr:rowOff>
    </xdr:to>
    <xdr:cxnSp macro="">
      <xdr:nvCxnSpPr>
        <xdr:cNvPr id="415" name="Straight Arrow Connector 414">
          <a:extLst>
            <a:ext uri="{FF2B5EF4-FFF2-40B4-BE49-F238E27FC236}">
              <a16:creationId xmlns:a16="http://schemas.microsoft.com/office/drawing/2014/main" id="{00000000-0008-0000-0200-00009F010000}"/>
            </a:ext>
          </a:extLst>
        </xdr:cNvPr>
        <xdr:cNvCxnSpPr/>
      </xdr:nvCxnSpPr>
      <xdr:spPr bwMode="auto">
        <a:xfrm rot="5400000">
          <a:off x="4730989" y="18289349"/>
          <a:ext cx="382111" cy="1588"/>
        </a:xfrm>
        <a:prstGeom prst="straightConnector1">
          <a:avLst/>
        </a:prstGeom>
        <a:solidFill>
          <a:srgbClr val="FFFFFF"/>
        </a:solidFill>
        <a:ln w="3175" cap="flat" cmpd="sng" algn="ctr">
          <a:solidFill>
            <a:srgbClr val="000000"/>
          </a:solidFill>
          <a:prstDash val="solid"/>
          <a:round/>
          <a:headEnd type="stealth" w="sm" len="sm"/>
          <a:tailEnd type="stealth" w="sm" len="sm"/>
        </a:ln>
        <a:effectLst/>
      </xdr:spPr>
    </xdr:cxnSp>
    <xdr:clientData/>
  </xdr:twoCellAnchor>
  <xdr:twoCellAnchor>
    <xdr:from>
      <xdr:col>3</xdr:col>
      <xdr:colOff>893897</xdr:colOff>
      <xdr:row>111</xdr:row>
      <xdr:rowOff>109762</xdr:rowOff>
    </xdr:from>
    <xdr:to>
      <xdr:col>4</xdr:col>
      <xdr:colOff>400050</xdr:colOff>
      <xdr:row>112</xdr:row>
      <xdr:rowOff>144779</xdr:rowOff>
    </xdr:to>
    <xdr:sp macro="" textlink="">
      <xdr:nvSpPr>
        <xdr:cNvPr id="417" name="TextBox 416">
          <a:extLst>
            <a:ext uri="{FF2B5EF4-FFF2-40B4-BE49-F238E27FC236}">
              <a16:creationId xmlns:a16="http://schemas.microsoft.com/office/drawing/2014/main" id="{00000000-0008-0000-0200-0000A1010000}"/>
            </a:ext>
          </a:extLst>
        </xdr:cNvPr>
        <xdr:cNvSpPr txBox="1"/>
      </xdr:nvSpPr>
      <xdr:spPr>
        <a:xfrm>
          <a:off x="4589597" y="18169162"/>
          <a:ext cx="420553" cy="2178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700" baseline="0"/>
            <a:t>L</a:t>
          </a:r>
          <a:r>
            <a:rPr lang="en-US" sz="700" baseline="-25000"/>
            <a:t>D (total)</a:t>
          </a:r>
          <a:r>
            <a:rPr lang="en-US" sz="700" baseline="0"/>
            <a:t> </a:t>
          </a:r>
        </a:p>
      </xdr:txBody>
    </xdr:sp>
    <xdr:clientData/>
  </xdr:twoCellAnchor>
  <xdr:twoCellAnchor>
    <xdr:from>
      <xdr:col>5</xdr:col>
      <xdr:colOff>306074</xdr:colOff>
      <xdr:row>113</xdr:row>
      <xdr:rowOff>78736</xdr:rowOff>
    </xdr:from>
    <xdr:to>
      <xdr:col>5</xdr:col>
      <xdr:colOff>306074</xdr:colOff>
      <xdr:row>114</xdr:row>
      <xdr:rowOff>38099</xdr:rowOff>
    </xdr:to>
    <xdr:cxnSp macro="">
      <xdr:nvCxnSpPr>
        <xdr:cNvPr id="418" name="Straight Connector 417">
          <a:extLst>
            <a:ext uri="{FF2B5EF4-FFF2-40B4-BE49-F238E27FC236}">
              <a16:creationId xmlns:a16="http://schemas.microsoft.com/office/drawing/2014/main" id="{00000000-0008-0000-0200-0000A2010000}"/>
            </a:ext>
          </a:extLst>
        </xdr:cNvPr>
        <xdr:cNvCxnSpPr/>
      </xdr:nvCxnSpPr>
      <xdr:spPr bwMode="auto">
        <a:xfrm rot="5400000">
          <a:off x="5622292" y="18575018"/>
          <a:ext cx="142243" cy="0"/>
        </a:xfrm>
        <a:prstGeom prst="line">
          <a:avLst/>
        </a:prstGeom>
        <a:solidFill>
          <a:srgbClr val="FFFFFF"/>
        </a:solidFill>
        <a:ln w="3175" cap="flat" cmpd="sng" algn="ctr">
          <a:solidFill>
            <a:srgbClr val="000000"/>
          </a:solidFill>
          <a:prstDash val="solid"/>
          <a:round/>
          <a:headEnd type="none" w="med" len="med"/>
          <a:tailEnd type="none" w="med" len="med"/>
        </a:ln>
        <a:effectLst/>
      </xdr:spPr>
    </xdr:cxnSp>
    <xdr:clientData/>
  </xdr:twoCellAnchor>
  <xdr:twoCellAnchor>
    <xdr:from>
      <xdr:col>4</xdr:col>
      <xdr:colOff>615315</xdr:colOff>
      <xdr:row>114</xdr:row>
      <xdr:rowOff>2223</xdr:rowOff>
    </xdr:from>
    <xdr:to>
      <xdr:col>5</xdr:col>
      <xdr:colOff>302260</xdr:colOff>
      <xdr:row>114</xdr:row>
      <xdr:rowOff>3811</xdr:rowOff>
    </xdr:to>
    <xdr:cxnSp macro="">
      <xdr:nvCxnSpPr>
        <xdr:cNvPr id="419" name="Straight Arrow Connector 418">
          <a:extLst>
            <a:ext uri="{FF2B5EF4-FFF2-40B4-BE49-F238E27FC236}">
              <a16:creationId xmlns:a16="http://schemas.microsoft.com/office/drawing/2014/main" id="{00000000-0008-0000-0200-0000A3010000}"/>
            </a:ext>
          </a:extLst>
        </xdr:cNvPr>
        <xdr:cNvCxnSpPr/>
      </xdr:nvCxnSpPr>
      <xdr:spPr bwMode="auto">
        <a:xfrm>
          <a:off x="5225415" y="18610263"/>
          <a:ext cx="464185" cy="1588"/>
        </a:xfrm>
        <a:prstGeom prst="straightConnector1">
          <a:avLst/>
        </a:prstGeom>
        <a:solidFill>
          <a:srgbClr val="FFFFFF"/>
        </a:solidFill>
        <a:ln w="3175" cap="flat" cmpd="sng" algn="ctr">
          <a:solidFill>
            <a:srgbClr val="000000"/>
          </a:solidFill>
          <a:prstDash val="solid"/>
          <a:round/>
          <a:headEnd type="stealth" w="sm" len="sm"/>
          <a:tailEnd type="stealth" w="sm" len="sm"/>
        </a:ln>
        <a:effectLst/>
      </xdr:spPr>
    </xdr:cxnSp>
    <xdr:clientData/>
  </xdr:twoCellAnchor>
  <xdr:twoCellAnchor>
    <xdr:from>
      <xdr:col>4</xdr:col>
      <xdr:colOff>704032</xdr:colOff>
      <xdr:row>113</xdr:row>
      <xdr:rowOff>14513</xdr:rowOff>
    </xdr:from>
    <xdr:to>
      <xdr:col>5</xdr:col>
      <xdr:colOff>245745</xdr:colOff>
      <xdr:row>114</xdr:row>
      <xdr:rowOff>48895</xdr:rowOff>
    </xdr:to>
    <xdr:sp macro="" textlink="">
      <xdr:nvSpPr>
        <xdr:cNvPr id="420" name="TextBox 419">
          <a:extLst>
            <a:ext uri="{FF2B5EF4-FFF2-40B4-BE49-F238E27FC236}">
              <a16:creationId xmlns:a16="http://schemas.microsoft.com/office/drawing/2014/main" id="{00000000-0008-0000-0200-0000A4010000}"/>
            </a:ext>
          </a:extLst>
        </xdr:cNvPr>
        <xdr:cNvSpPr txBox="1"/>
      </xdr:nvSpPr>
      <xdr:spPr>
        <a:xfrm>
          <a:off x="5314132" y="18927353"/>
          <a:ext cx="318953" cy="2172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700" baseline="0"/>
            <a:t>W</a:t>
          </a:r>
          <a:r>
            <a:rPr lang="en-US" sz="700" baseline="-25000"/>
            <a:t>D</a:t>
          </a:r>
          <a:r>
            <a:rPr lang="en-US" sz="700" baseline="0"/>
            <a:t> </a:t>
          </a:r>
        </a:p>
      </xdr:txBody>
    </xdr:sp>
    <xdr:clientData/>
  </xdr:twoCellAnchor>
  <xdr:twoCellAnchor>
    <xdr:from>
      <xdr:col>4</xdr:col>
      <xdr:colOff>616585</xdr:colOff>
      <xdr:row>113</xdr:row>
      <xdr:rowOff>86360</xdr:rowOff>
    </xdr:from>
    <xdr:to>
      <xdr:col>4</xdr:col>
      <xdr:colOff>616585</xdr:colOff>
      <xdr:row>114</xdr:row>
      <xdr:rowOff>38100</xdr:rowOff>
    </xdr:to>
    <xdr:cxnSp macro="">
      <xdr:nvCxnSpPr>
        <xdr:cNvPr id="421" name="Straight Connector 420">
          <a:extLst>
            <a:ext uri="{FF2B5EF4-FFF2-40B4-BE49-F238E27FC236}">
              <a16:creationId xmlns:a16="http://schemas.microsoft.com/office/drawing/2014/main" id="{00000000-0008-0000-0200-0000A5010000}"/>
            </a:ext>
          </a:extLst>
        </xdr:cNvPr>
        <xdr:cNvCxnSpPr/>
      </xdr:nvCxnSpPr>
      <xdr:spPr bwMode="auto">
        <a:xfrm rot="5400000">
          <a:off x="5159375" y="18578830"/>
          <a:ext cx="134620" cy="0"/>
        </a:xfrm>
        <a:prstGeom prst="line">
          <a:avLst/>
        </a:prstGeom>
        <a:solidFill>
          <a:srgbClr val="FFFFFF"/>
        </a:solidFill>
        <a:ln w="3175" cap="flat" cmpd="sng" algn="ctr">
          <a:solidFill>
            <a:srgbClr val="000000"/>
          </a:solidFill>
          <a:prstDash val="solid"/>
          <a:round/>
          <a:headEnd type="none" w="med" len="med"/>
          <a:tailEnd type="none" w="med" len="med"/>
        </a:ln>
        <a:effectLst/>
      </xdr:spPr>
    </xdr:cxnSp>
    <xdr:clientData/>
  </xdr:twoCellAnchor>
  <xdr:twoCellAnchor>
    <xdr:from>
      <xdr:col>5</xdr:col>
      <xdr:colOff>32837</xdr:colOff>
      <xdr:row>112</xdr:row>
      <xdr:rowOff>53248</xdr:rowOff>
    </xdr:from>
    <xdr:to>
      <xdr:col>5</xdr:col>
      <xdr:colOff>351790</xdr:colOff>
      <xdr:row>113</xdr:row>
      <xdr:rowOff>48894</xdr:rowOff>
    </xdr:to>
    <xdr:sp macro="" textlink="">
      <xdr:nvSpPr>
        <xdr:cNvPr id="424" name="TextBox 423">
          <a:extLst>
            <a:ext uri="{FF2B5EF4-FFF2-40B4-BE49-F238E27FC236}">
              <a16:creationId xmlns:a16="http://schemas.microsoft.com/office/drawing/2014/main" id="{00000000-0008-0000-0200-0000A8010000}"/>
            </a:ext>
          </a:extLst>
        </xdr:cNvPr>
        <xdr:cNvSpPr txBox="1"/>
      </xdr:nvSpPr>
      <xdr:spPr>
        <a:xfrm>
          <a:off x="5420177" y="18295528"/>
          <a:ext cx="318953" cy="1785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700" baseline="0"/>
            <a:t>P</a:t>
          </a:r>
          <a:endParaRPr lang="en-US" sz="700" baseline="-25000"/>
        </a:p>
      </xdr:txBody>
    </xdr:sp>
    <xdr:clientData/>
  </xdr:twoCellAnchor>
  <xdr:twoCellAnchor>
    <xdr:from>
      <xdr:col>5</xdr:col>
      <xdr:colOff>52071</xdr:colOff>
      <xdr:row>112</xdr:row>
      <xdr:rowOff>119380</xdr:rowOff>
    </xdr:from>
    <xdr:to>
      <xdr:col>5</xdr:col>
      <xdr:colOff>97790</xdr:colOff>
      <xdr:row>112</xdr:row>
      <xdr:rowOff>165099</xdr:rowOff>
    </xdr:to>
    <xdr:sp macro="" textlink="">
      <xdr:nvSpPr>
        <xdr:cNvPr id="425" name="Oval 424">
          <a:extLst>
            <a:ext uri="{FF2B5EF4-FFF2-40B4-BE49-F238E27FC236}">
              <a16:creationId xmlns:a16="http://schemas.microsoft.com/office/drawing/2014/main" id="{00000000-0008-0000-0200-0000A9010000}"/>
            </a:ext>
          </a:extLst>
        </xdr:cNvPr>
        <xdr:cNvSpPr/>
      </xdr:nvSpPr>
      <xdr:spPr bwMode="auto">
        <a:xfrm>
          <a:off x="5439411" y="18361660"/>
          <a:ext cx="45719" cy="45719"/>
        </a:xfrm>
        <a:prstGeom prst="ellipse">
          <a:avLst/>
        </a:prstGeom>
        <a:solidFill>
          <a:srgbClr val="FF00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lang="en-US" sz="1100"/>
        </a:p>
      </xdr:txBody>
    </xdr:sp>
    <xdr:clientData/>
  </xdr:twoCellAnchor>
  <xdr:twoCellAnchor>
    <xdr:from>
      <xdr:col>5</xdr:col>
      <xdr:colOff>39187</xdr:colOff>
      <xdr:row>111</xdr:row>
      <xdr:rowOff>38643</xdr:rowOff>
    </xdr:from>
    <xdr:to>
      <xdr:col>5</xdr:col>
      <xdr:colOff>358140</xdr:colOff>
      <xdr:row>112</xdr:row>
      <xdr:rowOff>34289</xdr:rowOff>
    </xdr:to>
    <xdr:sp macro="" textlink="">
      <xdr:nvSpPr>
        <xdr:cNvPr id="426" name="TextBox 425">
          <a:extLst>
            <a:ext uri="{FF2B5EF4-FFF2-40B4-BE49-F238E27FC236}">
              <a16:creationId xmlns:a16="http://schemas.microsoft.com/office/drawing/2014/main" id="{00000000-0008-0000-0200-0000AA010000}"/>
            </a:ext>
          </a:extLst>
        </xdr:cNvPr>
        <xdr:cNvSpPr txBox="1"/>
      </xdr:nvSpPr>
      <xdr:spPr>
        <a:xfrm>
          <a:off x="5426527" y="18098043"/>
          <a:ext cx="318953" cy="1785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700" baseline="0"/>
            <a:t>P</a:t>
          </a:r>
          <a:endParaRPr lang="en-US" sz="700" baseline="-25000"/>
        </a:p>
      </xdr:txBody>
    </xdr:sp>
    <xdr:clientData/>
  </xdr:twoCellAnchor>
  <xdr:twoCellAnchor>
    <xdr:from>
      <xdr:col>5</xdr:col>
      <xdr:colOff>55246</xdr:colOff>
      <xdr:row>111</xdr:row>
      <xdr:rowOff>117475</xdr:rowOff>
    </xdr:from>
    <xdr:to>
      <xdr:col>5</xdr:col>
      <xdr:colOff>100965</xdr:colOff>
      <xdr:row>111</xdr:row>
      <xdr:rowOff>163194</xdr:rowOff>
    </xdr:to>
    <xdr:sp macro="" textlink="">
      <xdr:nvSpPr>
        <xdr:cNvPr id="427" name="Oval 426">
          <a:extLst>
            <a:ext uri="{FF2B5EF4-FFF2-40B4-BE49-F238E27FC236}">
              <a16:creationId xmlns:a16="http://schemas.microsoft.com/office/drawing/2014/main" id="{00000000-0008-0000-0200-0000AB010000}"/>
            </a:ext>
          </a:extLst>
        </xdr:cNvPr>
        <xdr:cNvSpPr/>
      </xdr:nvSpPr>
      <xdr:spPr bwMode="auto">
        <a:xfrm>
          <a:off x="5442586" y="18176875"/>
          <a:ext cx="45719" cy="45719"/>
        </a:xfrm>
        <a:prstGeom prst="ellipse">
          <a:avLst/>
        </a:prstGeom>
        <a:solidFill>
          <a:srgbClr val="FF0000"/>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ctr"/>
          <a:endParaRPr lang="en-US" sz="1100"/>
        </a:p>
      </xdr:txBody>
    </xdr:sp>
    <xdr:clientData/>
  </xdr:twoCellAnchor>
  <xdr:twoCellAnchor>
    <xdr:from>
      <xdr:col>3</xdr:col>
      <xdr:colOff>687704</xdr:colOff>
      <xdr:row>114</xdr:row>
      <xdr:rowOff>64770</xdr:rowOff>
    </xdr:from>
    <xdr:to>
      <xdr:col>7</xdr:col>
      <xdr:colOff>106680</xdr:colOff>
      <xdr:row>116</xdr:row>
      <xdr:rowOff>88900</xdr:rowOff>
    </xdr:to>
    <xdr:sp macro="" textlink="">
      <xdr:nvSpPr>
        <xdr:cNvPr id="428" name="TextBox 427">
          <a:extLst>
            <a:ext uri="{FF2B5EF4-FFF2-40B4-BE49-F238E27FC236}">
              <a16:creationId xmlns:a16="http://schemas.microsoft.com/office/drawing/2014/main" id="{00000000-0008-0000-0200-0000AC010000}"/>
            </a:ext>
          </a:extLst>
        </xdr:cNvPr>
        <xdr:cNvSpPr txBox="1"/>
      </xdr:nvSpPr>
      <xdr:spPr>
        <a:xfrm>
          <a:off x="4383404" y="19610070"/>
          <a:ext cx="2047876" cy="3898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US" sz="700" b="1" u="sng"/>
            <a:t>Axle loads distributed area </a:t>
          </a:r>
        </a:p>
        <a:p>
          <a:pPr algn="ctr"/>
          <a:r>
            <a:rPr lang="en-US" sz="700" b="0" u="none"/>
            <a:t> (overlapping along</a:t>
          </a:r>
          <a:r>
            <a:rPr lang="en-US" sz="700" b="0" u="none" baseline="0"/>
            <a:t> the direction of travel</a:t>
          </a:r>
          <a:r>
            <a:rPr lang="en-US" sz="700" b="0" u="none"/>
            <a:t>)</a:t>
          </a:r>
          <a:r>
            <a:rPr lang="en-US" sz="700" b="0" u="none" baseline="0"/>
            <a:t> </a:t>
          </a:r>
        </a:p>
      </xdr:txBody>
    </xdr:sp>
    <xdr:clientData/>
  </xdr:twoCellAnchor>
  <xdr:twoCellAnchor>
    <xdr:from>
      <xdr:col>2</xdr:col>
      <xdr:colOff>597376</xdr:colOff>
      <xdr:row>111</xdr:row>
      <xdr:rowOff>38894</xdr:rowOff>
    </xdr:from>
    <xdr:to>
      <xdr:col>2</xdr:col>
      <xdr:colOff>598964</xdr:colOff>
      <xdr:row>112</xdr:row>
      <xdr:rowOff>153194</xdr:rowOff>
    </xdr:to>
    <xdr:cxnSp macro="">
      <xdr:nvCxnSpPr>
        <xdr:cNvPr id="124" name="Straight Arrow Connector 123">
          <a:extLst>
            <a:ext uri="{FF2B5EF4-FFF2-40B4-BE49-F238E27FC236}">
              <a16:creationId xmlns:a16="http://schemas.microsoft.com/office/drawing/2014/main" id="{00000000-0008-0000-0200-00007C000000}"/>
            </a:ext>
          </a:extLst>
        </xdr:cNvPr>
        <xdr:cNvCxnSpPr/>
      </xdr:nvCxnSpPr>
      <xdr:spPr bwMode="auto">
        <a:xfrm rot="5400000">
          <a:off x="3048000" y="19183350"/>
          <a:ext cx="297180" cy="1588"/>
        </a:xfrm>
        <a:prstGeom prst="straightConnector1">
          <a:avLst/>
        </a:prstGeom>
        <a:solidFill>
          <a:srgbClr val="FFFFFF"/>
        </a:solidFill>
        <a:ln w="3175" cap="flat" cmpd="sng" algn="ctr">
          <a:solidFill>
            <a:srgbClr val="000000"/>
          </a:solidFill>
          <a:prstDash val="solid"/>
          <a:round/>
          <a:headEnd type="stealth" w="med" len="med"/>
          <a:tailEnd type="stealth"/>
        </a:ln>
        <a:effectLst/>
      </xdr:spPr>
    </xdr:cxnSp>
    <xdr:clientData/>
  </xdr:twoCellAnchor>
  <xdr:twoCellAnchor>
    <xdr:from>
      <xdr:col>2</xdr:col>
      <xdr:colOff>525215</xdr:colOff>
      <xdr:row>111</xdr:row>
      <xdr:rowOff>86765</xdr:rowOff>
    </xdr:from>
    <xdr:to>
      <xdr:col>3</xdr:col>
      <xdr:colOff>745671</xdr:colOff>
      <xdr:row>112</xdr:row>
      <xdr:rowOff>106341</xdr:rowOff>
    </xdr:to>
    <xdr:sp macro="" textlink="">
      <xdr:nvSpPr>
        <xdr:cNvPr id="125" name="TextBox 124">
          <a:extLst>
            <a:ext uri="{FF2B5EF4-FFF2-40B4-BE49-F238E27FC236}">
              <a16:creationId xmlns:a16="http://schemas.microsoft.com/office/drawing/2014/main" id="{00000000-0008-0000-0200-00007D000000}"/>
            </a:ext>
          </a:extLst>
        </xdr:cNvPr>
        <xdr:cNvSpPr txBox="1"/>
      </xdr:nvSpPr>
      <xdr:spPr>
        <a:xfrm>
          <a:off x="2577172" y="24378236"/>
          <a:ext cx="1091313" cy="2046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700" spc="0" baseline="0"/>
            <a:t>Direction of Travel</a:t>
          </a:r>
        </a:p>
      </xdr:txBody>
    </xdr:sp>
    <xdr:clientData/>
  </xdr:twoCellAnchor>
  <mc:AlternateContent xmlns:mc="http://schemas.openxmlformats.org/markup-compatibility/2006">
    <mc:Choice xmlns:a14="http://schemas.microsoft.com/office/drawing/2010/main" Requires="a14">
      <xdr:twoCellAnchor editAs="oneCell">
        <xdr:from>
          <xdr:col>1</xdr:col>
          <xdr:colOff>9525</xdr:colOff>
          <xdr:row>69</xdr:row>
          <xdr:rowOff>47625</xdr:rowOff>
        </xdr:from>
        <xdr:to>
          <xdr:col>3</xdr:col>
          <xdr:colOff>361950</xdr:colOff>
          <xdr:row>71</xdr:row>
          <xdr:rowOff>66675</xdr:rowOff>
        </xdr:to>
        <xdr:sp macro="" textlink="">
          <xdr:nvSpPr>
            <xdr:cNvPr id="11274" name="Object 10" hidden="1">
              <a:extLst>
                <a:ext uri="{63B3BB69-23CF-44E3-9099-C40C66FF867C}">
                  <a14:compatExt spid="_x0000_s11274"/>
                </a:ext>
                <a:ext uri="{FF2B5EF4-FFF2-40B4-BE49-F238E27FC236}">
                  <a16:creationId xmlns:a16="http://schemas.microsoft.com/office/drawing/2014/main" id="{00000000-0008-0000-0200-00000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71</xdr:row>
          <xdr:rowOff>152400</xdr:rowOff>
        </xdr:from>
        <xdr:to>
          <xdr:col>3</xdr:col>
          <xdr:colOff>361950</xdr:colOff>
          <xdr:row>73</xdr:row>
          <xdr:rowOff>57150</xdr:rowOff>
        </xdr:to>
        <xdr:sp macro="" textlink="">
          <xdr:nvSpPr>
            <xdr:cNvPr id="11275" name="Object 11" hidden="1">
              <a:extLst>
                <a:ext uri="{63B3BB69-23CF-44E3-9099-C40C66FF867C}">
                  <a14:compatExt spid="_x0000_s11275"/>
                </a:ext>
                <a:ext uri="{FF2B5EF4-FFF2-40B4-BE49-F238E27FC236}">
                  <a16:creationId xmlns:a16="http://schemas.microsoft.com/office/drawing/2014/main" id="{00000000-0008-0000-0200-00000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73</xdr:row>
          <xdr:rowOff>171450</xdr:rowOff>
        </xdr:from>
        <xdr:to>
          <xdr:col>4</xdr:col>
          <xdr:colOff>666750</xdr:colOff>
          <xdr:row>75</xdr:row>
          <xdr:rowOff>76200</xdr:rowOff>
        </xdr:to>
        <xdr:sp macro="" textlink="">
          <xdr:nvSpPr>
            <xdr:cNvPr id="11278" name="Object 14" hidden="1">
              <a:extLst>
                <a:ext uri="{63B3BB69-23CF-44E3-9099-C40C66FF867C}">
                  <a14:compatExt spid="_x0000_s11278"/>
                </a:ext>
                <a:ext uri="{FF2B5EF4-FFF2-40B4-BE49-F238E27FC236}">
                  <a16:creationId xmlns:a16="http://schemas.microsoft.com/office/drawing/2014/main" id="{00000000-0008-0000-0200-00000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904875</xdr:colOff>
          <xdr:row>200</xdr:row>
          <xdr:rowOff>28575</xdr:rowOff>
        </xdr:from>
        <xdr:to>
          <xdr:col>2</xdr:col>
          <xdr:colOff>666750</xdr:colOff>
          <xdr:row>201</xdr:row>
          <xdr:rowOff>200025</xdr:rowOff>
        </xdr:to>
        <xdr:sp macro="" textlink="">
          <xdr:nvSpPr>
            <xdr:cNvPr id="11343" name="Object 79" hidden="1">
              <a:extLst>
                <a:ext uri="{63B3BB69-23CF-44E3-9099-C40C66FF867C}">
                  <a14:compatExt spid="_x0000_s11343"/>
                </a:ext>
                <a:ext uri="{FF2B5EF4-FFF2-40B4-BE49-F238E27FC236}">
                  <a16:creationId xmlns:a16="http://schemas.microsoft.com/office/drawing/2014/main" id="{00000000-0008-0000-0200-00004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205</xdr:row>
          <xdr:rowOff>19050</xdr:rowOff>
        </xdr:from>
        <xdr:to>
          <xdr:col>3</xdr:col>
          <xdr:colOff>209550</xdr:colOff>
          <xdr:row>206</xdr:row>
          <xdr:rowOff>19050</xdr:rowOff>
        </xdr:to>
        <xdr:sp macro="" textlink="">
          <xdr:nvSpPr>
            <xdr:cNvPr id="11345" name="Object 81" hidden="1">
              <a:extLst>
                <a:ext uri="{63B3BB69-23CF-44E3-9099-C40C66FF867C}">
                  <a14:compatExt spid="_x0000_s11345"/>
                </a:ext>
                <a:ext uri="{FF2B5EF4-FFF2-40B4-BE49-F238E27FC236}">
                  <a16:creationId xmlns:a16="http://schemas.microsoft.com/office/drawing/2014/main" id="{00000000-0008-0000-0200-00005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904875</xdr:colOff>
          <xdr:row>223</xdr:row>
          <xdr:rowOff>9525</xdr:rowOff>
        </xdr:from>
        <xdr:to>
          <xdr:col>2</xdr:col>
          <xdr:colOff>590550</xdr:colOff>
          <xdr:row>225</xdr:row>
          <xdr:rowOff>19050</xdr:rowOff>
        </xdr:to>
        <xdr:sp macro="" textlink="">
          <xdr:nvSpPr>
            <xdr:cNvPr id="11349" name="Object 85" hidden="1">
              <a:extLst>
                <a:ext uri="{63B3BB69-23CF-44E3-9099-C40C66FF867C}">
                  <a14:compatExt spid="_x0000_s11349"/>
                </a:ext>
                <a:ext uri="{FF2B5EF4-FFF2-40B4-BE49-F238E27FC236}">
                  <a16:creationId xmlns:a16="http://schemas.microsoft.com/office/drawing/2014/main" id="{00000000-0008-0000-0200-00005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228600</xdr:colOff>
          <xdr:row>181</xdr:row>
          <xdr:rowOff>19050</xdr:rowOff>
        </xdr:from>
        <xdr:to>
          <xdr:col>1</xdr:col>
          <xdr:colOff>1047750</xdr:colOff>
          <xdr:row>181</xdr:row>
          <xdr:rowOff>247650</xdr:rowOff>
        </xdr:to>
        <xdr:sp macro="" textlink="">
          <xdr:nvSpPr>
            <xdr:cNvPr id="11353" name="Object 89" hidden="1">
              <a:extLst>
                <a:ext uri="{63B3BB69-23CF-44E3-9099-C40C66FF867C}">
                  <a14:compatExt spid="_x0000_s11353"/>
                </a:ext>
                <a:ext uri="{FF2B5EF4-FFF2-40B4-BE49-F238E27FC236}">
                  <a16:creationId xmlns:a16="http://schemas.microsoft.com/office/drawing/2014/main" id="{00000000-0008-0000-0200-00005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533400</xdr:colOff>
          <xdr:row>188</xdr:row>
          <xdr:rowOff>38100</xdr:rowOff>
        </xdr:from>
        <xdr:to>
          <xdr:col>1</xdr:col>
          <xdr:colOff>1114425</xdr:colOff>
          <xdr:row>188</xdr:row>
          <xdr:rowOff>228600</xdr:rowOff>
        </xdr:to>
        <xdr:sp macro="" textlink="">
          <xdr:nvSpPr>
            <xdr:cNvPr id="11354" name="Object 90" hidden="1">
              <a:extLst>
                <a:ext uri="{63B3BB69-23CF-44E3-9099-C40C66FF867C}">
                  <a14:compatExt spid="_x0000_s11354"/>
                </a:ext>
                <a:ext uri="{FF2B5EF4-FFF2-40B4-BE49-F238E27FC236}">
                  <a16:creationId xmlns:a16="http://schemas.microsoft.com/office/drawing/2014/main" id="{00000000-0008-0000-0200-00005A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361950</xdr:colOff>
          <xdr:row>179</xdr:row>
          <xdr:rowOff>276225</xdr:rowOff>
        </xdr:from>
        <xdr:to>
          <xdr:col>1</xdr:col>
          <xdr:colOff>1009650</xdr:colOff>
          <xdr:row>180</xdr:row>
          <xdr:rowOff>276225</xdr:rowOff>
        </xdr:to>
        <xdr:sp macro="" textlink="">
          <xdr:nvSpPr>
            <xdr:cNvPr id="11355" name="Object 91" hidden="1">
              <a:extLst>
                <a:ext uri="{63B3BB69-23CF-44E3-9099-C40C66FF867C}">
                  <a14:compatExt spid="_x0000_s11355"/>
                </a:ext>
                <a:ext uri="{FF2B5EF4-FFF2-40B4-BE49-F238E27FC236}">
                  <a16:creationId xmlns:a16="http://schemas.microsoft.com/office/drawing/2014/main" id="{00000000-0008-0000-0200-00005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203</xdr:row>
          <xdr:rowOff>19050</xdr:rowOff>
        </xdr:from>
        <xdr:to>
          <xdr:col>2</xdr:col>
          <xdr:colOff>247650</xdr:colOff>
          <xdr:row>205</xdr:row>
          <xdr:rowOff>0</xdr:rowOff>
        </xdr:to>
        <xdr:sp macro="" textlink="">
          <xdr:nvSpPr>
            <xdr:cNvPr id="11356" name="Object 92" hidden="1">
              <a:extLst>
                <a:ext uri="{63B3BB69-23CF-44E3-9099-C40C66FF867C}">
                  <a14:compatExt spid="_x0000_s11356"/>
                </a:ext>
                <a:ext uri="{FF2B5EF4-FFF2-40B4-BE49-F238E27FC236}">
                  <a16:creationId xmlns:a16="http://schemas.microsoft.com/office/drawing/2014/main" id="{00000000-0008-0000-0200-00005C2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xdr:col>
      <xdr:colOff>0</xdr:colOff>
      <xdr:row>41</xdr:row>
      <xdr:rowOff>0</xdr:rowOff>
    </xdr:from>
    <xdr:to>
      <xdr:col>19</xdr:col>
      <xdr:colOff>327660</xdr:colOff>
      <xdr:row>131</xdr:row>
      <xdr:rowOff>99060</xdr:rowOff>
    </xdr:to>
    <xdr:sp macro="" textlink="">
      <xdr:nvSpPr>
        <xdr:cNvPr id="2" name="AutoShape 4">
          <a:extLst>
            <a:ext uri="{FF2B5EF4-FFF2-40B4-BE49-F238E27FC236}">
              <a16:creationId xmlns:a16="http://schemas.microsoft.com/office/drawing/2014/main" id="{00000000-0008-0000-0600-000002000000}"/>
            </a:ext>
          </a:extLst>
        </xdr:cNvPr>
        <xdr:cNvSpPr>
          <a:spLocks noChangeAspect="1" noChangeArrowheads="1" noTextEdit="1"/>
        </xdr:cNvSpPr>
      </xdr:nvSpPr>
      <xdr:spPr bwMode="auto">
        <a:xfrm>
          <a:off x="259080" y="6873240"/>
          <a:ext cx="10675620" cy="15186660"/>
        </a:xfrm>
        <a:prstGeom prst="rect">
          <a:avLst/>
        </a:prstGeom>
        <a:noFill/>
        <a:ln w="9525">
          <a:noFill/>
          <a:miter lim="800000"/>
          <a:headEnd/>
          <a:tailEnd/>
        </a:ln>
      </xdr:spPr>
    </xdr:sp>
    <xdr:clientData/>
  </xdr:twoCellAnchor>
  <xdr:twoCellAnchor editAs="oneCell">
    <xdr:from>
      <xdr:col>17</xdr:col>
      <xdr:colOff>167640</xdr:colOff>
      <xdr:row>1</xdr:row>
      <xdr:rowOff>0</xdr:rowOff>
    </xdr:from>
    <xdr:to>
      <xdr:col>25</xdr:col>
      <xdr:colOff>601980</xdr:colOff>
      <xdr:row>40</xdr:row>
      <xdr:rowOff>160020</xdr:rowOff>
    </xdr:to>
    <xdr:pic>
      <xdr:nvPicPr>
        <xdr:cNvPr id="4" name="Picture 10">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997440" y="167640"/>
          <a:ext cx="5036820" cy="6697980"/>
        </a:xfrm>
        <a:prstGeom prst="rect">
          <a:avLst/>
        </a:prstGeom>
        <a:noFill/>
      </xdr:spPr>
    </xdr:pic>
    <xdr:clientData/>
  </xdr:twoCellAnchor>
  <xdr:twoCellAnchor editAs="oneCell">
    <xdr:from>
      <xdr:col>9</xdr:col>
      <xdr:colOff>0</xdr:colOff>
      <xdr:row>1</xdr:row>
      <xdr:rowOff>0</xdr:rowOff>
    </xdr:from>
    <xdr:to>
      <xdr:col>17</xdr:col>
      <xdr:colOff>22860</xdr:colOff>
      <xdr:row>40</xdr:row>
      <xdr:rowOff>121920</xdr:rowOff>
    </xdr:to>
    <xdr:pic>
      <xdr:nvPicPr>
        <xdr:cNvPr id="5" name="Picture 11">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5105400" y="167640"/>
          <a:ext cx="4960620" cy="6659880"/>
        </a:xfrm>
        <a:prstGeom prst="rect">
          <a:avLst/>
        </a:prstGeom>
        <a:noFill/>
      </xdr:spPr>
    </xdr:pic>
    <xdr:clientData/>
  </xdr:twoCellAnchor>
  <xdr:twoCellAnchor editAs="oneCell">
    <xdr:from>
      <xdr:col>26</xdr:col>
      <xdr:colOff>91440</xdr:colOff>
      <xdr:row>0</xdr:row>
      <xdr:rowOff>137160</xdr:rowOff>
    </xdr:from>
    <xdr:to>
      <xdr:col>36</xdr:col>
      <xdr:colOff>1470660</xdr:colOff>
      <xdr:row>40</xdr:row>
      <xdr:rowOff>83820</xdr:rowOff>
    </xdr:to>
    <xdr:pic>
      <xdr:nvPicPr>
        <xdr:cNvPr id="6" name="Picture 12">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rot="60000">
          <a:off x="16931640" y="137160"/>
          <a:ext cx="5631180" cy="6652260"/>
        </a:xfrm>
        <a:prstGeom prst="rect">
          <a:avLst/>
        </a:prstGeom>
        <a:noFill/>
      </xdr:spPr>
    </xdr:pic>
    <xdr:clientData/>
  </xdr:twoCellAnchor>
  <xdr:twoCellAnchor editAs="oneCell">
    <xdr:from>
      <xdr:col>36</xdr:col>
      <xdr:colOff>1501140</xdr:colOff>
      <xdr:row>0</xdr:row>
      <xdr:rowOff>106680</xdr:rowOff>
    </xdr:from>
    <xdr:to>
      <xdr:col>46</xdr:col>
      <xdr:colOff>121920</xdr:colOff>
      <xdr:row>40</xdr:row>
      <xdr:rowOff>53340</xdr:rowOff>
    </xdr:to>
    <xdr:pic>
      <xdr:nvPicPr>
        <xdr:cNvPr id="7" name="Picture 13">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rot="60000">
          <a:off x="22562820" y="106680"/>
          <a:ext cx="5600700" cy="6652260"/>
        </a:xfrm>
        <a:prstGeom prst="rect">
          <a:avLst/>
        </a:prstGeom>
        <a:noFill/>
      </xdr:spPr>
    </xdr:pic>
    <xdr:clientData/>
  </xdr:twoCellAnchor>
  <xdr:twoCellAnchor editAs="oneCell">
    <xdr:from>
      <xdr:col>46</xdr:col>
      <xdr:colOff>121920</xdr:colOff>
      <xdr:row>0</xdr:row>
      <xdr:rowOff>99060</xdr:rowOff>
    </xdr:from>
    <xdr:to>
      <xdr:col>56</xdr:col>
      <xdr:colOff>144780</xdr:colOff>
      <xdr:row>40</xdr:row>
      <xdr:rowOff>68580</xdr:rowOff>
    </xdr:to>
    <xdr:pic>
      <xdr:nvPicPr>
        <xdr:cNvPr id="8" name="Picture 14">
          <a:extLst>
            <a:ext uri="{FF2B5EF4-FFF2-40B4-BE49-F238E27FC236}">
              <a16:creationId xmlns:a16="http://schemas.microsoft.com/office/drawing/2014/main" id="{00000000-0008-0000-0600-000008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rot="60000">
          <a:off x="28194000" y="99060"/>
          <a:ext cx="5570220" cy="6675120"/>
        </a:xfrm>
        <a:prstGeom prst="rect">
          <a:avLst/>
        </a:prstGeom>
        <a:noFill/>
      </xdr:spPr>
    </xdr:pic>
    <xdr:clientData/>
  </xdr:twoCellAnchor>
  <xdr:twoCellAnchor editAs="oneCell">
    <xdr:from>
      <xdr:col>55</xdr:col>
      <xdr:colOff>601980</xdr:colOff>
      <xdr:row>1</xdr:row>
      <xdr:rowOff>-1</xdr:rowOff>
    </xdr:from>
    <xdr:to>
      <xdr:col>64</xdr:col>
      <xdr:colOff>571500</xdr:colOff>
      <xdr:row>40</xdr:row>
      <xdr:rowOff>129539</xdr:rowOff>
    </xdr:to>
    <xdr:pic>
      <xdr:nvPicPr>
        <xdr:cNvPr id="9" name="Picture 15">
          <a:extLst>
            <a:ext uri="{FF2B5EF4-FFF2-40B4-BE49-F238E27FC236}">
              <a16:creationId xmlns:a16="http://schemas.microsoft.com/office/drawing/2014/main" id="{00000000-0008-0000-0600-000009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rot="60000">
          <a:off x="33611820" y="167639"/>
          <a:ext cx="5029200" cy="6667500"/>
        </a:xfrm>
        <a:prstGeom prst="rect">
          <a:avLst/>
        </a:prstGeom>
        <a:noFill/>
      </xdr:spPr>
    </xdr:pic>
    <xdr:clientData/>
  </xdr:twoCellAnchor>
  <xdr:twoCellAnchor editAs="oneCell">
    <xdr:from>
      <xdr:col>64</xdr:col>
      <xdr:colOff>487680</xdr:colOff>
      <xdr:row>0</xdr:row>
      <xdr:rowOff>91440</xdr:rowOff>
    </xdr:from>
    <xdr:to>
      <xdr:col>74</xdr:col>
      <xdr:colOff>373380</xdr:colOff>
      <xdr:row>40</xdr:row>
      <xdr:rowOff>83820</xdr:rowOff>
    </xdr:to>
    <xdr:pic>
      <xdr:nvPicPr>
        <xdr:cNvPr id="10" name="Picture 16">
          <a:extLst>
            <a:ext uri="{FF2B5EF4-FFF2-40B4-BE49-F238E27FC236}">
              <a16:creationId xmlns:a16="http://schemas.microsoft.com/office/drawing/2014/main" id="{00000000-0008-0000-0600-00000A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rot="60000">
          <a:off x="38557200" y="91440"/>
          <a:ext cx="5554980" cy="6697980"/>
        </a:xfrm>
        <a:prstGeom prst="rect">
          <a:avLst/>
        </a:prstGeom>
        <a:noFill/>
      </xdr:spPr>
    </xdr:pic>
    <xdr:clientData/>
  </xdr:twoCellAnchor>
  <xdr:twoCellAnchor editAs="oneCell">
    <xdr:from>
      <xdr:col>74</xdr:col>
      <xdr:colOff>289560</xdr:colOff>
      <xdr:row>0</xdr:row>
      <xdr:rowOff>114300</xdr:rowOff>
    </xdr:from>
    <xdr:to>
      <xdr:col>84</xdr:col>
      <xdr:colOff>312420</xdr:colOff>
      <xdr:row>40</xdr:row>
      <xdr:rowOff>114300</xdr:rowOff>
    </xdr:to>
    <xdr:pic>
      <xdr:nvPicPr>
        <xdr:cNvPr id="11" name="Picture 17">
          <a:extLst>
            <a:ext uri="{FF2B5EF4-FFF2-40B4-BE49-F238E27FC236}">
              <a16:creationId xmlns:a16="http://schemas.microsoft.com/office/drawing/2014/main" id="{00000000-0008-0000-0600-00000B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43982640" y="114300"/>
          <a:ext cx="5539740" cy="6705600"/>
        </a:xfrm>
        <a:prstGeom prst="rect">
          <a:avLst/>
        </a:prstGeom>
        <a:noFill/>
      </xdr:spPr>
    </xdr:pic>
    <xdr:clientData/>
  </xdr:twoCellAnchor>
  <xdr:twoCellAnchor editAs="oneCell">
    <xdr:from>
      <xdr:col>84</xdr:col>
      <xdr:colOff>236219</xdr:colOff>
      <xdr:row>0</xdr:row>
      <xdr:rowOff>137160</xdr:rowOff>
    </xdr:from>
    <xdr:to>
      <xdr:col>94</xdr:col>
      <xdr:colOff>243839</xdr:colOff>
      <xdr:row>40</xdr:row>
      <xdr:rowOff>114300</xdr:rowOff>
    </xdr:to>
    <xdr:pic>
      <xdr:nvPicPr>
        <xdr:cNvPr id="12" name="Picture 18">
          <a:extLst>
            <a:ext uri="{FF2B5EF4-FFF2-40B4-BE49-F238E27FC236}">
              <a16:creationId xmlns:a16="http://schemas.microsoft.com/office/drawing/2014/main" id="{00000000-0008-0000-0600-00000C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rot="60000">
          <a:off x="49491899" y="137160"/>
          <a:ext cx="5585460" cy="6682740"/>
        </a:xfrm>
        <a:prstGeom prst="rect">
          <a:avLst/>
        </a:prstGeom>
        <a:noFill/>
      </xdr:spPr>
    </xdr:pic>
    <xdr:clientData/>
  </xdr:twoCellAnchor>
  <xdr:twoCellAnchor editAs="oneCell">
    <xdr:from>
      <xdr:col>94</xdr:col>
      <xdr:colOff>167640</xdr:colOff>
      <xdr:row>1</xdr:row>
      <xdr:rowOff>38100</xdr:rowOff>
    </xdr:from>
    <xdr:to>
      <xdr:col>102</xdr:col>
      <xdr:colOff>403860</xdr:colOff>
      <xdr:row>41</xdr:row>
      <xdr:rowOff>0</xdr:rowOff>
    </xdr:to>
    <xdr:pic>
      <xdr:nvPicPr>
        <xdr:cNvPr id="13" name="Picture 19">
          <a:extLst>
            <a:ext uri="{FF2B5EF4-FFF2-40B4-BE49-F238E27FC236}">
              <a16:creationId xmlns:a16="http://schemas.microsoft.com/office/drawing/2014/main" id="{00000000-0008-0000-0600-00000D00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rot="60000">
          <a:off x="55001160" y="205740"/>
          <a:ext cx="5113020" cy="6667500"/>
        </a:xfrm>
        <a:prstGeom prst="rect">
          <a:avLst/>
        </a:prstGeom>
        <a:noFill/>
      </xdr:spPr>
    </xdr:pic>
    <xdr:clientData/>
  </xdr:twoCellAnchor>
  <xdr:twoCellAnchor editAs="oneCell">
    <xdr:from>
      <xdr:col>0</xdr:col>
      <xdr:colOff>137160</xdr:colOff>
      <xdr:row>0</xdr:row>
      <xdr:rowOff>83820</xdr:rowOff>
    </xdr:from>
    <xdr:to>
      <xdr:col>8</xdr:col>
      <xdr:colOff>541020</xdr:colOff>
      <xdr:row>39</xdr:row>
      <xdr:rowOff>152400</xdr:rowOff>
    </xdr:to>
    <xdr:pic>
      <xdr:nvPicPr>
        <xdr:cNvPr id="12289" name="Picture 1">
          <a:extLst>
            <a:ext uri="{FF2B5EF4-FFF2-40B4-BE49-F238E27FC236}">
              <a16:creationId xmlns:a16="http://schemas.microsoft.com/office/drawing/2014/main" id="{00000000-0008-0000-0600-00000130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rot="-60000">
          <a:off x="137160" y="83820"/>
          <a:ext cx="4930140" cy="6606540"/>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9</xdr:col>
      <xdr:colOff>172346</xdr:colOff>
      <xdr:row>21</xdr:row>
      <xdr:rowOff>38100</xdr:rowOff>
    </xdr:to>
    <xdr:pic>
      <xdr:nvPicPr>
        <xdr:cNvPr id="2" name="Picture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167640"/>
          <a:ext cx="5049146" cy="3390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533400</xdr:colOff>
      <xdr:row>3</xdr:row>
      <xdr:rowOff>60960</xdr:rowOff>
    </xdr:from>
    <xdr:to>
      <xdr:col>8</xdr:col>
      <xdr:colOff>312824</xdr:colOff>
      <xdr:row>24</xdr:row>
      <xdr:rowOff>152713</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533400" y="685800"/>
          <a:ext cx="4656224" cy="3612193"/>
        </a:xfrm>
        <a:prstGeom prst="rect">
          <a:avLst/>
        </a:prstGeom>
      </xdr:spPr>
    </xdr:pic>
    <xdr:clientData/>
  </xdr:twoCellAnchor>
  <xdr:twoCellAnchor editAs="oneCell">
    <xdr:from>
      <xdr:col>0</xdr:col>
      <xdr:colOff>556260</xdr:colOff>
      <xdr:row>25</xdr:row>
      <xdr:rowOff>30480</xdr:rowOff>
    </xdr:from>
    <xdr:to>
      <xdr:col>8</xdr:col>
      <xdr:colOff>320442</xdr:colOff>
      <xdr:row>33</xdr:row>
      <xdr:rowOff>114424</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556260" y="4343400"/>
          <a:ext cx="4640982" cy="1425064"/>
        </a:xfrm>
        <a:prstGeom prst="rect">
          <a:avLst/>
        </a:prstGeom>
      </xdr:spPr>
    </xdr:pic>
    <xdr:clientData/>
  </xdr:twoCellAnchor>
  <xdr:twoCellAnchor editAs="oneCell">
    <xdr:from>
      <xdr:col>8</xdr:col>
      <xdr:colOff>137160</xdr:colOff>
      <xdr:row>5</xdr:row>
      <xdr:rowOff>160020</xdr:rowOff>
    </xdr:from>
    <xdr:to>
      <xdr:col>15</xdr:col>
      <xdr:colOff>495701</xdr:colOff>
      <xdr:row>25</xdr:row>
      <xdr:rowOff>84104</xdr:rowOff>
    </xdr:to>
    <xdr:pic>
      <xdr:nvPicPr>
        <xdr:cNvPr id="4" name="Pictur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stretch>
          <a:fillRect/>
        </a:stretch>
      </xdr:blipFill>
      <xdr:spPr>
        <a:xfrm>
          <a:off x="5013960" y="1120140"/>
          <a:ext cx="4625741" cy="32768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rtlCol="0" anchor="ctr" upright="1"/>
      <a:lstStyle>
        <a:defPPr algn="ctr">
          <a:defRPr sz="1100"/>
        </a:defPPr>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8" Type="http://schemas.openxmlformats.org/officeDocument/2006/relationships/oleObject" Target="../embeddings/oleObject5.bin"/><Relationship Id="rId13" Type="http://schemas.openxmlformats.org/officeDocument/2006/relationships/image" Target="../media/image7.emf"/><Relationship Id="rId18" Type="http://schemas.openxmlformats.org/officeDocument/2006/relationships/oleObject" Target="../embeddings/oleObject10.bin"/><Relationship Id="rId3" Type="http://schemas.openxmlformats.org/officeDocument/2006/relationships/vmlDrawing" Target="../drawings/vmlDrawing2.vml"/><Relationship Id="rId21" Type="http://schemas.openxmlformats.org/officeDocument/2006/relationships/image" Target="../media/image11.emf"/><Relationship Id="rId7" Type="http://schemas.openxmlformats.org/officeDocument/2006/relationships/image" Target="../media/image4.emf"/><Relationship Id="rId12" Type="http://schemas.openxmlformats.org/officeDocument/2006/relationships/oleObject" Target="../embeddings/oleObject7.bin"/><Relationship Id="rId17" Type="http://schemas.openxmlformats.org/officeDocument/2006/relationships/image" Target="../media/image9.emf"/><Relationship Id="rId2" Type="http://schemas.openxmlformats.org/officeDocument/2006/relationships/drawing" Target="../drawings/drawing2.xml"/><Relationship Id="rId16" Type="http://schemas.openxmlformats.org/officeDocument/2006/relationships/oleObject" Target="../embeddings/oleObject9.bin"/><Relationship Id="rId20" Type="http://schemas.openxmlformats.org/officeDocument/2006/relationships/oleObject" Target="../embeddings/oleObject11.bin"/><Relationship Id="rId1" Type="http://schemas.openxmlformats.org/officeDocument/2006/relationships/printerSettings" Target="../printerSettings/printerSettings2.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5" Type="http://schemas.openxmlformats.org/officeDocument/2006/relationships/image" Target="../media/image8.emf"/><Relationship Id="rId23" Type="http://schemas.openxmlformats.org/officeDocument/2006/relationships/image" Target="../media/image12.emf"/><Relationship Id="rId10" Type="http://schemas.openxmlformats.org/officeDocument/2006/relationships/oleObject" Target="../embeddings/oleObject6.bin"/><Relationship Id="rId19" Type="http://schemas.openxmlformats.org/officeDocument/2006/relationships/image" Target="../media/image10.emf"/><Relationship Id="rId4" Type="http://schemas.openxmlformats.org/officeDocument/2006/relationships/oleObject" Target="../embeddings/oleObject3.bin"/><Relationship Id="rId9" Type="http://schemas.openxmlformats.org/officeDocument/2006/relationships/image" Target="../media/image5.emf"/><Relationship Id="rId14" Type="http://schemas.openxmlformats.org/officeDocument/2006/relationships/oleObject" Target="../embeddings/oleObject8.bin"/><Relationship Id="rId22" Type="http://schemas.openxmlformats.org/officeDocument/2006/relationships/oleObject" Target="../embeddings/oleObject1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17F72-1ADA-4DB7-8248-DA5E141B1D7D}">
  <dimension ref="A1"/>
  <sheetViews>
    <sheetView tabSelected="1" workbookViewId="0">
      <selection activeCell="T20" sqref="T20"/>
    </sheetView>
  </sheetViews>
  <sheetFormatPr defaultRowHeight="12.75" x14ac:dyDescent="0.2"/>
  <sheetData>
    <row r="1" spans="1:1" ht="18.75" x14ac:dyDescent="0.2">
      <c r="A1" s="473" t="s">
        <v>428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104"/>
  <sheetViews>
    <sheetView topLeftCell="A64" zoomScale="80" zoomScaleNormal="80" zoomScaleSheetLayoutView="75" workbookViewId="0">
      <selection activeCell="Q53" sqref="Q53"/>
    </sheetView>
  </sheetViews>
  <sheetFormatPr defaultColWidth="8.85546875" defaultRowHeight="12.75" x14ac:dyDescent="0.2"/>
  <cols>
    <col min="1" max="1" width="1.7109375" style="5" customWidth="1"/>
    <col min="2" max="2" width="13.7109375" style="5" customWidth="1"/>
    <col min="3" max="3" width="32.85546875" style="5" customWidth="1"/>
    <col min="4" max="4" width="17.5703125" style="5" customWidth="1"/>
    <col min="5" max="5" width="12.140625" style="5" customWidth="1"/>
    <col min="6" max="6" width="11.28515625" style="5" customWidth="1"/>
    <col min="7" max="7" width="12.140625" style="5" customWidth="1"/>
    <col min="8" max="8" width="3" style="5" customWidth="1"/>
    <col min="9" max="9" width="6.42578125" style="5" customWidth="1"/>
    <col min="10" max="10" width="1.7109375" style="5" customWidth="1"/>
    <col min="11" max="11" width="9" style="5" customWidth="1"/>
    <col min="12" max="12" width="8.7109375" style="5" customWidth="1"/>
    <col min="13" max="14" width="10.5703125" style="5" customWidth="1"/>
    <col min="15" max="15" width="9.7109375" style="5" customWidth="1"/>
    <col min="16" max="16" width="10.5703125" style="5" customWidth="1"/>
    <col min="17" max="17" width="18.140625" style="5" customWidth="1"/>
    <col min="18" max="16384" width="8.85546875" style="5"/>
  </cols>
  <sheetData>
    <row r="1" spans="2:22" ht="7.15" customHeight="1" thickBot="1" x14ac:dyDescent="0.25"/>
    <row r="2" spans="2:22" ht="15" customHeight="1" thickTop="1" x14ac:dyDescent="0.4">
      <c r="B2" s="25" t="s">
        <v>7</v>
      </c>
      <c r="C2" s="319" t="s">
        <v>297</v>
      </c>
      <c r="D2" s="445" t="s">
        <v>396</v>
      </c>
      <c r="E2" s="474">
        <v>97115</v>
      </c>
      <c r="F2" s="474"/>
      <c r="G2" s="474"/>
      <c r="H2" s="474"/>
      <c r="I2" s="320"/>
      <c r="J2" s="22"/>
      <c r="K2" s="6"/>
      <c r="L2" s="6"/>
      <c r="M2" s="6"/>
      <c r="N2" s="6"/>
      <c r="O2" s="6"/>
      <c r="P2" s="6"/>
      <c r="Q2" s="6"/>
    </row>
    <row r="3" spans="2:22" ht="15" customHeight="1" x14ac:dyDescent="0.3">
      <c r="B3" s="27" t="s">
        <v>8</v>
      </c>
      <c r="C3" s="321">
        <v>4904036</v>
      </c>
      <c r="D3" s="69" t="s">
        <v>397</v>
      </c>
      <c r="E3" s="486"/>
      <c r="F3" s="486"/>
      <c r="G3" s="486"/>
      <c r="H3" s="486"/>
      <c r="I3" s="322"/>
      <c r="J3" s="17"/>
      <c r="K3" s="6"/>
      <c r="L3" s="6"/>
      <c r="M3" s="6"/>
      <c r="N3" s="6"/>
      <c r="O3" s="6"/>
      <c r="P3" s="6"/>
      <c r="Q3" s="6"/>
    </row>
    <row r="4" spans="2:22" ht="15" customHeight="1" x14ac:dyDescent="0.3">
      <c r="B4" s="27" t="s">
        <v>9</v>
      </c>
      <c r="C4" s="323">
        <v>1961</v>
      </c>
      <c r="D4" s="28" t="s">
        <v>244</v>
      </c>
      <c r="E4" s="30" t="s">
        <v>283</v>
      </c>
      <c r="F4" s="29" t="s">
        <v>4</v>
      </c>
      <c r="G4" s="475">
        <v>40940</v>
      </c>
      <c r="H4" s="475"/>
      <c r="I4" s="322"/>
      <c r="J4" s="17"/>
      <c r="K4" s="6"/>
      <c r="L4" s="6"/>
      <c r="M4" s="6"/>
      <c r="N4" s="6"/>
      <c r="O4" s="6"/>
      <c r="P4" s="6"/>
      <c r="Q4" s="6"/>
    </row>
    <row r="5" spans="2:22" ht="15" customHeight="1" x14ac:dyDescent="0.3">
      <c r="B5" s="27" t="s">
        <v>11</v>
      </c>
      <c r="C5" s="324" t="s">
        <v>1</v>
      </c>
      <c r="D5" s="28" t="s">
        <v>16</v>
      </c>
      <c r="E5" s="30" t="s">
        <v>301</v>
      </c>
      <c r="F5" s="29" t="s">
        <v>4</v>
      </c>
      <c r="G5" s="475">
        <v>40970</v>
      </c>
      <c r="H5" s="475"/>
      <c r="I5" s="322"/>
      <c r="J5" s="17"/>
      <c r="K5" s="6"/>
      <c r="L5" s="6"/>
      <c r="M5" s="6"/>
      <c r="N5" s="6"/>
      <c r="O5" s="6"/>
      <c r="P5" s="6"/>
      <c r="Q5" s="6"/>
    </row>
    <row r="6" spans="2:22" ht="8.4499999999999993" customHeight="1" thickBot="1" x14ac:dyDescent="0.35">
      <c r="B6" s="21"/>
      <c r="C6" s="23"/>
      <c r="D6" s="20"/>
      <c r="E6" s="20"/>
      <c r="F6" s="20"/>
      <c r="G6" s="19"/>
      <c r="H6" s="19"/>
      <c r="I6" s="18"/>
      <c r="J6" s="17"/>
      <c r="K6" s="6"/>
      <c r="L6" s="6"/>
      <c r="M6" s="6"/>
      <c r="N6" s="6"/>
      <c r="O6" s="6"/>
      <c r="P6" s="6"/>
      <c r="Q6" s="6"/>
    </row>
    <row r="7" spans="2:22" ht="22.9" customHeight="1" thickTop="1" thickBot="1" x14ac:dyDescent="0.35">
      <c r="B7" s="485" t="s">
        <v>251</v>
      </c>
      <c r="C7" s="485"/>
      <c r="D7" s="485"/>
      <c r="E7" s="485"/>
      <c r="F7" s="485"/>
      <c r="G7" s="485"/>
      <c r="H7" s="485"/>
      <c r="I7" s="485"/>
      <c r="J7" s="17"/>
      <c r="K7" s="6"/>
      <c r="L7" s="6"/>
      <c r="M7" s="6"/>
      <c r="N7" s="6"/>
      <c r="O7" s="6"/>
      <c r="P7" s="6"/>
      <c r="Q7" s="6"/>
    </row>
    <row r="8" spans="2:22" ht="18.600000000000001" customHeight="1" thickTop="1" x14ac:dyDescent="0.3">
      <c r="B8" s="476"/>
      <c r="C8" s="477"/>
      <c r="D8" s="477"/>
      <c r="E8" s="477"/>
      <c r="F8" s="477"/>
      <c r="G8" s="477"/>
      <c r="H8" s="477"/>
      <c r="I8" s="478"/>
      <c r="J8" s="16"/>
      <c r="K8" s="15"/>
      <c r="L8" s="15"/>
      <c r="M8" s="15"/>
      <c r="N8" s="15"/>
      <c r="O8" s="15"/>
      <c r="P8" s="15"/>
      <c r="V8" s="15"/>
    </row>
    <row r="9" spans="2:22" ht="15.4" customHeight="1" x14ac:dyDescent="0.3">
      <c r="B9" s="479"/>
      <c r="C9" s="480"/>
      <c r="D9" s="480"/>
      <c r="E9" s="480"/>
      <c r="F9" s="480"/>
      <c r="G9" s="480"/>
      <c r="H9" s="480"/>
      <c r="I9" s="481"/>
      <c r="J9" s="12"/>
      <c r="K9" s="14"/>
      <c r="L9" s="6"/>
      <c r="M9" s="14"/>
      <c r="N9" s="14"/>
      <c r="O9" s="6"/>
      <c r="P9" s="14"/>
      <c r="V9" s="6"/>
    </row>
    <row r="10" spans="2:22" ht="15.4" customHeight="1" x14ac:dyDescent="0.3">
      <c r="B10" s="479"/>
      <c r="C10" s="480"/>
      <c r="D10" s="480"/>
      <c r="E10" s="480"/>
      <c r="F10" s="480"/>
      <c r="G10" s="480"/>
      <c r="H10" s="480"/>
      <c r="I10" s="481"/>
      <c r="J10" s="12"/>
      <c r="K10" s="243"/>
      <c r="L10" s="6"/>
      <c r="M10" s="6"/>
      <c r="N10" s="6"/>
      <c r="O10" s="6"/>
      <c r="P10" s="6"/>
      <c r="V10" s="6"/>
    </row>
    <row r="11" spans="2:22" ht="15.4" customHeight="1" x14ac:dyDescent="0.3">
      <c r="B11" s="479"/>
      <c r="C11" s="480"/>
      <c r="D11" s="480"/>
      <c r="E11" s="480"/>
      <c r="F11" s="480"/>
      <c r="G11" s="480"/>
      <c r="H11" s="480"/>
      <c r="I11" s="481"/>
      <c r="J11" s="13"/>
      <c r="K11" s="6" t="s">
        <v>162</v>
      </c>
      <c r="L11" s="6"/>
      <c r="M11" s="6"/>
      <c r="N11" s="6"/>
      <c r="O11" s="6"/>
      <c r="P11" s="6"/>
      <c r="V11" s="6"/>
    </row>
    <row r="12" spans="2:22" ht="15.4" customHeight="1" x14ac:dyDescent="0.3">
      <c r="B12" s="479"/>
      <c r="C12" s="480"/>
      <c r="D12" s="480"/>
      <c r="E12" s="480"/>
      <c r="F12" s="480"/>
      <c r="G12" s="480"/>
      <c r="H12" s="480"/>
      <c r="I12" s="481"/>
      <c r="J12" s="12"/>
      <c r="K12" s="6" t="s">
        <v>168</v>
      </c>
      <c r="L12" s="6"/>
      <c r="M12" s="6"/>
      <c r="N12" s="6"/>
      <c r="O12" s="6"/>
      <c r="P12" s="6"/>
      <c r="V12" s="6"/>
    </row>
    <row r="13" spans="2:22" ht="15.4" customHeight="1" x14ac:dyDescent="0.3">
      <c r="B13" s="479"/>
      <c r="C13" s="480"/>
      <c r="D13" s="480"/>
      <c r="E13" s="480"/>
      <c r="F13" s="480"/>
      <c r="G13" s="480"/>
      <c r="H13" s="480"/>
      <c r="I13" s="481"/>
      <c r="J13" s="12"/>
      <c r="K13" s="6"/>
      <c r="L13" s="6"/>
      <c r="M13" s="6"/>
      <c r="N13" s="6"/>
      <c r="O13" s="6"/>
      <c r="P13" s="6"/>
      <c r="V13" s="6"/>
    </row>
    <row r="14" spans="2:22" ht="15.4" customHeight="1" x14ac:dyDescent="0.3">
      <c r="B14" s="479"/>
      <c r="C14" s="480"/>
      <c r="D14" s="480"/>
      <c r="E14" s="480"/>
      <c r="F14" s="480"/>
      <c r="G14" s="480"/>
      <c r="H14" s="480"/>
      <c r="I14" s="481"/>
      <c r="J14" s="12"/>
      <c r="K14" s="6"/>
      <c r="L14" s="6"/>
      <c r="M14" s="6"/>
      <c r="N14" s="6"/>
      <c r="O14" s="6"/>
      <c r="P14" s="6"/>
      <c r="V14" s="6"/>
    </row>
    <row r="15" spans="2:22" ht="15.4" customHeight="1" x14ac:dyDescent="0.3">
      <c r="B15" s="479"/>
      <c r="C15" s="480"/>
      <c r="D15" s="480"/>
      <c r="E15" s="480"/>
      <c r="F15" s="480"/>
      <c r="G15" s="480"/>
      <c r="H15" s="480"/>
      <c r="I15" s="481"/>
      <c r="J15" s="12"/>
      <c r="K15" s="6"/>
      <c r="L15" s="6"/>
      <c r="M15" s="6"/>
      <c r="N15" s="6"/>
      <c r="O15" s="6"/>
      <c r="P15" s="6"/>
      <c r="V15" s="6"/>
    </row>
    <row r="16" spans="2:22" ht="15.4" customHeight="1" x14ac:dyDescent="0.3">
      <c r="B16" s="479"/>
      <c r="C16" s="480"/>
      <c r="D16" s="480"/>
      <c r="E16" s="480"/>
      <c r="F16" s="480"/>
      <c r="G16" s="480"/>
      <c r="H16" s="480"/>
      <c r="I16" s="481"/>
      <c r="J16" s="11"/>
      <c r="K16" s="6"/>
      <c r="L16" s="6"/>
      <c r="M16" s="6"/>
      <c r="N16" s="6"/>
      <c r="O16" s="6"/>
      <c r="P16" s="6"/>
      <c r="V16" s="6"/>
    </row>
    <row r="17" spans="1:22" ht="15.4" customHeight="1" x14ac:dyDescent="0.3">
      <c r="B17" s="479"/>
      <c r="C17" s="480"/>
      <c r="D17" s="480"/>
      <c r="E17" s="480"/>
      <c r="F17" s="480"/>
      <c r="G17" s="480"/>
      <c r="H17" s="480"/>
      <c r="I17" s="481"/>
      <c r="J17" s="11"/>
      <c r="K17" s="6"/>
      <c r="L17" s="6"/>
      <c r="M17" s="6"/>
      <c r="N17" s="6"/>
      <c r="O17" s="6"/>
      <c r="P17" s="6"/>
      <c r="V17" s="6"/>
    </row>
    <row r="18" spans="1:22" ht="15.4" customHeight="1" x14ac:dyDescent="0.3">
      <c r="B18" s="479"/>
      <c r="C18" s="480"/>
      <c r="D18" s="480"/>
      <c r="E18" s="480"/>
      <c r="F18" s="480"/>
      <c r="G18" s="480"/>
      <c r="H18" s="480"/>
      <c r="I18" s="481"/>
      <c r="K18" s="6"/>
      <c r="L18" s="6"/>
      <c r="M18" s="6"/>
      <c r="N18" s="6"/>
      <c r="O18" s="6"/>
      <c r="P18" s="6"/>
      <c r="V18" s="6"/>
    </row>
    <row r="19" spans="1:22" ht="15.4" customHeight="1" x14ac:dyDescent="0.3">
      <c r="B19" s="479"/>
      <c r="C19" s="480"/>
      <c r="D19" s="480"/>
      <c r="E19" s="480"/>
      <c r="F19" s="480"/>
      <c r="G19" s="480"/>
      <c r="H19" s="480"/>
      <c r="I19" s="481"/>
      <c r="K19" s="6" t="s">
        <v>12</v>
      </c>
      <c r="L19" s="6"/>
      <c r="M19" s="6"/>
      <c r="N19" s="6"/>
      <c r="O19" s="6"/>
      <c r="P19" s="6"/>
      <c r="V19" s="6"/>
    </row>
    <row r="20" spans="1:22" ht="15.4" customHeight="1" x14ac:dyDescent="0.3">
      <c r="B20" s="479"/>
      <c r="C20" s="480"/>
      <c r="D20" s="480"/>
      <c r="E20" s="480"/>
      <c r="F20" s="480"/>
      <c r="G20" s="480"/>
      <c r="H20" s="480"/>
      <c r="I20" s="481"/>
      <c r="K20" s="6"/>
      <c r="L20" s="6"/>
      <c r="M20" s="6"/>
      <c r="N20" s="6"/>
      <c r="O20" s="6"/>
      <c r="P20" s="6"/>
      <c r="V20" s="6"/>
    </row>
    <row r="21" spans="1:22" ht="15.4" customHeight="1" x14ac:dyDescent="0.3">
      <c r="B21" s="479"/>
      <c r="C21" s="480"/>
      <c r="D21" s="480"/>
      <c r="E21" s="480"/>
      <c r="F21" s="480"/>
      <c r="G21" s="480"/>
      <c r="H21" s="480"/>
      <c r="I21" s="481"/>
      <c r="K21" s="10"/>
      <c r="L21" s="6"/>
      <c r="M21" s="6"/>
      <c r="N21" s="6"/>
      <c r="O21" s="6"/>
      <c r="P21" s="6"/>
      <c r="V21" s="6"/>
    </row>
    <row r="22" spans="1:22" ht="15.4" customHeight="1" x14ac:dyDescent="0.3">
      <c r="B22" s="479"/>
      <c r="C22" s="480"/>
      <c r="D22" s="480"/>
      <c r="E22" s="480"/>
      <c r="F22" s="480"/>
      <c r="G22" s="480"/>
      <c r="H22" s="480"/>
      <c r="I22" s="481"/>
      <c r="K22" s="10"/>
      <c r="L22" s="6"/>
      <c r="M22" s="6"/>
      <c r="N22" s="6"/>
      <c r="O22" s="6"/>
      <c r="P22" s="6"/>
      <c r="V22" s="6"/>
    </row>
    <row r="23" spans="1:22" ht="15.4" customHeight="1" x14ac:dyDescent="0.3">
      <c r="B23" s="479"/>
      <c r="C23" s="480"/>
      <c r="D23" s="480"/>
      <c r="E23" s="480"/>
      <c r="F23" s="480"/>
      <c r="G23" s="480"/>
      <c r="H23" s="480"/>
      <c r="I23" s="481"/>
      <c r="K23" s="9"/>
      <c r="L23" s="6"/>
      <c r="M23" s="6"/>
      <c r="N23" s="6"/>
      <c r="O23" s="6"/>
      <c r="P23" s="6"/>
      <c r="V23" s="6"/>
    </row>
    <row r="24" spans="1:22" ht="15.4" customHeight="1" x14ac:dyDescent="0.3">
      <c r="B24" s="479"/>
      <c r="C24" s="480"/>
      <c r="D24" s="480"/>
      <c r="E24" s="480"/>
      <c r="F24" s="480"/>
      <c r="G24" s="480"/>
      <c r="H24" s="480"/>
      <c r="I24" s="481"/>
      <c r="K24" s="8" t="s">
        <v>12</v>
      </c>
      <c r="L24" s="6"/>
      <c r="M24" s="6"/>
      <c r="N24" s="6"/>
      <c r="O24" s="6"/>
      <c r="P24" s="6"/>
      <c r="V24" s="6"/>
    </row>
    <row r="25" spans="1:22" ht="15.4" customHeight="1" x14ac:dyDescent="0.3">
      <c r="B25" s="479"/>
      <c r="C25" s="480"/>
      <c r="D25" s="480"/>
      <c r="E25" s="480"/>
      <c r="F25" s="480"/>
      <c r="G25" s="480"/>
      <c r="H25" s="480"/>
      <c r="I25" s="481"/>
      <c r="K25" s="6"/>
      <c r="L25" s="6"/>
      <c r="M25" s="6"/>
      <c r="N25" s="6"/>
      <c r="O25" s="6"/>
      <c r="P25" s="6"/>
      <c r="V25" s="6"/>
    </row>
    <row r="26" spans="1:22" ht="15.4" customHeight="1" x14ac:dyDescent="0.3">
      <c r="B26" s="479"/>
      <c r="C26" s="480"/>
      <c r="D26" s="480"/>
      <c r="E26" s="480"/>
      <c r="F26" s="480"/>
      <c r="G26" s="480"/>
      <c r="H26" s="480"/>
      <c r="I26" s="481"/>
      <c r="K26" s="6"/>
      <c r="L26" s="6"/>
      <c r="M26" s="6"/>
      <c r="N26" s="6"/>
      <c r="O26" s="6"/>
      <c r="P26" s="6"/>
      <c r="V26" s="6"/>
    </row>
    <row r="27" spans="1:22" ht="15.4" customHeight="1" x14ac:dyDescent="0.3">
      <c r="B27" s="479"/>
      <c r="C27" s="480"/>
      <c r="D27" s="480"/>
      <c r="E27" s="480"/>
      <c r="F27" s="480"/>
      <c r="G27" s="480"/>
      <c r="H27" s="480"/>
      <c r="I27" s="481"/>
      <c r="K27" s="6"/>
      <c r="L27" s="6" t="s">
        <v>164</v>
      </c>
      <c r="M27" s="6"/>
      <c r="N27" s="6"/>
      <c r="O27" s="6"/>
      <c r="P27" s="6"/>
      <c r="V27" s="6"/>
    </row>
    <row r="28" spans="1:22" ht="61.15" customHeight="1" thickBot="1" x14ac:dyDescent="0.35">
      <c r="B28" s="482"/>
      <c r="C28" s="483"/>
      <c r="D28" s="483"/>
      <c r="E28" s="483"/>
      <c r="F28" s="483"/>
      <c r="G28" s="483"/>
      <c r="H28" s="483"/>
      <c r="I28" s="484"/>
      <c r="K28" s="6"/>
      <c r="L28" s="6"/>
      <c r="M28" s="6"/>
      <c r="N28" s="6"/>
      <c r="O28" s="6"/>
      <c r="P28" s="6"/>
      <c r="V28" s="6"/>
    </row>
    <row r="29" spans="1:22" ht="63.6" customHeight="1" thickTop="1" x14ac:dyDescent="0.3">
      <c r="B29" s="490" t="s">
        <v>97</v>
      </c>
      <c r="C29" s="491"/>
      <c r="D29" s="491"/>
      <c r="E29" s="491"/>
      <c r="F29" s="491"/>
      <c r="G29" s="491"/>
      <c r="H29" s="491"/>
      <c r="I29" s="491"/>
      <c r="K29" s="6"/>
      <c r="L29" s="6"/>
      <c r="M29" s="6"/>
      <c r="N29" s="6"/>
      <c r="O29" s="6"/>
      <c r="P29" s="6"/>
      <c r="V29" s="6"/>
    </row>
    <row r="30" spans="1:22" s="26" customFormat="1" ht="21" customHeight="1" x14ac:dyDescent="0.2">
      <c r="A30" s="5"/>
      <c r="B30" s="505" t="s">
        <v>281</v>
      </c>
      <c r="C30" s="505"/>
      <c r="D30" s="505"/>
      <c r="E30" s="505"/>
      <c r="F30" s="505"/>
      <c r="G30" s="505"/>
      <c r="H30" s="505"/>
      <c r="I30" s="505"/>
    </row>
    <row r="31" spans="1:22" ht="28.15" customHeight="1" x14ac:dyDescent="0.3">
      <c r="B31" s="521" t="s">
        <v>250</v>
      </c>
      <c r="C31" s="521"/>
      <c r="D31" s="521"/>
      <c r="E31" s="521"/>
      <c r="F31" s="521"/>
      <c r="G31" s="521"/>
      <c r="H31" s="521"/>
      <c r="I31" s="521"/>
      <c r="J31" s="17"/>
      <c r="K31" s="6"/>
      <c r="L31" s="6"/>
      <c r="M31" s="6"/>
      <c r="N31" s="6"/>
      <c r="O31" s="6"/>
      <c r="P31" s="6"/>
      <c r="Q31" s="6"/>
    </row>
    <row r="32" spans="1:22" ht="14.45" customHeight="1" x14ac:dyDescent="0.3">
      <c r="B32" s="522" t="s">
        <v>249</v>
      </c>
      <c r="C32" s="522"/>
      <c r="D32" s="522"/>
      <c r="E32" s="522"/>
      <c r="F32" s="522"/>
      <c r="G32" s="522"/>
      <c r="H32" s="522"/>
      <c r="I32" s="522"/>
      <c r="J32" s="17"/>
      <c r="K32" s="6"/>
      <c r="L32" s="6"/>
      <c r="M32" s="6"/>
      <c r="N32" s="6"/>
      <c r="O32" s="6"/>
      <c r="P32" s="6"/>
      <c r="Q32" s="6"/>
    </row>
    <row r="33" spans="2:22" ht="4.9000000000000004" customHeight="1" thickBot="1" x14ac:dyDescent="0.35">
      <c r="B33" s="351"/>
      <c r="C33" s="351"/>
      <c r="D33" s="351"/>
      <c r="E33" s="351"/>
      <c r="F33" s="351"/>
      <c r="G33" s="351"/>
      <c r="H33" s="351"/>
      <c r="I33" s="351"/>
      <c r="J33" s="17"/>
      <c r="K33" s="6"/>
      <c r="L33" s="6"/>
      <c r="M33" s="6"/>
      <c r="N33" s="6"/>
      <c r="O33" s="6"/>
      <c r="P33" s="6"/>
      <c r="Q33" s="6"/>
    </row>
    <row r="34" spans="2:22" ht="22.15" customHeight="1" thickTop="1" x14ac:dyDescent="0.3">
      <c r="B34" s="518" t="s">
        <v>241</v>
      </c>
      <c r="C34" s="519"/>
      <c r="D34" s="519"/>
      <c r="E34" s="519"/>
      <c r="F34" s="519"/>
      <c r="G34" s="519"/>
      <c r="H34" s="520"/>
      <c r="I34" s="7"/>
      <c r="P34" s="6"/>
      <c r="V34" s="6"/>
    </row>
    <row r="35" spans="2:22" ht="18" customHeight="1" thickBot="1" x14ac:dyDescent="0.35">
      <c r="B35" s="255"/>
      <c r="C35" s="256"/>
      <c r="D35" s="525" t="s">
        <v>170</v>
      </c>
      <c r="E35" s="525"/>
      <c r="F35" s="525"/>
      <c r="G35" s="525"/>
      <c r="H35" s="257"/>
      <c r="I35" s="7"/>
      <c r="P35" s="6"/>
      <c r="V35" s="6"/>
    </row>
    <row r="36" spans="2:22" s="303" customFormat="1" ht="18" customHeight="1" thickTop="1" x14ac:dyDescent="0.25">
      <c r="B36" s="492" t="s">
        <v>268</v>
      </c>
      <c r="C36" s="493"/>
      <c r="D36" s="494" t="s">
        <v>180</v>
      </c>
      <c r="E36" s="495"/>
      <c r="F36" s="495"/>
      <c r="G36" s="495"/>
      <c r="H36" s="496"/>
      <c r="I36" s="302" t="s">
        <v>52</v>
      </c>
    </row>
    <row r="37" spans="2:22" s="303" customFormat="1" ht="18" customHeight="1" x14ac:dyDescent="0.25">
      <c r="B37" s="529" t="s">
        <v>269</v>
      </c>
      <c r="C37" s="530"/>
      <c r="D37" s="526" t="s">
        <v>93</v>
      </c>
      <c r="E37" s="527"/>
      <c r="F37" s="527"/>
      <c r="G37" s="527"/>
      <c r="H37" s="528"/>
      <c r="I37" s="302" t="s">
        <v>52</v>
      </c>
    </row>
    <row r="38" spans="2:22" s="303" customFormat="1" ht="18" customHeight="1" thickBot="1" x14ac:dyDescent="0.3">
      <c r="B38" s="533" t="s">
        <v>270</v>
      </c>
      <c r="C38" s="534"/>
      <c r="D38" s="535" t="s">
        <v>98</v>
      </c>
      <c r="E38" s="536"/>
      <c r="F38" s="536"/>
      <c r="G38" s="536"/>
      <c r="H38" s="537"/>
      <c r="I38" s="302" t="s">
        <v>52</v>
      </c>
    </row>
    <row r="39" spans="2:22" s="303" customFormat="1" ht="24.6" customHeight="1" thickTop="1" x14ac:dyDescent="0.25">
      <c r="B39" s="503" t="s">
        <v>319</v>
      </c>
      <c r="C39" s="504"/>
      <c r="D39" s="501">
        <v>1.8</v>
      </c>
      <c r="E39" s="502"/>
      <c r="F39" s="497" t="str">
        <f>IF(AND(D39&gt;8,D39&gt;D41),"Based on AASHTO LRFD 3.6.1.2.6, The effects of live load maybe neglected when H&gt;8' and H&gt;Span Length, no need for LRFR.","")</f>
        <v/>
      </c>
      <c r="G39" s="498"/>
      <c r="H39" s="498"/>
    </row>
    <row r="40" spans="2:22" s="303" customFormat="1" ht="25.15" customHeight="1" x14ac:dyDescent="0.25">
      <c r="B40" s="503" t="s">
        <v>330</v>
      </c>
      <c r="C40" s="504"/>
      <c r="D40" s="501">
        <v>1.8</v>
      </c>
      <c r="E40" s="502"/>
      <c r="F40" s="499"/>
      <c r="G40" s="500"/>
      <c r="H40" s="500"/>
      <c r="K40" s="489" t="s">
        <v>321</v>
      </c>
      <c r="L40" s="489"/>
      <c r="M40" s="489"/>
      <c r="N40" s="489"/>
      <c r="O40" s="489"/>
      <c r="P40" s="489"/>
    </row>
    <row r="41" spans="2:22" s="303" customFormat="1" ht="18" customHeight="1" x14ac:dyDescent="0.25">
      <c r="B41" s="531" t="s">
        <v>231</v>
      </c>
      <c r="C41" s="532"/>
      <c r="D41" s="501">
        <v>15</v>
      </c>
      <c r="E41" s="502"/>
      <c r="F41" s="499"/>
      <c r="G41" s="500"/>
      <c r="H41" s="500"/>
      <c r="I41" s="306"/>
      <c r="K41" s="487"/>
      <c r="L41" s="487"/>
      <c r="M41" s="487"/>
      <c r="N41" s="487"/>
      <c r="O41" s="487"/>
      <c r="P41" s="487"/>
    </row>
    <row r="42" spans="2:22" s="303" customFormat="1" ht="17.45" customHeight="1" x14ac:dyDescent="0.25">
      <c r="B42" s="531" t="s">
        <v>232</v>
      </c>
      <c r="C42" s="532"/>
      <c r="D42" s="501">
        <v>6.5</v>
      </c>
      <c r="E42" s="502"/>
      <c r="F42" s="304"/>
      <c r="G42" s="304"/>
      <c r="H42" s="305"/>
      <c r="I42" s="306"/>
      <c r="K42" s="487"/>
      <c r="L42" s="487"/>
      <c r="M42" s="487"/>
      <c r="N42" s="487"/>
      <c r="O42" s="487"/>
      <c r="P42" s="487"/>
    </row>
    <row r="43" spans="2:22" s="303" customFormat="1" ht="18" customHeight="1" x14ac:dyDescent="0.25">
      <c r="B43" s="531" t="s">
        <v>233</v>
      </c>
      <c r="C43" s="532"/>
      <c r="D43" s="523">
        <v>24.7</v>
      </c>
      <c r="E43" s="524"/>
      <c r="F43" s="304"/>
      <c r="G43" s="304"/>
      <c r="H43" s="305"/>
      <c r="I43" s="306"/>
      <c r="K43" s="487"/>
      <c r="L43" s="487"/>
      <c r="M43" s="487"/>
      <c r="N43" s="487"/>
      <c r="O43" s="487"/>
      <c r="P43" s="487"/>
    </row>
    <row r="44" spans="2:22" s="303" customFormat="1" ht="28.15" customHeight="1" thickBot="1" x14ac:dyDescent="0.3">
      <c r="B44" s="503" t="s">
        <v>280</v>
      </c>
      <c r="C44" s="504"/>
      <c r="D44" s="538">
        <v>9.5</v>
      </c>
      <c r="E44" s="544"/>
      <c r="F44" s="307"/>
      <c r="G44" s="308"/>
      <c r="H44" s="308"/>
      <c r="I44" s="306"/>
      <c r="J44" s="303" t="s">
        <v>12</v>
      </c>
      <c r="K44" s="487"/>
      <c r="L44" s="487"/>
      <c r="M44" s="487"/>
      <c r="N44" s="487"/>
      <c r="O44" s="487"/>
      <c r="P44" s="487"/>
    </row>
    <row r="45" spans="2:22" s="303" customFormat="1" ht="17.45" customHeight="1" thickTop="1" x14ac:dyDescent="0.25">
      <c r="B45" s="514" t="s">
        <v>13</v>
      </c>
      <c r="C45" s="515"/>
      <c r="D45" s="309" t="s">
        <v>59</v>
      </c>
      <c r="E45" s="538" t="s">
        <v>23</v>
      </c>
      <c r="F45" s="539"/>
      <c r="G45" s="539"/>
      <c r="H45" s="540"/>
      <c r="I45" s="302" t="s">
        <v>52</v>
      </c>
      <c r="K45" s="487"/>
      <c r="L45" s="487"/>
      <c r="M45" s="487"/>
      <c r="N45" s="487"/>
      <c r="O45" s="487"/>
      <c r="P45" s="487"/>
    </row>
    <row r="46" spans="2:22" s="303" customFormat="1" ht="18" customHeight="1" x14ac:dyDescent="0.25">
      <c r="B46" s="516"/>
      <c r="C46" s="517"/>
      <c r="D46" s="301" t="s">
        <v>235</v>
      </c>
      <c r="E46" s="541" t="s">
        <v>205</v>
      </c>
      <c r="F46" s="542"/>
      <c r="G46" s="542"/>
      <c r="H46" s="543"/>
      <c r="I46" s="302" t="s">
        <v>52</v>
      </c>
      <c r="K46" s="487"/>
      <c r="L46" s="487"/>
      <c r="M46" s="487"/>
      <c r="N46" s="487"/>
      <c r="O46" s="487"/>
      <c r="P46" s="487"/>
      <c r="Q46" s="304"/>
      <c r="R46" s="304"/>
      <c r="S46" s="304"/>
    </row>
    <row r="47" spans="2:22" s="303" customFormat="1" ht="19.149999999999999" customHeight="1" thickBot="1" x14ac:dyDescent="0.3">
      <c r="B47" s="516"/>
      <c r="C47" s="517"/>
      <c r="D47" s="301" t="s">
        <v>236</v>
      </c>
      <c r="E47" s="541" t="s">
        <v>6</v>
      </c>
      <c r="F47" s="527"/>
      <c r="G47" s="527"/>
      <c r="H47" s="528"/>
      <c r="I47" s="302" t="s">
        <v>52</v>
      </c>
      <c r="K47" s="487"/>
      <c r="L47" s="487"/>
      <c r="M47" s="487"/>
      <c r="N47" s="487"/>
      <c r="O47" s="487"/>
      <c r="P47" s="487"/>
      <c r="Q47" s="304"/>
      <c r="R47" s="304"/>
      <c r="S47" s="304"/>
    </row>
    <row r="48" spans="2:22" s="303" customFormat="1" ht="19.899999999999999" customHeight="1" thickTop="1" x14ac:dyDescent="0.25">
      <c r="B48" s="516"/>
      <c r="C48" s="517"/>
      <c r="D48" s="310" t="s">
        <v>14</v>
      </c>
      <c r="E48" s="311"/>
      <c r="F48" s="506" t="s">
        <v>240</v>
      </c>
      <c r="G48" s="491"/>
      <c r="H48" s="491"/>
      <c r="I48" s="507"/>
      <c r="K48" s="488" t="s">
        <v>317</v>
      </c>
      <c r="L48" s="488"/>
      <c r="M48" s="488"/>
      <c r="N48" s="488"/>
      <c r="O48" s="488"/>
      <c r="P48" s="488"/>
      <c r="Q48" s="304"/>
      <c r="R48" s="304"/>
      <c r="S48" s="304"/>
    </row>
    <row r="49" spans="2:19" s="303" customFormat="1" ht="19.899999999999999" customHeight="1" x14ac:dyDescent="0.25">
      <c r="B49" s="516"/>
      <c r="C49" s="517"/>
      <c r="D49" s="310" t="s">
        <v>15</v>
      </c>
      <c r="E49" s="311"/>
      <c r="F49" s="508"/>
      <c r="G49" s="509"/>
      <c r="H49" s="509"/>
      <c r="I49" s="510"/>
      <c r="K49" s="488"/>
      <c r="L49" s="488"/>
      <c r="M49" s="488"/>
      <c r="N49" s="488"/>
      <c r="O49" s="488"/>
      <c r="P49" s="488"/>
      <c r="Q49" s="304"/>
      <c r="R49" s="304"/>
      <c r="S49" s="304"/>
    </row>
    <row r="50" spans="2:19" s="303" customFormat="1" ht="19.899999999999999" customHeight="1" thickBot="1" x14ac:dyDescent="0.3">
      <c r="B50" s="516"/>
      <c r="C50" s="517"/>
      <c r="D50" s="310" t="s">
        <v>234</v>
      </c>
      <c r="E50" s="312">
        <v>0.25</v>
      </c>
      <c r="F50" s="511"/>
      <c r="G50" s="512"/>
      <c r="H50" s="512"/>
      <c r="I50" s="513"/>
      <c r="K50" s="488"/>
      <c r="L50" s="488"/>
      <c r="M50" s="488"/>
      <c r="N50" s="488"/>
      <c r="O50" s="488"/>
      <c r="P50" s="488"/>
      <c r="Q50" s="304"/>
      <c r="R50" s="304"/>
      <c r="S50" s="304"/>
    </row>
    <row r="51" spans="2:19" s="303" customFormat="1" ht="16.899999999999999" customHeight="1" thickTop="1" x14ac:dyDescent="0.25">
      <c r="B51" s="552" t="s">
        <v>237</v>
      </c>
      <c r="C51" s="553"/>
      <c r="D51" s="550">
        <v>0</v>
      </c>
      <c r="E51" s="551"/>
      <c r="F51" s="313"/>
      <c r="G51" s="306"/>
      <c r="H51" s="314"/>
      <c r="L51" s="304"/>
      <c r="M51" s="304"/>
      <c r="N51" s="304"/>
      <c r="O51" s="304"/>
      <c r="P51" s="304"/>
      <c r="Q51" s="304"/>
      <c r="R51" s="304"/>
      <c r="S51" s="304"/>
    </row>
    <row r="52" spans="2:19" s="303" customFormat="1" ht="18" customHeight="1" thickBot="1" x14ac:dyDescent="0.3">
      <c r="B52" s="548" t="s">
        <v>238</v>
      </c>
      <c r="C52" s="549"/>
      <c r="D52" s="546">
        <v>0</v>
      </c>
      <c r="E52" s="547"/>
    </row>
    <row r="53" spans="2:19" s="303" customFormat="1" ht="19.149999999999999" customHeight="1" thickTop="1" x14ac:dyDescent="0.25">
      <c r="B53" s="313" t="s">
        <v>239</v>
      </c>
      <c r="C53" s="315"/>
      <c r="D53" s="313"/>
    </row>
    <row r="54" spans="2:19" ht="19.899999999999999" customHeight="1" x14ac:dyDescent="0.2">
      <c r="B54" s="556" t="s">
        <v>228</v>
      </c>
      <c r="C54" s="556"/>
      <c r="D54" s="556"/>
      <c r="E54" s="556"/>
      <c r="F54" s="556"/>
      <c r="G54" s="556"/>
      <c r="H54" s="556"/>
      <c r="I54" s="556"/>
    </row>
    <row r="55" spans="2:19" ht="17.649999999999999" customHeight="1" x14ac:dyDescent="0.2">
      <c r="B55" s="557" t="s">
        <v>243</v>
      </c>
      <c r="C55" s="287" t="s">
        <v>246</v>
      </c>
      <c r="D55" s="335">
        <v>3.65</v>
      </c>
      <c r="E55" s="545" t="s">
        <v>274</v>
      </c>
      <c r="F55" s="545"/>
      <c r="G55" s="545"/>
      <c r="H55" s="545"/>
      <c r="I55" s="545"/>
    </row>
    <row r="56" spans="2:19" ht="17.649999999999999" customHeight="1" x14ac:dyDescent="0.2">
      <c r="B56" s="558"/>
      <c r="C56" s="336" t="s">
        <v>276</v>
      </c>
      <c r="D56" s="337">
        <v>0.69199999999999995</v>
      </c>
      <c r="E56" s="545"/>
      <c r="F56" s="545"/>
      <c r="G56" s="545"/>
      <c r="H56" s="545"/>
      <c r="I56" s="545"/>
      <c r="K56" s="264"/>
    </row>
    <row r="57" spans="2:19" ht="17.649999999999999" customHeight="1" x14ac:dyDescent="0.2">
      <c r="B57" s="559"/>
      <c r="C57" s="338" t="s">
        <v>247</v>
      </c>
      <c r="D57" s="335">
        <v>146.172</v>
      </c>
      <c r="E57" s="545"/>
      <c r="F57" s="545"/>
      <c r="G57" s="545"/>
      <c r="H57" s="545"/>
      <c r="I57" s="545"/>
    </row>
    <row r="58" spans="2:19" ht="8.4499999999999993" customHeight="1" x14ac:dyDescent="0.25">
      <c r="B58" s="332"/>
      <c r="C58" s="339"/>
      <c r="D58" s="340"/>
      <c r="E58" s="333"/>
      <c r="F58" s="334"/>
      <c r="G58" s="334"/>
      <c r="H58" s="334"/>
      <c r="I58" s="333"/>
    </row>
    <row r="59" spans="2:19" ht="17.649999999999999" customHeight="1" thickBot="1" x14ac:dyDescent="0.25">
      <c r="B59" s="557" t="s">
        <v>229</v>
      </c>
      <c r="C59" s="564" t="s">
        <v>173</v>
      </c>
      <c r="D59" s="563">
        <v>132</v>
      </c>
      <c r="E59" s="545" t="s">
        <v>275</v>
      </c>
      <c r="F59" s="545"/>
      <c r="G59" s="545"/>
      <c r="H59" s="545"/>
      <c r="I59" s="545"/>
    </row>
    <row r="60" spans="2:19" ht="17.649999999999999" customHeight="1" thickBot="1" x14ac:dyDescent="0.25">
      <c r="B60" s="558"/>
      <c r="C60" s="564"/>
      <c r="D60" s="563"/>
      <c r="E60" s="545"/>
      <c r="F60" s="545"/>
      <c r="G60" s="545"/>
      <c r="H60" s="545"/>
      <c r="I60" s="545"/>
      <c r="K60" s="633" t="s">
        <v>227</v>
      </c>
      <c r="L60" s="634"/>
      <c r="M60" s="634"/>
      <c r="N60" s="634"/>
      <c r="O60" s="634"/>
      <c r="P60" s="635"/>
    </row>
    <row r="61" spans="2:19" ht="10.15" customHeight="1" x14ac:dyDescent="0.2">
      <c r="B61" s="559"/>
      <c r="C61" s="564"/>
      <c r="D61" s="563"/>
      <c r="E61" s="545"/>
      <c r="F61" s="545"/>
      <c r="G61" s="545"/>
      <c r="H61" s="545"/>
      <c r="I61" s="545"/>
      <c r="K61" s="411" t="s">
        <v>220</v>
      </c>
      <c r="L61" s="413" t="s">
        <v>221</v>
      </c>
      <c r="M61" s="413" t="s">
        <v>265</v>
      </c>
      <c r="N61" s="415" t="s">
        <v>287</v>
      </c>
      <c r="O61" s="636" t="s">
        <v>226</v>
      </c>
      <c r="P61" s="637"/>
    </row>
    <row r="62" spans="2:19" ht="7.15" customHeight="1" thickBot="1" x14ac:dyDescent="0.3">
      <c r="B62" s="332"/>
      <c r="C62" s="339"/>
      <c r="D62" s="340"/>
      <c r="E62" s="333"/>
      <c r="F62" s="334"/>
      <c r="G62" s="334"/>
      <c r="H62" s="334"/>
      <c r="I62" s="333"/>
      <c r="K62" s="412"/>
      <c r="L62" s="414"/>
      <c r="M62" s="414"/>
      <c r="N62" s="416"/>
      <c r="O62" s="352" t="s">
        <v>266</v>
      </c>
      <c r="P62" s="353" t="s">
        <v>267</v>
      </c>
    </row>
    <row r="63" spans="2:19" ht="18" customHeight="1" x14ac:dyDescent="0.25">
      <c r="B63" s="560" t="s">
        <v>242</v>
      </c>
      <c r="C63" s="341" t="s">
        <v>248</v>
      </c>
      <c r="D63" s="335">
        <v>0.12</v>
      </c>
      <c r="E63" s="284"/>
      <c r="F63" s="333"/>
      <c r="G63" s="334"/>
      <c r="H63" s="334"/>
      <c r="I63" s="333"/>
      <c r="K63" s="660" t="s">
        <v>23</v>
      </c>
      <c r="L63" s="663" t="s">
        <v>219</v>
      </c>
      <c r="M63" s="666">
        <v>1.25</v>
      </c>
      <c r="N63" s="666">
        <v>1.95</v>
      </c>
      <c r="O63" s="663">
        <v>1.75</v>
      </c>
      <c r="P63" s="669">
        <v>1.35</v>
      </c>
    </row>
    <row r="64" spans="2:19" ht="18" customHeight="1" x14ac:dyDescent="0.2">
      <c r="B64" s="561"/>
      <c r="C64" s="554" t="s">
        <v>253</v>
      </c>
      <c r="D64" s="555">
        <v>1.1499999999999999</v>
      </c>
      <c r="E64" s="545" t="s">
        <v>262</v>
      </c>
      <c r="F64" s="545"/>
      <c r="G64" s="545"/>
      <c r="H64" s="545"/>
      <c r="I64" s="545"/>
      <c r="K64" s="661"/>
      <c r="L64" s="664"/>
      <c r="M64" s="667"/>
      <c r="N64" s="667"/>
      <c r="O64" s="664"/>
      <c r="P64" s="670"/>
    </row>
    <row r="65" spans="2:17" ht="18" customHeight="1" x14ac:dyDescent="0.2">
      <c r="B65" s="561"/>
      <c r="C65" s="554"/>
      <c r="D65" s="555"/>
      <c r="E65" s="545"/>
      <c r="F65" s="545"/>
      <c r="G65" s="545"/>
      <c r="H65" s="545"/>
      <c r="I65" s="545"/>
      <c r="K65" s="661"/>
      <c r="L65" s="664"/>
      <c r="M65" s="667"/>
      <c r="N65" s="667"/>
      <c r="O65" s="664"/>
      <c r="P65" s="670"/>
      <c r="Q65" s="419"/>
    </row>
    <row r="66" spans="2:17" ht="18" customHeight="1" thickBot="1" x14ac:dyDescent="0.25">
      <c r="B66" s="562"/>
      <c r="C66" s="554"/>
      <c r="D66" s="555"/>
      <c r="E66" s="545"/>
      <c r="F66" s="545"/>
      <c r="G66" s="545"/>
      <c r="H66" s="545"/>
      <c r="I66" s="545"/>
      <c r="K66" s="662"/>
      <c r="L66" s="665"/>
      <c r="M66" s="668"/>
      <c r="N66" s="668"/>
      <c r="O66" s="665"/>
      <c r="P66" s="671"/>
      <c r="Q66" s="420"/>
    </row>
    <row r="67" spans="2:17" ht="7.15" customHeight="1" thickBot="1" x14ac:dyDescent="0.25">
      <c r="B67" s="332"/>
      <c r="C67" s="333"/>
      <c r="D67" s="333"/>
      <c r="E67" s="350"/>
      <c r="F67" s="350"/>
      <c r="G67" s="350"/>
      <c r="H67" s="350"/>
      <c r="I67" s="350"/>
      <c r="Q67" s="195"/>
    </row>
    <row r="68" spans="2:17" ht="18" customHeight="1" x14ac:dyDescent="0.25">
      <c r="B68" s="592" t="s">
        <v>230</v>
      </c>
      <c r="C68" s="287" t="s">
        <v>295</v>
      </c>
      <c r="D68" s="331">
        <v>1.05</v>
      </c>
      <c r="E68" s="583" t="s">
        <v>374</v>
      </c>
      <c r="F68" s="584"/>
      <c r="G68" s="584"/>
      <c r="H68" s="584"/>
      <c r="I68" s="585"/>
      <c r="K68" s="650" t="s">
        <v>421</v>
      </c>
      <c r="L68" s="651"/>
      <c r="M68" s="651"/>
      <c r="N68" s="652"/>
      <c r="O68" s="418"/>
      <c r="P68" s="418"/>
      <c r="Q68" s="421"/>
    </row>
    <row r="69" spans="2:17" ht="18" customHeight="1" thickBot="1" x14ac:dyDescent="0.25">
      <c r="B69" s="592"/>
      <c r="C69" s="300" t="s">
        <v>286</v>
      </c>
      <c r="D69" s="331">
        <v>1.95</v>
      </c>
      <c r="E69" s="574" t="s">
        <v>273</v>
      </c>
      <c r="F69" s="575"/>
      <c r="G69" s="575"/>
      <c r="H69" s="575"/>
      <c r="I69" s="576"/>
      <c r="K69" s="653"/>
      <c r="L69" s="654"/>
      <c r="M69" s="654"/>
      <c r="N69" s="655"/>
      <c r="O69" s="225"/>
      <c r="P69" s="225"/>
      <c r="Q69" s="421"/>
    </row>
    <row r="70" spans="2:17" ht="18" customHeight="1" x14ac:dyDescent="0.2">
      <c r="B70" s="592"/>
      <c r="C70" s="300" t="s">
        <v>263</v>
      </c>
      <c r="D70" s="331">
        <v>1.75</v>
      </c>
      <c r="E70" s="577"/>
      <c r="F70" s="578"/>
      <c r="G70" s="578"/>
      <c r="H70" s="578"/>
      <c r="I70" s="579"/>
      <c r="K70" s="656" t="s">
        <v>376</v>
      </c>
      <c r="L70" s="657"/>
      <c r="M70" s="658" t="s">
        <v>377</v>
      </c>
      <c r="N70" s="659"/>
      <c r="O70" s="172"/>
      <c r="P70" s="172"/>
      <c r="Q70" s="421"/>
    </row>
    <row r="71" spans="2:17" ht="18" customHeight="1" x14ac:dyDescent="0.2">
      <c r="B71" s="592"/>
      <c r="C71" s="300" t="s">
        <v>264</v>
      </c>
      <c r="D71" s="331">
        <v>1.35</v>
      </c>
      <c r="E71" s="577"/>
      <c r="F71" s="578"/>
      <c r="G71" s="578"/>
      <c r="H71" s="578"/>
      <c r="I71" s="579"/>
      <c r="K71" s="638" t="s">
        <v>378</v>
      </c>
      <c r="L71" s="639"/>
      <c r="M71" s="640">
        <v>1.45</v>
      </c>
      <c r="N71" s="641"/>
      <c r="O71" s="596" t="s">
        <v>381</v>
      </c>
      <c r="P71" s="597"/>
      <c r="Q71" s="421"/>
    </row>
    <row r="72" spans="2:17" ht="18" customHeight="1" x14ac:dyDescent="0.2">
      <c r="B72" s="592"/>
      <c r="C72" s="342" t="s">
        <v>420</v>
      </c>
      <c r="D72" s="331">
        <v>1.3</v>
      </c>
      <c r="E72" s="580"/>
      <c r="F72" s="581"/>
      <c r="G72" s="581"/>
      <c r="H72" s="581"/>
      <c r="I72" s="582"/>
      <c r="K72" s="642" t="s">
        <v>379</v>
      </c>
      <c r="L72" s="643"/>
      <c r="M72" s="644">
        <v>1.45</v>
      </c>
      <c r="N72" s="645"/>
      <c r="O72" s="598"/>
      <c r="P72" s="599"/>
    </row>
    <row r="73" spans="2:17" ht="28.9" customHeight="1" thickBot="1" x14ac:dyDescent="0.25">
      <c r="B73" s="592"/>
      <c r="C73" s="342" t="s">
        <v>403</v>
      </c>
      <c r="D73" s="448">
        <v>2</v>
      </c>
      <c r="E73" s="593" t="s">
        <v>415</v>
      </c>
      <c r="F73" s="594"/>
      <c r="G73" s="594"/>
      <c r="H73" s="594"/>
      <c r="I73" s="595"/>
      <c r="K73" s="646" t="s">
        <v>380</v>
      </c>
      <c r="L73" s="647"/>
      <c r="M73" s="648">
        <v>1.3</v>
      </c>
      <c r="N73" s="649"/>
      <c r="O73" s="600"/>
      <c r="P73" s="601"/>
    </row>
    <row r="74" spans="2:17" ht="5.45" customHeight="1" x14ac:dyDescent="0.2"/>
    <row r="75" spans="2:17" ht="22.9" customHeight="1" x14ac:dyDescent="0.25">
      <c r="B75" s="586" t="s">
        <v>322</v>
      </c>
      <c r="C75" s="370"/>
      <c r="D75" s="371">
        <f>D42/D41</f>
        <v>0.43333333333333335</v>
      </c>
      <c r="E75" s="372"/>
      <c r="F75" s="373"/>
      <c r="G75" s="373"/>
      <c r="H75" s="373"/>
      <c r="I75" s="373"/>
      <c r="L75" s="304"/>
      <c r="M75" s="304"/>
      <c r="N75" s="304"/>
      <c r="O75" s="304"/>
      <c r="P75" s="304"/>
      <c r="Q75" s="304"/>
    </row>
    <row r="76" spans="2:17" ht="37.15" customHeight="1" x14ac:dyDescent="0.2">
      <c r="B76" s="587"/>
      <c r="C76" s="374"/>
      <c r="D76" s="375">
        <v>20.6</v>
      </c>
      <c r="E76" s="588" t="s">
        <v>395</v>
      </c>
      <c r="F76" s="589"/>
      <c r="G76" s="589"/>
      <c r="H76" s="589"/>
      <c r="I76" s="590"/>
      <c r="K76" s="591" t="s">
        <v>323</v>
      </c>
      <c r="L76" s="591"/>
      <c r="M76" s="591"/>
      <c r="N76" s="591"/>
      <c r="O76" s="591"/>
      <c r="P76" s="591"/>
      <c r="Q76" s="304"/>
    </row>
    <row r="77" spans="2:17" ht="3.6" customHeight="1" x14ac:dyDescent="0.2"/>
    <row r="78" spans="2:17" ht="23.45" customHeight="1" x14ac:dyDescent="0.2">
      <c r="B78" s="397" t="s">
        <v>347</v>
      </c>
      <c r="C78" s="287" t="s">
        <v>348</v>
      </c>
      <c r="D78" s="331">
        <v>1</v>
      </c>
      <c r="E78" s="565" t="s">
        <v>349</v>
      </c>
      <c r="F78" s="566"/>
      <c r="G78" s="566"/>
      <c r="H78" s="566"/>
      <c r="I78" s="567"/>
      <c r="Q78" s="291"/>
    </row>
    <row r="79" spans="2:17" ht="19.149999999999999" customHeight="1" thickBot="1" x14ac:dyDescent="0.25">
      <c r="B79" s="398" t="s">
        <v>350</v>
      </c>
      <c r="C79" s="392" t="s">
        <v>351</v>
      </c>
      <c r="D79" s="331">
        <v>1</v>
      </c>
      <c r="E79" s="568" t="s">
        <v>352</v>
      </c>
      <c r="F79" s="569"/>
      <c r="G79" s="569"/>
      <c r="H79" s="569"/>
      <c r="I79" s="570"/>
    </row>
    <row r="80" spans="2:17" ht="16.899999999999999" customHeight="1" thickBot="1" x14ac:dyDescent="0.25">
      <c r="B80" s="393"/>
      <c r="C80" s="394" t="s">
        <v>353</v>
      </c>
      <c r="D80" s="395">
        <f>MAX(D78*D79, 0.85)</f>
        <v>1</v>
      </c>
      <c r="K80" s="571" t="s">
        <v>354</v>
      </c>
      <c r="L80" s="572"/>
      <c r="M80" s="572"/>
      <c r="N80" s="572"/>
      <c r="O80" s="572"/>
      <c r="P80" s="572"/>
      <c r="Q80" s="573"/>
    </row>
    <row r="81" spans="3:17" ht="29.45" customHeight="1" thickBot="1" x14ac:dyDescent="0.25">
      <c r="K81" s="611" t="s">
        <v>355</v>
      </c>
      <c r="L81" s="612"/>
      <c r="M81" s="612"/>
      <c r="N81" s="612" t="s">
        <v>356</v>
      </c>
      <c r="O81" s="612"/>
      <c r="P81" s="612"/>
      <c r="Q81" s="396" t="s">
        <v>357</v>
      </c>
    </row>
    <row r="82" spans="3:17" ht="19.899999999999999" customHeight="1" x14ac:dyDescent="0.2">
      <c r="C82" s="613"/>
      <c r="D82" s="614"/>
      <c r="E82" s="614"/>
      <c r="F82" s="614"/>
      <c r="G82" s="614"/>
      <c r="K82" s="615" t="s">
        <v>358</v>
      </c>
      <c r="L82" s="616"/>
      <c r="M82" s="616"/>
      <c r="N82" s="617" t="s">
        <v>359</v>
      </c>
      <c r="O82" s="616"/>
      <c r="P82" s="616"/>
      <c r="Q82" s="406">
        <v>1</v>
      </c>
    </row>
    <row r="83" spans="3:17" ht="19.899999999999999" customHeight="1" x14ac:dyDescent="0.2">
      <c r="K83" s="602" t="s">
        <v>360</v>
      </c>
      <c r="L83" s="603"/>
      <c r="M83" s="603"/>
      <c r="N83" s="604">
        <v>5</v>
      </c>
      <c r="O83" s="603"/>
      <c r="P83" s="603"/>
      <c r="Q83" s="407">
        <v>0.95</v>
      </c>
    </row>
    <row r="84" spans="3:17" ht="19.899999999999999" customHeight="1" thickBot="1" x14ac:dyDescent="0.25">
      <c r="K84" s="605" t="s">
        <v>361</v>
      </c>
      <c r="L84" s="606"/>
      <c r="M84" s="606"/>
      <c r="N84" s="607" t="s">
        <v>362</v>
      </c>
      <c r="O84" s="606"/>
      <c r="P84" s="606"/>
      <c r="Q84" s="408">
        <v>0.85</v>
      </c>
    </row>
    <row r="85" spans="3:17" ht="13.5" thickBot="1" x14ac:dyDescent="0.25"/>
    <row r="86" spans="3:17" ht="24.6" customHeight="1" thickBot="1" x14ac:dyDescent="0.25">
      <c r="K86" s="608" t="s">
        <v>363</v>
      </c>
      <c r="L86" s="609"/>
      <c r="M86" s="609"/>
      <c r="N86" s="609"/>
      <c r="O86" s="609"/>
      <c r="P86" s="609"/>
      <c r="Q86" s="610"/>
    </row>
    <row r="87" spans="3:17" ht="27" customHeight="1" thickBot="1" x14ac:dyDescent="0.25">
      <c r="K87" s="624" t="s">
        <v>364</v>
      </c>
      <c r="L87" s="625"/>
      <c r="M87" s="625"/>
      <c r="N87" s="625"/>
      <c r="O87" s="625"/>
      <c r="P87" s="626"/>
      <c r="Q87" s="396" t="s">
        <v>365</v>
      </c>
    </row>
    <row r="88" spans="3:17" ht="19.899999999999999" customHeight="1" x14ac:dyDescent="0.2">
      <c r="K88" s="627" t="s">
        <v>366</v>
      </c>
      <c r="L88" s="628"/>
      <c r="M88" s="628"/>
      <c r="N88" s="628"/>
      <c r="O88" s="628"/>
      <c r="P88" s="629"/>
      <c r="Q88" s="409">
        <v>0.85</v>
      </c>
    </row>
    <row r="89" spans="3:17" ht="19.899999999999999" customHeight="1" x14ac:dyDescent="0.2">
      <c r="K89" s="618" t="s">
        <v>367</v>
      </c>
      <c r="L89" s="619"/>
      <c r="M89" s="619"/>
      <c r="N89" s="619"/>
      <c r="O89" s="619"/>
      <c r="P89" s="620"/>
      <c r="Q89" s="407">
        <v>0.9</v>
      </c>
    </row>
    <row r="90" spans="3:17" ht="19.899999999999999" customHeight="1" x14ac:dyDescent="0.2">
      <c r="K90" s="618" t="s">
        <v>368</v>
      </c>
      <c r="L90" s="619"/>
      <c r="M90" s="619"/>
      <c r="N90" s="619"/>
      <c r="O90" s="619"/>
      <c r="P90" s="620"/>
      <c r="Q90" s="407">
        <v>0.9</v>
      </c>
    </row>
    <row r="91" spans="3:17" ht="19.899999999999999" customHeight="1" x14ac:dyDescent="0.2">
      <c r="K91" s="630" t="s">
        <v>369</v>
      </c>
      <c r="L91" s="631"/>
      <c r="M91" s="631"/>
      <c r="N91" s="631"/>
      <c r="O91" s="631"/>
      <c r="P91" s="632"/>
      <c r="Q91" s="406">
        <v>0.85</v>
      </c>
    </row>
    <row r="92" spans="3:17" ht="19.899999999999999" customHeight="1" x14ac:dyDescent="0.2">
      <c r="K92" s="618" t="s">
        <v>370</v>
      </c>
      <c r="L92" s="619"/>
      <c r="M92" s="619"/>
      <c r="N92" s="619"/>
      <c r="O92" s="619"/>
      <c r="P92" s="620"/>
      <c r="Q92" s="407">
        <v>0.95</v>
      </c>
    </row>
    <row r="93" spans="3:17" ht="19.899999999999999" customHeight="1" x14ac:dyDescent="0.2">
      <c r="K93" s="618" t="s">
        <v>371</v>
      </c>
      <c r="L93" s="619"/>
      <c r="M93" s="619"/>
      <c r="N93" s="619"/>
      <c r="O93" s="619"/>
      <c r="P93" s="620"/>
      <c r="Q93" s="407">
        <v>1</v>
      </c>
    </row>
    <row r="94" spans="3:17" ht="19.899999999999999" customHeight="1" x14ac:dyDescent="0.2">
      <c r="K94" s="618" t="s">
        <v>372</v>
      </c>
      <c r="L94" s="619"/>
      <c r="M94" s="619"/>
      <c r="N94" s="619"/>
      <c r="O94" s="619"/>
      <c r="P94" s="620"/>
      <c r="Q94" s="407">
        <v>0.85</v>
      </c>
    </row>
    <row r="95" spans="3:17" ht="19.899999999999999" customHeight="1" thickBot="1" x14ac:dyDescent="0.25">
      <c r="K95" s="621" t="s">
        <v>373</v>
      </c>
      <c r="L95" s="622"/>
      <c r="M95" s="622"/>
      <c r="N95" s="622"/>
      <c r="O95" s="622"/>
      <c r="P95" s="623"/>
      <c r="Q95" s="408">
        <v>1</v>
      </c>
    </row>
    <row r="101" ht="23.45" customHeight="1" x14ac:dyDescent="0.2"/>
    <row r="103" ht="16.899999999999999" customHeight="1" x14ac:dyDescent="0.2"/>
    <row r="104" ht="16.899999999999999" customHeight="1" x14ac:dyDescent="0.2"/>
  </sheetData>
  <mergeCells count="101">
    <mergeCell ref="K60:P60"/>
    <mergeCell ref="O61:P61"/>
    <mergeCell ref="K71:L71"/>
    <mergeCell ref="M71:N71"/>
    <mergeCell ref="K72:L72"/>
    <mergeCell ref="M72:N72"/>
    <mergeCell ref="K73:L73"/>
    <mergeCell ref="M73:N73"/>
    <mergeCell ref="K68:N69"/>
    <mergeCell ref="K70:L70"/>
    <mergeCell ref="M70:N70"/>
    <mergeCell ref="K63:K66"/>
    <mergeCell ref="L63:L66"/>
    <mergeCell ref="M63:M66"/>
    <mergeCell ref="N63:N66"/>
    <mergeCell ref="O63:O66"/>
    <mergeCell ref="P63:P66"/>
    <mergeCell ref="K92:P92"/>
    <mergeCell ref="K93:P93"/>
    <mergeCell ref="K94:P94"/>
    <mergeCell ref="K95:P95"/>
    <mergeCell ref="K87:P87"/>
    <mergeCell ref="K88:P88"/>
    <mergeCell ref="K89:P89"/>
    <mergeCell ref="K90:P90"/>
    <mergeCell ref="K91:P91"/>
    <mergeCell ref="K83:M83"/>
    <mergeCell ref="N83:P83"/>
    <mergeCell ref="K84:M84"/>
    <mergeCell ref="N84:P84"/>
    <mergeCell ref="K86:Q86"/>
    <mergeCell ref="K81:M81"/>
    <mergeCell ref="N81:P81"/>
    <mergeCell ref="C82:G82"/>
    <mergeCell ref="K82:M82"/>
    <mergeCell ref="N82:P82"/>
    <mergeCell ref="E78:I78"/>
    <mergeCell ref="E79:I79"/>
    <mergeCell ref="K80:Q80"/>
    <mergeCell ref="E69:I72"/>
    <mergeCell ref="E68:I68"/>
    <mergeCell ref="B75:B76"/>
    <mergeCell ref="E76:I76"/>
    <mergeCell ref="K76:P76"/>
    <mergeCell ref="B68:B73"/>
    <mergeCell ref="E73:I73"/>
    <mergeCell ref="O71:P73"/>
    <mergeCell ref="E46:H46"/>
    <mergeCell ref="B43:C43"/>
    <mergeCell ref="D44:E44"/>
    <mergeCell ref="B44:C44"/>
    <mergeCell ref="E64:I66"/>
    <mergeCell ref="E47:H47"/>
    <mergeCell ref="D52:E52"/>
    <mergeCell ref="B52:C52"/>
    <mergeCell ref="D51:E51"/>
    <mergeCell ref="B51:C51"/>
    <mergeCell ref="C64:C66"/>
    <mergeCell ref="D64:D66"/>
    <mergeCell ref="B54:I54"/>
    <mergeCell ref="B55:B57"/>
    <mergeCell ref="B59:B61"/>
    <mergeCell ref="B63:B66"/>
    <mergeCell ref="E59:I61"/>
    <mergeCell ref="D59:D61"/>
    <mergeCell ref="C59:C61"/>
    <mergeCell ref="E55:I57"/>
    <mergeCell ref="D39:E39"/>
    <mergeCell ref="D37:H37"/>
    <mergeCell ref="B37:C37"/>
    <mergeCell ref="B41:C41"/>
    <mergeCell ref="B38:C38"/>
    <mergeCell ref="D38:H38"/>
    <mergeCell ref="B39:C39"/>
    <mergeCell ref="E45:H45"/>
    <mergeCell ref="D42:E42"/>
    <mergeCell ref="B42:C42"/>
    <mergeCell ref="E2:H2"/>
    <mergeCell ref="G4:H4"/>
    <mergeCell ref="G5:H5"/>
    <mergeCell ref="B8:I28"/>
    <mergeCell ref="B7:I7"/>
    <mergeCell ref="E3:H3"/>
    <mergeCell ref="K41:P47"/>
    <mergeCell ref="K48:P50"/>
    <mergeCell ref="K40:P40"/>
    <mergeCell ref="B29:I29"/>
    <mergeCell ref="B36:C36"/>
    <mergeCell ref="D36:H36"/>
    <mergeCell ref="F39:H41"/>
    <mergeCell ref="D40:E40"/>
    <mergeCell ref="B40:C40"/>
    <mergeCell ref="B30:I30"/>
    <mergeCell ref="F48:I50"/>
    <mergeCell ref="B45:C50"/>
    <mergeCell ref="B34:H34"/>
    <mergeCell ref="B31:I31"/>
    <mergeCell ref="B32:I32"/>
    <mergeCell ref="D43:E43"/>
    <mergeCell ref="D41:E41"/>
    <mergeCell ref="D35:G35"/>
  </mergeCells>
  <dataValidations count="6">
    <dataValidation type="list" allowBlank="1" showInputMessage="1" showErrorMessage="1" sqref="E47" xr:uid="{00000000-0002-0000-0000-000000000000}">
      <formula1>Gage_number</formula1>
    </dataValidation>
    <dataValidation type="list" allowBlank="1" showInputMessage="1" showErrorMessage="1" sqref="E45:H45" xr:uid="{00000000-0002-0000-0000-000001000000}">
      <formula1>metal_type</formula1>
    </dataValidation>
    <dataValidation type="list" allowBlank="1" showInputMessage="1" showErrorMessage="1" sqref="E46:H46" xr:uid="{00000000-0002-0000-0000-000002000000}">
      <formula1>corrugation_all</formula1>
    </dataValidation>
    <dataValidation type="list" allowBlank="1" showInputMessage="1" showErrorMessage="1" sqref="D36" xr:uid="{00000000-0002-0000-0000-000003000000}">
      <formula1>structure_type</formula1>
    </dataValidation>
    <dataValidation type="list" allowBlank="1" showInputMessage="1" showErrorMessage="1" sqref="D37:H37" xr:uid="{00000000-0002-0000-0000-000004000000}">
      <formula1>seam_type</formula1>
    </dataValidation>
    <dataValidation type="list" allowBlank="1" showInputMessage="1" showErrorMessage="1" sqref="D38:H38" xr:uid="{00000000-0002-0000-0000-000005000000}">
      <formula1>structure_category</formula1>
    </dataValidation>
  </dataValidations>
  <printOptions horizontalCentered="1"/>
  <pageMargins left="0.7" right="0.7" top="0.75" bottom="0.75" header="0.3" footer="0.3"/>
  <pageSetup orientation="landscape" r:id="rId1"/>
  <headerFooter>
    <oddFooter>&amp;LRevised by ODOT 12/2018&amp;CPage &amp;P of 14</oddFooter>
  </headerFooter>
  <drawing r:id="rId2"/>
  <legacyDrawing r:id="rId3"/>
  <oleObjects>
    <mc:AlternateContent xmlns:mc="http://schemas.openxmlformats.org/markup-compatibility/2006">
      <mc:Choice Requires="x14">
        <oleObject progId="Equation.3" shapeId="1027" r:id="rId4">
          <objectPr defaultSize="0" autoPict="0" r:id="rId5">
            <anchor moveWithCells="1">
              <from>
                <xdr:col>2</xdr:col>
                <xdr:colOff>295275</xdr:colOff>
                <xdr:row>75</xdr:row>
                <xdr:rowOff>104775</xdr:rowOff>
              </from>
              <to>
                <xdr:col>2</xdr:col>
                <xdr:colOff>2228850</xdr:colOff>
                <xdr:row>75</xdr:row>
                <xdr:rowOff>438150</xdr:rowOff>
              </to>
            </anchor>
          </objectPr>
        </oleObject>
      </mc:Choice>
      <mc:Fallback>
        <oleObject progId="Equation.3" shapeId="1027" r:id="rId4"/>
      </mc:Fallback>
    </mc:AlternateContent>
    <mc:AlternateContent xmlns:mc="http://schemas.openxmlformats.org/markup-compatibility/2006">
      <mc:Choice Requires="x14">
        <oleObject progId="Equation.3" shapeId="1028" r:id="rId6">
          <objectPr defaultSize="0" autoPict="0" r:id="rId7">
            <anchor moveWithCells="1">
              <from>
                <xdr:col>2</xdr:col>
                <xdr:colOff>866775</xdr:colOff>
                <xdr:row>74</xdr:row>
                <xdr:rowOff>47625</xdr:rowOff>
              </from>
              <to>
                <xdr:col>2</xdr:col>
                <xdr:colOff>2228850</xdr:colOff>
                <xdr:row>74</xdr:row>
                <xdr:rowOff>276225</xdr:rowOff>
              </to>
            </anchor>
          </objectPr>
        </oleObject>
      </mc:Choice>
      <mc:Fallback>
        <oleObject progId="Equation.3" shapeId="1028" r:id="rId6"/>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263"/>
  <sheetViews>
    <sheetView topLeftCell="A246" zoomScale="90" zoomScaleNormal="90" zoomScaleSheetLayoutView="66" workbookViewId="0">
      <selection activeCell="G268" sqref="G268"/>
    </sheetView>
  </sheetViews>
  <sheetFormatPr defaultColWidth="8.85546875" defaultRowHeight="12.75" x14ac:dyDescent="0.2"/>
  <cols>
    <col min="1" max="1" width="12.7109375" style="26" customWidth="1"/>
    <col min="2" max="2" width="17.140625" style="26" customWidth="1"/>
    <col min="3" max="3" width="12.7109375" style="26" customWidth="1"/>
    <col min="4" max="4" width="12.42578125" style="26" customWidth="1"/>
    <col min="5" max="5" width="10.28515625" style="26" customWidth="1"/>
    <col min="6" max="6" width="9.42578125" style="26" customWidth="1"/>
    <col min="7" max="7" width="8.7109375" style="26" customWidth="1"/>
    <col min="8" max="8" width="9" style="26" customWidth="1"/>
    <col min="9" max="9" width="8.85546875" style="291"/>
    <col min="10" max="16384" width="8.85546875" style="26"/>
  </cols>
  <sheetData>
    <row r="1" spans="1:16" ht="4.9000000000000004" customHeight="1" thickBot="1" x14ac:dyDescent="0.25"/>
    <row r="2" spans="1:16" ht="17.45" customHeight="1" thickTop="1" x14ac:dyDescent="0.2">
      <c r="A2" s="25" t="s">
        <v>7</v>
      </c>
      <c r="B2" s="252" t="str">
        <f>'CMP Input'!C2</f>
        <v>MAD-323-0613</v>
      </c>
      <c r="C2" s="445" t="s">
        <v>396</v>
      </c>
      <c r="D2" s="732">
        <f>'CMP Input'!E2</f>
        <v>97115</v>
      </c>
      <c r="E2" s="732"/>
      <c r="F2" s="732"/>
      <c r="G2" s="733"/>
    </row>
    <row r="3" spans="1:16" ht="15" customHeight="1" x14ac:dyDescent="0.2">
      <c r="A3" s="27" t="s">
        <v>8</v>
      </c>
      <c r="B3" s="253">
        <f>'CMP Input'!C3</f>
        <v>4904036</v>
      </c>
      <c r="C3" s="69" t="s">
        <v>398</v>
      </c>
      <c r="D3" s="755"/>
      <c r="E3" s="755"/>
      <c r="F3" s="755"/>
      <c r="G3" s="756"/>
    </row>
    <row r="4" spans="1:16" ht="15" customHeight="1" x14ac:dyDescent="0.2">
      <c r="A4" s="27" t="s">
        <v>9</v>
      </c>
      <c r="B4" s="254">
        <f>'CMP Input'!C4</f>
        <v>1961</v>
      </c>
      <c r="C4" s="28" t="s">
        <v>10</v>
      </c>
      <c r="D4" s="446" t="str">
        <f>'CMP Input'!E4</f>
        <v>CW</v>
      </c>
      <c r="E4" s="29" t="s">
        <v>4</v>
      </c>
      <c r="F4" s="734">
        <f>'CMP Input'!G4</f>
        <v>40940</v>
      </c>
      <c r="G4" s="735"/>
    </row>
    <row r="5" spans="1:16" ht="15" customHeight="1" x14ac:dyDescent="0.2">
      <c r="A5" s="27" t="s">
        <v>11</v>
      </c>
      <c r="B5" s="443" t="str">
        <f>'CMP Input'!C5</f>
        <v>Corrugated Metal Pipe</v>
      </c>
      <c r="C5" s="28" t="s">
        <v>16</v>
      </c>
      <c r="D5" s="297" t="str">
        <f>'CMP Input'!E5</f>
        <v>WJB</v>
      </c>
      <c r="E5" s="29" t="s">
        <v>4</v>
      </c>
      <c r="F5" s="736">
        <f>'CMP Input'!G5</f>
        <v>40970</v>
      </c>
      <c r="G5" s="737"/>
    </row>
    <row r="6" spans="1:16" ht="7.15" customHeight="1" thickBot="1" x14ac:dyDescent="0.25">
      <c r="A6" s="31"/>
      <c r="B6" s="32"/>
      <c r="C6" s="33"/>
      <c r="D6" s="33"/>
      <c r="E6" s="33"/>
      <c r="F6" s="34"/>
      <c r="G6" s="35"/>
    </row>
    <row r="7" spans="1:16" ht="28.9" customHeight="1" thickTop="1" x14ac:dyDescent="0.2">
      <c r="A7" s="730" t="s">
        <v>281</v>
      </c>
      <c r="B7" s="730"/>
      <c r="C7" s="730"/>
      <c r="D7" s="730"/>
      <c r="E7" s="730"/>
      <c r="F7" s="730"/>
      <c r="G7" s="730"/>
      <c r="H7" s="344"/>
      <c r="I7" s="26"/>
    </row>
    <row r="8" spans="1:16" s="5" customFormat="1" ht="32.450000000000003" customHeight="1" x14ac:dyDescent="0.3">
      <c r="A8" s="758" t="s">
        <v>250</v>
      </c>
      <c r="B8" s="758"/>
      <c r="C8" s="758"/>
      <c r="D8" s="758"/>
      <c r="E8" s="758"/>
      <c r="F8" s="758"/>
      <c r="G8" s="758"/>
      <c r="H8" s="758"/>
      <c r="J8" s="17"/>
      <c r="K8" s="6"/>
      <c r="L8" s="6"/>
      <c r="M8" s="6"/>
      <c r="N8" s="6"/>
      <c r="O8" s="6"/>
      <c r="P8" s="6"/>
    </row>
    <row r="9" spans="1:16" s="5" customFormat="1" ht="16.899999999999999" customHeight="1" x14ac:dyDescent="0.3">
      <c r="A9" s="731" t="s">
        <v>249</v>
      </c>
      <c r="B9" s="731"/>
      <c r="C9" s="731"/>
      <c r="D9" s="731"/>
      <c r="E9" s="731"/>
      <c r="F9" s="731"/>
      <c r="G9" s="731"/>
      <c r="H9" s="345"/>
      <c r="I9" s="345"/>
      <c r="J9" s="17"/>
      <c r="K9" s="6"/>
      <c r="L9" s="6"/>
      <c r="M9" s="6"/>
      <c r="N9" s="6"/>
      <c r="O9" s="6"/>
      <c r="P9" s="6"/>
    </row>
    <row r="10" spans="1:16" ht="7.9" customHeight="1" x14ac:dyDescent="0.25">
      <c r="A10" s="343"/>
      <c r="B10" s="343"/>
      <c r="C10" s="343"/>
      <c r="D10" s="343"/>
      <c r="E10" s="343"/>
      <c r="F10" s="343"/>
      <c r="G10" s="343"/>
    </row>
    <row r="11" spans="1:16" ht="19.149999999999999" customHeight="1" x14ac:dyDescent="0.2">
      <c r="A11" s="698" t="s">
        <v>89</v>
      </c>
      <c r="B11" s="698"/>
      <c r="C11" s="36"/>
      <c r="D11" s="36"/>
      <c r="E11" s="36"/>
      <c r="F11" s="36"/>
      <c r="G11" s="36"/>
    </row>
    <row r="12" spans="1:16" ht="16.149999999999999" customHeight="1" x14ac:dyDescent="0.2">
      <c r="A12" s="714" t="s">
        <v>271</v>
      </c>
      <c r="B12" s="714"/>
      <c r="C12" s="714"/>
      <c r="D12" s="714"/>
      <c r="E12" s="714"/>
      <c r="F12" s="714"/>
      <c r="G12" s="346"/>
    </row>
    <row r="13" spans="1:16" ht="16.149999999999999" customHeight="1" x14ac:dyDescent="0.2">
      <c r="A13" s="715" t="s">
        <v>272</v>
      </c>
      <c r="B13" s="715"/>
      <c r="C13" s="715"/>
      <c r="D13" s="715"/>
      <c r="E13" s="715"/>
      <c r="F13" s="715"/>
    </row>
    <row r="14" spans="1:16" ht="16.149999999999999" customHeight="1" x14ac:dyDescent="0.2">
      <c r="A14" s="715" t="s">
        <v>252</v>
      </c>
      <c r="B14" s="715"/>
      <c r="C14" s="715"/>
      <c r="D14" s="715"/>
      <c r="E14" s="715"/>
      <c r="F14" s="715"/>
    </row>
    <row r="15" spans="1:16" ht="25.9" customHeight="1" x14ac:dyDescent="0.2">
      <c r="A15" s="714" t="s">
        <v>284</v>
      </c>
      <c r="B15" s="714"/>
      <c r="C15" s="714"/>
      <c r="D15" s="714"/>
      <c r="E15" s="714"/>
      <c r="F15" s="714"/>
      <c r="G15" s="714"/>
    </row>
    <row r="16" spans="1:16" ht="16.149999999999999" customHeight="1" x14ac:dyDescent="0.2">
      <c r="A16" s="714"/>
      <c r="B16" s="714"/>
      <c r="C16" s="714"/>
      <c r="D16" s="714"/>
      <c r="E16" s="714"/>
      <c r="F16" s="714"/>
      <c r="G16" s="714"/>
    </row>
    <row r="17" spans="1:8" ht="28.9" customHeight="1" x14ac:dyDescent="0.2">
      <c r="A17" s="714" t="s">
        <v>285</v>
      </c>
      <c r="B17" s="714"/>
      <c r="C17" s="714"/>
      <c r="D17" s="714"/>
      <c r="E17" s="714"/>
      <c r="F17" s="714"/>
      <c r="G17" s="714"/>
    </row>
    <row r="18" spans="1:8" ht="9.6" customHeight="1" x14ac:dyDescent="0.2">
      <c r="B18" s="39"/>
    </row>
    <row r="19" spans="1:8" ht="25.15" customHeight="1" x14ac:dyDescent="0.2">
      <c r="B19" s="40" t="s">
        <v>165</v>
      </c>
      <c r="C19" s="753" t="s">
        <v>18</v>
      </c>
      <c r="D19" s="754"/>
      <c r="E19" s="41">
        <f>'CMP Input'!D41</f>
        <v>15</v>
      </c>
    </row>
    <row r="20" spans="1:8" ht="11.45" customHeight="1" x14ac:dyDescent="0.2"/>
    <row r="21" spans="1:8" ht="18" customHeight="1" x14ac:dyDescent="0.2">
      <c r="B21" s="741" t="s">
        <v>166</v>
      </c>
      <c r="C21" s="740" t="s">
        <v>19</v>
      </c>
      <c r="D21" s="740"/>
      <c r="E21" s="41">
        <f>2*'CMP Input'!D44</f>
        <v>19</v>
      </c>
    </row>
    <row r="22" spans="1:8" ht="18" customHeight="1" x14ac:dyDescent="0.2">
      <c r="B22" s="742"/>
      <c r="C22" s="740" t="s">
        <v>17</v>
      </c>
      <c r="D22" s="740"/>
      <c r="E22" s="42">
        <f>'CMP Input'!D51</f>
        <v>0</v>
      </c>
    </row>
    <row r="23" spans="1:8" ht="18" customHeight="1" x14ac:dyDescent="0.2">
      <c r="B23" s="743"/>
      <c r="C23" s="747" t="s">
        <v>399</v>
      </c>
      <c r="D23" s="747"/>
      <c r="E23" s="41">
        <f>-5.6*E22+0.95</f>
        <v>0.95</v>
      </c>
    </row>
    <row r="24" spans="1:8" ht="16.149999999999999" customHeight="1" x14ac:dyDescent="0.2">
      <c r="B24" s="759" t="s">
        <v>254</v>
      </c>
      <c r="C24" s="759"/>
      <c r="D24" s="759"/>
      <c r="E24" s="759"/>
    </row>
    <row r="25" spans="1:8" ht="27.6" customHeight="1" x14ac:dyDescent="0.2">
      <c r="B25" s="760"/>
      <c r="C25" s="760"/>
      <c r="D25" s="760"/>
      <c r="E25" s="760"/>
    </row>
    <row r="26" spans="1:8" ht="5.45" customHeight="1" x14ac:dyDescent="0.2">
      <c r="B26" s="247"/>
    </row>
    <row r="27" spans="1:8" ht="24.6" customHeight="1" x14ac:dyDescent="0.2">
      <c r="B27" s="248" t="s">
        <v>167</v>
      </c>
      <c r="C27" s="740" t="s">
        <v>19</v>
      </c>
      <c r="D27" s="740"/>
      <c r="E27" s="41">
        <f>2*'CMP Input'!D44</f>
        <v>19</v>
      </c>
    </row>
    <row r="28" spans="1:8" ht="5.45" customHeight="1" x14ac:dyDescent="0.2">
      <c r="B28" s="247"/>
    </row>
    <row r="29" spans="1:8" ht="18" customHeight="1" x14ac:dyDescent="0.2">
      <c r="A29" s="744" t="s">
        <v>96</v>
      </c>
      <c r="B29" s="745"/>
      <c r="C29" s="746" t="str">
        <f>'CMP Input'!D38</f>
        <v>Typical (NCSPA design data sheet No. 19, II. A. 1.)</v>
      </c>
      <c r="D29" s="746"/>
      <c r="E29" s="746"/>
      <c r="F29" s="746"/>
      <c r="G29" s="80"/>
      <c r="H29" s="60"/>
    </row>
    <row r="30" spans="1:8" ht="5.45" customHeight="1" x14ac:dyDescent="0.2">
      <c r="A30" s="227"/>
      <c r="B30" s="227"/>
      <c r="C30" s="244"/>
      <c r="D30" s="245"/>
      <c r="E30" s="244"/>
      <c r="F30" s="244"/>
      <c r="G30" s="80"/>
      <c r="H30" s="60"/>
    </row>
    <row r="31" spans="1:8" ht="18" customHeight="1" x14ac:dyDescent="0.2">
      <c r="A31" s="748" t="s">
        <v>294</v>
      </c>
      <c r="B31" s="748"/>
      <c r="C31" s="749"/>
      <c r="D31" s="43">
        <f>IF(C29 ="Typical (NCSPA design data sheet no. 19, II. A. 1.)", E19, E21)</f>
        <v>15</v>
      </c>
      <c r="H31" s="61"/>
    </row>
    <row r="32" spans="1:8" ht="24.6" customHeight="1" x14ac:dyDescent="0.2">
      <c r="A32" s="748" t="s">
        <v>293</v>
      </c>
      <c r="B32" s="748"/>
      <c r="C32" s="749"/>
      <c r="D32" s="43">
        <f>'CMP Input'!D44:E44</f>
        <v>9.5</v>
      </c>
      <c r="E32" s="751" t="str">
        <f>IF(D33="","", IF(D32&gt;D33, "Long Span Structural Plate Structure Rt exceeds max allowd, Spreadsheet Cannot be Used!",""))</f>
        <v/>
      </c>
      <c r="F32" s="752"/>
      <c r="G32" s="752"/>
      <c r="H32" s="61"/>
    </row>
    <row r="33" spans="1:8" ht="29.45" customHeight="1" x14ac:dyDescent="0.2">
      <c r="A33" s="69"/>
      <c r="B33" s="69"/>
      <c r="C33" s="69" t="s">
        <v>292</v>
      </c>
      <c r="D33" s="41" t="str">
        <f>IF('CMP Input'!D36="Long Span Structural Plate", 25, "")</f>
        <v/>
      </c>
      <c r="E33" s="751"/>
      <c r="F33" s="752"/>
      <c r="G33" s="752"/>
      <c r="H33" s="61"/>
    </row>
    <row r="34" spans="1:8" ht="24.6" customHeight="1" x14ac:dyDescent="0.2">
      <c r="A34" s="69"/>
      <c r="B34" s="69"/>
      <c r="C34" s="69"/>
      <c r="D34" s="757" t="s">
        <v>291</v>
      </c>
      <c r="E34" s="757"/>
      <c r="F34" s="757"/>
      <c r="G34" s="757"/>
      <c r="H34" s="757"/>
    </row>
    <row r="35" spans="1:8" ht="17.45" customHeight="1" x14ac:dyDescent="0.2">
      <c r="A35" s="698" t="s">
        <v>90</v>
      </c>
      <c r="B35" s="698"/>
      <c r="H35" s="61"/>
    </row>
    <row r="36" spans="1:8" ht="6.6" customHeight="1" x14ac:dyDescent="0.2">
      <c r="A36" s="24"/>
      <c r="B36" s="24"/>
      <c r="H36" s="61"/>
    </row>
    <row r="37" spans="1:8" ht="18" customHeight="1" x14ac:dyDescent="0.2">
      <c r="A37" s="68" t="s">
        <v>32</v>
      </c>
      <c r="B37" s="68"/>
      <c r="H37" s="61"/>
    </row>
    <row r="38" spans="1:8" ht="18" customHeight="1" x14ac:dyDescent="0.2">
      <c r="A38" s="68" t="s">
        <v>33</v>
      </c>
      <c r="B38" s="68"/>
      <c r="H38" s="61"/>
    </row>
    <row r="39" spans="1:8" ht="18" customHeight="1" x14ac:dyDescent="0.2">
      <c r="A39" s="24"/>
      <c r="B39" s="163" t="s">
        <v>29</v>
      </c>
      <c r="C39" s="767" t="str">
        <f>'CMP Input'!E45</f>
        <v>Steel</v>
      </c>
      <c r="D39" s="768"/>
      <c r="E39" s="769"/>
      <c r="F39" s="80"/>
      <c r="H39" s="61"/>
    </row>
    <row r="40" spans="1:8" ht="18" customHeight="1" x14ac:dyDescent="0.2">
      <c r="A40" s="24"/>
      <c r="B40" s="740" t="s">
        <v>61</v>
      </c>
      <c r="C40" s="740"/>
      <c r="D40" s="740"/>
      <c r="E40" s="63">
        <f>VLOOKUP(C39,'Reference tables'!C32:F36,3,FALSE)</f>
        <v>33</v>
      </c>
      <c r="F40" s="64" t="s">
        <v>31</v>
      </c>
      <c r="H40" s="61"/>
    </row>
    <row r="41" spans="1:8" ht="18" customHeight="1" x14ac:dyDescent="0.2">
      <c r="A41" s="24"/>
      <c r="B41" s="740" t="s">
        <v>62</v>
      </c>
      <c r="C41" s="740"/>
      <c r="D41" s="740"/>
      <c r="E41" s="63">
        <f>VLOOKUP(C39,'Reference tables'!C32:F36,2,FALSE)</f>
        <v>45</v>
      </c>
      <c r="F41" s="64" t="s">
        <v>31</v>
      </c>
      <c r="H41" s="61"/>
    </row>
    <row r="42" spans="1:8" ht="18" customHeight="1" x14ac:dyDescent="0.2">
      <c r="A42" s="24"/>
      <c r="B42" s="740" t="s">
        <v>60</v>
      </c>
      <c r="C42" s="740"/>
      <c r="D42" s="740"/>
      <c r="E42" s="63">
        <f>VLOOKUP(C39,'Reference tables'!C32:F36,4,FALSE)</f>
        <v>29000</v>
      </c>
      <c r="F42" s="64" t="s">
        <v>31</v>
      </c>
      <c r="H42" s="61"/>
    </row>
    <row r="43" spans="1:8" ht="4.9000000000000004" customHeight="1" x14ac:dyDescent="0.2">
      <c r="A43" s="24"/>
      <c r="B43" s="69"/>
      <c r="C43" s="69"/>
      <c r="D43" s="69"/>
      <c r="E43" s="70"/>
      <c r="F43" s="64"/>
      <c r="H43" s="61"/>
    </row>
    <row r="44" spans="1:8" ht="18.600000000000001" customHeight="1" x14ac:dyDescent="0.2">
      <c r="A44" s="266" t="s">
        <v>34</v>
      </c>
      <c r="B44" s="69"/>
      <c r="C44" s="69"/>
      <c r="D44" s="69"/>
      <c r="E44" s="70"/>
      <c r="F44" s="64"/>
      <c r="H44" s="61"/>
    </row>
    <row r="45" spans="1:8" ht="16.149999999999999" customHeight="1" x14ac:dyDescent="0.2">
      <c r="A45" s="69" t="s">
        <v>36</v>
      </c>
      <c r="B45" s="750" t="str">
        <f>'CMP Input'!E46</f>
        <v>6 x 2 (steel structural plate pipe)</v>
      </c>
      <c r="C45" s="750"/>
      <c r="F45" s="260"/>
      <c r="H45" s="61"/>
    </row>
    <row r="46" spans="1:8" ht="16.149999999999999" customHeight="1" x14ac:dyDescent="0.2">
      <c r="A46" s="69" t="s">
        <v>171</v>
      </c>
      <c r="B46" s="750" t="str">
        <f>'CMP Input'!E47</f>
        <v>N/A</v>
      </c>
      <c r="C46" s="750"/>
      <c r="F46" s="260"/>
      <c r="H46" s="61"/>
    </row>
    <row r="47" spans="1:8" ht="16.149999999999999" customHeight="1" x14ac:dyDescent="0.2">
      <c r="A47" s="69" t="s">
        <v>14</v>
      </c>
      <c r="B47" s="644" t="str">
        <f>IF(B45="N/A",'CMP Input'!E48, "")</f>
        <v/>
      </c>
      <c r="C47" s="644"/>
      <c r="E47" s="359"/>
      <c r="F47" s="359"/>
      <c r="H47" s="61"/>
    </row>
    <row r="48" spans="1:8" ht="16.149999999999999" customHeight="1" x14ac:dyDescent="0.2">
      <c r="A48" s="69" t="s">
        <v>15</v>
      </c>
      <c r="B48" s="644" t="str">
        <f>IF(B45="N/A",'CMP Input'!E49, "")</f>
        <v/>
      </c>
      <c r="C48" s="644"/>
      <c r="D48" s="358"/>
      <c r="E48" s="359"/>
      <c r="F48" s="359"/>
      <c r="H48" s="61"/>
    </row>
    <row r="49" spans="1:12" ht="16.149999999999999" customHeight="1" x14ac:dyDescent="0.2">
      <c r="A49" s="263" t="s">
        <v>172</v>
      </c>
      <c r="B49" s="761">
        <f>IF(B46="N/A", 'CMP Input'!E50, VLOOKUP(B46,'Reference tables'!B39:C48,2,FALSE))</f>
        <v>0.25</v>
      </c>
      <c r="C49" s="761"/>
      <c r="D49" s="738" t="str">
        <f>IF(B50="", "", IF(B50="-","Long Span Structural Structure Geometric Limits Exceed", IF(B49&lt;B50, "Long Span Structural Plate Structure Top Arc Minimum Thickness not Meet, Spreadsheet Cannot be Used!","")))</f>
        <v/>
      </c>
      <c r="E49" s="739"/>
      <c r="F49" s="739"/>
      <c r="G49" s="739"/>
      <c r="H49" s="61"/>
    </row>
    <row r="50" spans="1:12" ht="16.149999999999999" customHeight="1" x14ac:dyDescent="0.2">
      <c r="A50" s="265" t="s">
        <v>289</v>
      </c>
      <c r="B50" s="761" t="str">
        <f>IF('CMP Input'!D36="Long Span Structural Plate", 'Reference tables'!C17, "")</f>
        <v/>
      </c>
      <c r="C50" s="761"/>
      <c r="D50" s="738"/>
      <c r="E50" s="739"/>
      <c r="F50" s="739"/>
      <c r="G50" s="739"/>
      <c r="H50" s="61"/>
    </row>
    <row r="51" spans="1:12" ht="16.149999999999999" customHeight="1" x14ac:dyDescent="0.2">
      <c r="A51" s="265"/>
      <c r="B51" s="765" t="s">
        <v>290</v>
      </c>
      <c r="C51" s="765"/>
      <c r="D51" s="765"/>
      <c r="E51" s="765"/>
      <c r="F51" s="765"/>
      <c r="G51" s="357"/>
      <c r="H51" s="61"/>
    </row>
    <row r="52" spans="1:12" ht="8.4499999999999993" customHeight="1" x14ac:dyDescent="0.2">
      <c r="A52" s="265"/>
      <c r="B52" s="267"/>
      <c r="D52" s="261"/>
      <c r="E52" s="261"/>
      <c r="F52" s="260"/>
      <c r="H52" s="61"/>
    </row>
    <row r="53" spans="1:12" ht="16.149999999999999" customHeight="1" x14ac:dyDescent="0.2">
      <c r="A53" s="69" t="s">
        <v>53</v>
      </c>
      <c r="B53" s="298">
        <f>'CMP Input'!D55</f>
        <v>3.65</v>
      </c>
      <c r="C53" s="326"/>
      <c r="D53" s="299"/>
      <c r="E53" s="299"/>
      <c r="F53" s="368"/>
      <c r="G53" s="368"/>
      <c r="H53" s="61"/>
    </row>
    <row r="54" spans="1:12" ht="16.149999999999999" customHeight="1" x14ac:dyDescent="0.2">
      <c r="A54" s="263" t="s">
        <v>245</v>
      </c>
      <c r="B54" s="325">
        <f>'CMP Input'!D56</f>
        <v>0.69199999999999995</v>
      </c>
      <c r="C54" s="326"/>
      <c r="D54" s="299"/>
      <c r="E54" s="299"/>
      <c r="F54" s="368"/>
      <c r="G54" s="368"/>
      <c r="H54" s="61"/>
    </row>
    <row r="55" spans="1:12" ht="16.149999999999999" customHeight="1" x14ac:dyDescent="0.2">
      <c r="A55" s="258" t="s">
        <v>64</v>
      </c>
      <c r="B55" s="298">
        <f>'CMP Input'!D57</f>
        <v>146.172</v>
      </c>
      <c r="C55" s="326"/>
      <c r="D55" s="299"/>
      <c r="E55" s="299"/>
      <c r="F55" s="259"/>
      <c r="G55" s="259"/>
      <c r="H55" s="61"/>
    </row>
    <row r="56" spans="1:12" ht="6.6" customHeight="1" x14ac:dyDescent="0.2">
      <c r="C56" s="258"/>
      <c r="D56" s="258"/>
      <c r="E56" s="262"/>
      <c r="F56" s="259"/>
      <c r="G56" s="259"/>
      <c r="H56" s="61"/>
    </row>
    <row r="57" spans="1:12" ht="18.600000000000001" customHeight="1" x14ac:dyDescent="0.2">
      <c r="A57" s="698" t="s">
        <v>91</v>
      </c>
      <c r="B57" s="698"/>
      <c r="H57" s="61"/>
    </row>
    <row r="58" spans="1:12" ht="18" customHeight="1" x14ac:dyDescent="0.2">
      <c r="A58" s="24"/>
      <c r="B58" s="163" t="s">
        <v>35</v>
      </c>
      <c r="C58" s="640" t="str">
        <f>'CMP Input'!D36</f>
        <v>Structural Plate Pipe</v>
      </c>
      <c r="D58" s="640"/>
      <c r="E58" s="640"/>
      <c r="H58" s="37"/>
    </row>
    <row r="59" spans="1:12" ht="19.149999999999999" customHeight="1" x14ac:dyDescent="0.2">
      <c r="A59" s="24"/>
      <c r="B59" s="163" t="s">
        <v>92</v>
      </c>
      <c r="C59" s="762" t="str">
        <f>'CMP Input'!D37</f>
        <v>Annular pipe w/ spot welded, riveted or bolted seam</v>
      </c>
      <c r="D59" s="763"/>
      <c r="E59" s="764"/>
      <c r="H59" s="37"/>
    </row>
    <row r="60" spans="1:12" ht="19.899999999999999" customHeight="1" x14ac:dyDescent="0.2">
      <c r="A60" s="740" t="s">
        <v>101</v>
      </c>
      <c r="B60" s="740"/>
      <c r="C60" s="740"/>
      <c r="D60" s="740"/>
      <c r="E60" s="41">
        <f>'CMP Input'!D43</f>
        <v>24.7</v>
      </c>
      <c r="H60" s="37"/>
    </row>
    <row r="61" spans="1:12" ht="19.899999999999999" customHeight="1" x14ac:dyDescent="0.2">
      <c r="A61" s="793" t="s">
        <v>318</v>
      </c>
      <c r="B61" s="793"/>
      <c r="C61" s="793"/>
      <c r="D61" s="793"/>
      <c r="E61" s="41">
        <f>VLOOKUP('CMP Input'!D36, 'Reference tables'!C2:D6, 2, FALSE)</f>
        <v>1.875</v>
      </c>
      <c r="F61" s="326" t="str">
        <f>IF(E61="-", "Long Span Structural Plate Structure Geometric Limits Exceed!", "")</f>
        <v/>
      </c>
      <c r="G61" s="299"/>
      <c r="H61" s="299"/>
      <c r="I61" s="299"/>
      <c r="J61" s="299"/>
      <c r="K61" s="299"/>
      <c r="L61" s="299"/>
    </row>
    <row r="62" spans="1:12" ht="30" customHeight="1" x14ac:dyDescent="0.2">
      <c r="A62" s="700" t="s">
        <v>320</v>
      </c>
      <c r="B62" s="700"/>
      <c r="C62" s="700"/>
      <c r="D62" s="700"/>
      <c r="E62" s="141">
        <f>'CMP Input'!D40</f>
        <v>1.8</v>
      </c>
      <c r="F62" s="794" t="str">
        <f>IF(E61="-", "", IF(E62&gt;=E61, " ", "! Hmin&lt;h, cover not deep enough, go to section D "))</f>
        <v xml:space="preserve">! Hmin&lt;h, cover not deep enough, go to section D </v>
      </c>
      <c r="G62" s="795"/>
      <c r="H62" s="795"/>
      <c r="I62" s="795"/>
      <c r="J62" s="795"/>
      <c r="K62" s="299"/>
      <c r="L62" s="299"/>
    </row>
    <row r="63" spans="1:12" ht="29.45" customHeight="1" x14ac:dyDescent="0.2">
      <c r="A63" s="700" t="s">
        <v>282</v>
      </c>
      <c r="B63" s="700"/>
      <c r="C63" s="700"/>
      <c r="D63" s="700"/>
      <c r="E63" s="141">
        <f>1-'CMP Input'!D52</f>
        <v>1</v>
      </c>
    </row>
    <row r="64" spans="1:12" ht="19.899999999999999" customHeight="1" x14ac:dyDescent="0.2">
      <c r="A64" s="796" t="s">
        <v>298</v>
      </c>
      <c r="B64" s="796"/>
      <c r="C64" s="796"/>
      <c r="D64" s="796"/>
      <c r="E64" s="41">
        <v>1</v>
      </c>
    </row>
    <row r="65" spans="1:8" ht="19.899999999999999" customHeight="1" x14ac:dyDescent="0.2">
      <c r="A65" s="797" t="s">
        <v>413</v>
      </c>
      <c r="B65" s="797"/>
      <c r="C65" s="797"/>
      <c r="D65" s="797"/>
      <c r="E65" s="41">
        <f>IF('CMP Input'!D37="Annular pipe w/ spot welded, riveted or bolted seam", 0.67, IF('CMP Input'!D37="Helical pipe w/ lock seam or fully welded seam", 1, ""))</f>
        <v>0.67</v>
      </c>
    </row>
    <row r="66" spans="1:8" ht="19.899999999999999" customHeight="1" x14ac:dyDescent="0.2">
      <c r="A66" s="798" t="s">
        <v>25</v>
      </c>
      <c r="B66" s="798"/>
      <c r="C66" s="798"/>
      <c r="D66" s="798"/>
      <c r="E66" s="298">
        <f>'CMP Input'!D63</f>
        <v>0.12</v>
      </c>
    </row>
    <row r="67" spans="1:8" ht="19.899999999999999" customHeight="1" x14ac:dyDescent="0.2">
      <c r="A67" s="798" t="s">
        <v>63</v>
      </c>
      <c r="B67" s="798"/>
      <c r="C67" s="798"/>
      <c r="D67" s="798"/>
      <c r="E67" s="41">
        <v>0.22</v>
      </c>
    </row>
    <row r="68" spans="1:8" ht="19.899999999999999" customHeight="1" x14ac:dyDescent="0.2">
      <c r="A68" s="554" t="s">
        <v>212</v>
      </c>
      <c r="B68" s="554"/>
      <c r="C68" s="554"/>
      <c r="D68" s="554"/>
      <c r="E68" s="41">
        <f>'CMP Input'!D64</f>
        <v>1.1499999999999999</v>
      </c>
      <c r="F68" s="290"/>
    </row>
    <row r="69" spans="1:8" ht="19.899999999999999" customHeight="1" x14ac:dyDescent="0.2">
      <c r="A69" s="166" t="s">
        <v>255</v>
      </c>
      <c r="C69" s="150" t="s">
        <v>224</v>
      </c>
      <c r="D69" s="69"/>
      <c r="E69" s="70"/>
      <c r="F69" s="64"/>
      <c r="H69" s="61"/>
    </row>
    <row r="70" spans="1:8" ht="10.15" customHeight="1" x14ac:dyDescent="0.2"/>
    <row r="71" spans="1:8" ht="16.149999999999999" customHeight="1" x14ac:dyDescent="0.2">
      <c r="A71" s="69" t="s">
        <v>102</v>
      </c>
    </row>
    <row r="72" spans="1:8" ht="16.149999999999999" customHeight="1" x14ac:dyDescent="0.2"/>
    <row r="73" spans="1:8" ht="16.149999999999999" customHeight="1" x14ac:dyDescent="0.2">
      <c r="A73" s="69" t="s">
        <v>102</v>
      </c>
    </row>
    <row r="74" spans="1:8" ht="9.6" customHeight="1" x14ac:dyDescent="0.2"/>
    <row r="75" spans="1:8" ht="22.15" customHeight="1" x14ac:dyDescent="0.2">
      <c r="A75" s="69" t="s">
        <v>103</v>
      </c>
      <c r="B75" s="69" t="s">
        <v>104</v>
      </c>
      <c r="C75" s="41">
        <f>D31*12</f>
        <v>180</v>
      </c>
      <c r="D75" s="230" t="str">
        <f>IF(C75&gt;F75, "&gt;", "&lt;")</f>
        <v>&lt;</v>
      </c>
      <c r="F75" s="41">
        <f>(B54/E67)*(24*E42*1000/(E41*1000))^0.5</f>
        <v>391.18462452954299</v>
      </c>
    </row>
    <row r="76" spans="1:8" ht="8.4499999999999993" customHeight="1" x14ac:dyDescent="0.2">
      <c r="A76" s="69"/>
      <c r="B76" s="69"/>
      <c r="C76" s="246"/>
      <c r="D76" s="230"/>
      <c r="F76" s="62"/>
    </row>
    <row r="77" spans="1:8" ht="19.899999999999999" customHeight="1" x14ac:dyDescent="0.2">
      <c r="A77" s="69" t="s">
        <v>277</v>
      </c>
      <c r="B77" s="165" t="s">
        <v>256</v>
      </c>
      <c r="C77" s="41">
        <f>IF(C75&lt;F75, (E41*1000-((E41*1000)^2/(48*E42*1000))*(E67*C75/B54)^2)/1000, (12*E42*1000/(E67*C75/B54)^2)/1000)</f>
        <v>40.236085315706944</v>
      </c>
      <c r="D77" s="26" t="s">
        <v>31</v>
      </c>
    </row>
    <row r="78" spans="1:8" ht="3.6" customHeight="1" x14ac:dyDescent="0.2"/>
    <row r="79" spans="1:8" ht="17.45" customHeight="1" x14ac:dyDescent="0.2">
      <c r="A79" s="166" t="s">
        <v>257</v>
      </c>
    </row>
    <row r="80" spans="1:8" ht="15" customHeight="1" x14ac:dyDescent="0.2">
      <c r="A80" s="166"/>
      <c r="B80" s="69" t="s">
        <v>173</v>
      </c>
      <c r="C80" s="44">
        <f>'CMP Input'!D59</f>
        <v>132</v>
      </c>
      <c r="D80" s="326"/>
      <c r="E80" s="327"/>
      <c r="F80" s="327"/>
    </row>
    <row r="81" spans="1:11" ht="3" customHeight="1" x14ac:dyDescent="0.2">
      <c r="A81" s="166"/>
      <c r="B81" s="69"/>
      <c r="C81" s="444"/>
      <c r="D81" s="167"/>
      <c r="E81" s="167"/>
      <c r="F81" s="167"/>
    </row>
    <row r="82" spans="1:11" ht="15.4" customHeight="1" x14ac:dyDescent="0.2">
      <c r="B82" s="740" t="s">
        <v>105</v>
      </c>
      <c r="C82" s="766" t="s">
        <v>174</v>
      </c>
      <c r="D82" s="766"/>
      <c r="E82" s="766"/>
      <c r="F82" s="44">
        <f>E40*B53*E64*E63</f>
        <v>120.45</v>
      </c>
    </row>
    <row r="83" spans="1:11" ht="15.4" customHeight="1" x14ac:dyDescent="0.2">
      <c r="B83" s="740"/>
      <c r="C83" s="766" t="s">
        <v>186</v>
      </c>
      <c r="D83" s="766"/>
      <c r="E83" s="766"/>
      <c r="F83" s="44">
        <f>IF(C29="Unsymmetrical  or deflect over 5% (NCSPA design data sheet No. 19, II. A. 2.)", C77*B53*E64*E63*E23, C77*B53*E64*E63)</f>
        <v>146.86171140233034</v>
      </c>
    </row>
    <row r="84" spans="1:11" ht="15.4" customHeight="1" x14ac:dyDescent="0.2">
      <c r="B84" s="740"/>
      <c r="C84" s="766" t="s">
        <v>129</v>
      </c>
      <c r="D84" s="766"/>
      <c r="E84" s="766"/>
      <c r="F84" s="44">
        <f>E65*C80</f>
        <v>88.440000000000012</v>
      </c>
    </row>
    <row r="85" spans="1:11" ht="2.4500000000000002" customHeight="1" x14ac:dyDescent="0.2"/>
    <row r="86" spans="1:11" ht="16.149999999999999" customHeight="1" x14ac:dyDescent="0.2">
      <c r="A86" s="69" t="s">
        <v>277</v>
      </c>
      <c r="B86" s="219" t="s">
        <v>258</v>
      </c>
      <c r="C86" s="44">
        <f>MIN(F82,F83,F84)</f>
        <v>88.440000000000012</v>
      </c>
      <c r="D86" s="26" t="s">
        <v>130</v>
      </c>
    </row>
    <row r="87" spans="1:11" ht="3" customHeight="1" x14ac:dyDescent="0.2"/>
    <row r="88" spans="1:11" ht="15.6" customHeight="1" x14ac:dyDescent="0.2">
      <c r="A88" s="166" t="s">
        <v>259</v>
      </c>
    </row>
    <row r="89" spans="1:11" ht="15" customHeight="1" x14ac:dyDescent="0.2">
      <c r="B89" s="705" t="s">
        <v>131</v>
      </c>
      <c r="C89" s="162" t="s">
        <v>132</v>
      </c>
      <c r="D89" s="41">
        <f>E66*'CMP Input'!D39*D31/2</f>
        <v>1.6199999999999999</v>
      </c>
      <c r="E89" s="26" t="s">
        <v>130</v>
      </c>
    </row>
    <row r="90" spans="1:11" ht="15" customHeight="1" x14ac:dyDescent="0.2">
      <c r="B90" s="706"/>
      <c r="C90" s="162" t="s">
        <v>133</v>
      </c>
      <c r="D90" s="41">
        <f>E66*'CMP Input'!D39*D32</f>
        <v>2.052</v>
      </c>
      <c r="E90" s="26" t="s">
        <v>130</v>
      </c>
    </row>
    <row r="91" spans="1:11" ht="3.6" customHeight="1" x14ac:dyDescent="0.2"/>
    <row r="92" spans="1:11" ht="15" customHeight="1" x14ac:dyDescent="0.2">
      <c r="A92" s="69" t="s">
        <v>277</v>
      </c>
      <c r="B92" s="219" t="s">
        <v>260</v>
      </c>
      <c r="C92" s="41">
        <f>MAX(D89,D90)</f>
        <v>2.052</v>
      </c>
      <c r="D92" s="26" t="s">
        <v>130</v>
      </c>
    </row>
    <row r="93" spans="1:11" ht="18" customHeight="1" x14ac:dyDescent="0.2">
      <c r="A93" s="166" t="s">
        <v>309</v>
      </c>
      <c r="K93" s="421"/>
    </row>
    <row r="94" spans="1:11" ht="15" customHeight="1" x14ac:dyDescent="0.2">
      <c r="A94" s="166"/>
      <c r="B94" s="707" t="s">
        <v>225</v>
      </c>
      <c r="C94" s="162" t="s">
        <v>196</v>
      </c>
      <c r="D94" s="26" t="s">
        <v>130</v>
      </c>
    </row>
    <row r="95" spans="1:11" ht="15" customHeight="1" x14ac:dyDescent="0.2">
      <c r="A95" s="166"/>
      <c r="B95" s="708"/>
      <c r="C95" s="162" t="s">
        <v>197</v>
      </c>
      <c r="D95" s="26" t="s">
        <v>130</v>
      </c>
    </row>
    <row r="96" spans="1:11" ht="12.6" customHeight="1" x14ac:dyDescent="0.2">
      <c r="A96" s="166"/>
      <c r="C96" s="715" t="s">
        <v>310</v>
      </c>
      <c r="D96" s="715"/>
      <c r="E96" s="715"/>
      <c r="F96" s="715"/>
      <c r="G96" s="715"/>
      <c r="H96" s="715"/>
    </row>
    <row r="97" spans="1:8" ht="15" customHeight="1" x14ac:dyDescent="0.2">
      <c r="A97" s="166"/>
      <c r="C97" s="69" t="s">
        <v>400</v>
      </c>
      <c r="D97" s="150"/>
      <c r="E97" s="150"/>
      <c r="F97" s="150"/>
      <c r="G97" s="150"/>
      <c r="H97" s="150"/>
    </row>
    <row r="98" spans="1:8" ht="13.9" customHeight="1" x14ac:dyDescent="0.2">
      <c r="A98" s="712" t="s">
        <v>401</v>
      </c>
      <c r="B98" s="712"/>
      <c r="C98" s="712"/>
      <c r="D98" s="160">
        <v>1.2</v>
      </c>
      <c r="E98" s="447" t="s">
        <v>402</v>
      </c>
      <c r="F98" s="150"/>
      <c r="G98" s="150"/>
      <c r="H98" s="150"/>
    </row>
    <row r="99" spans="1:8" ht="13.9" customHeight="1" x14ac:dyDescent="0.2">
      <c r="A99" s="712" t="s">
        <v>405</v>
      </c>
      <c r="B99" s="712"/>
      <c r="C99" s="712"/>
      <c r="D99" s="41">
        <f>IF('CMP Input'!D73&lt;100, 0.9, IF(AND('CMP Input'!D73&gt;=100, 'CMP Input'!D73&lt;=1000), 0.95, 1))</f>
        <v>0.9</v>
      </c>
      <c r="E99" s="447" t="s">
        <v>404</v>
      </c>
      <c r="F99" s="150"/>
      <c r="G99" s="150"/>
      <c r="H99" s="150"/>
    </row>
    <row r="100" spans="1:8" ht="13.9" customHeight="1" x14ac:dyDescent="0.2">
      <c r="A100" s="712" t="s">
        <v>406</v>
      </c>
      <c r="B100" s="712"/>
      <c r="C100" s="712"/>
      <c r="D100" s="41">
        <f>D98*D99</f>
        <v>1.08</v>
      </c>
      <c r="E100" s="447"/>
      <c r="F100" s="150"/>
      <c r="G100" s="150"/>
      <c r="H100" s="150"/>
    </row>
    <row r="101" spans="1:8" ht="3.6" customHeight="1" x14ac:dyDescent="0.2">
      <c r="A101" s="265"/>
      <c r="B101" s="265"/>
      <c r="C101" s="265"/>
      <c r="D101" s="62"/>
      <c r="E101" s="447"/>
      <c r="F101" s="150"/>
      <c r="G101" s="150"/>
      <c r="H101" s="150"/>
    </row>
    <row r="102" spans="1:8" ht="15" customHeight="1" x14ac:dyDescent="0.2">
      <c r="C102" s="69" t="s">
        <v>188</v>
      </c>
      <c r="D102" s="280"/>
      <c r="E102" s="715"/>
      <c r="F102" s="715"/>
    </row>
    <row r="103" spans="1:8" ht="15.6" customHeight="1" x14ac:dyDescent="0.2">
      <c r="A103" s="712" t="s">
        <v>192</v>
      </c>
      <c r="B103" s="712"/>
      <c r="C103" s="712"/>
      <c r="D103" s="720" t="s">
        <v>189</v>
      </c>
      <c r="E103" s="720"/>
      <c r="F103" s="720"/>
    </row>
    <row r="104" spans="1:8" ht="15" customHeight="1" x14ac:dyDescent="0.2">
      <c r="A104" s="166"/>
      <c r="B104" s="69" t="s">
        <v>191</v>
      </c>
      <c r="C104" s="714" t="s">
        <v>190</v>
      </c>
      <c r="D104" s="714"/>
      <c r="E104" s="714"/>
      <c r="F104" s="714"/>
      <c r="G104" s="714"/>
      <c r="H104" s="714"/>
    </row>
    <row r="105" spans="1:8" ht="2.4500000000000002" customHeight="1" x14ac:dyDescent="0.2">
      <c r="A105" s="166"/>
    </row>
    <row r="106" spans="1:8" ht="13.9" customHeight="1" x14ac:dyDescent="0.2">
      <c r="A106" s="166"/>
      <c r="B106" s="69"/>
      <c r="C106" s="69" t="s">
        <v>278</v>
      </c>
      <c r="D106" s="41">
        <f>'CMP Input'!D39:E39</f>
        <v>1.8</v>
      </c>
      <c r="E106" s="26" t="s">
        <v>26</v>
      </c>
    </row>
    <row r="107" spans="1:8" ht="13.9" customHeight="1" x14ac:dyDescent="0.2">
      <c r="A107" s="166"/>
      <c r="C107" s="220" t="s">
        <v>187</v>
      </c>
      <c r="D107" s="42">
        <f>IF(33*(1-0.125*D106)/100&gt;0,33*(1-0.125*D106)/100,0)</f>
        <v>0.25574999999999998</v>
      </c>
    </row>
    <row r="108" spans="1:8" ht="13.9" customHeight="1" x14ac:dyDescent="0.2">
      <c r="A108" s="166"/>
      <c r="C108" s="220" t="s">
        <v>193</v>
      </c>
      <c r="D108" s="41">
        <f>1+D107</f>
        <v>1.2557499999999999</v>
      </c>
    </row>
    <row r="109" spans="1:8" ht="3" customHeight="1" x14ac:dyDescent="0.2">
      <c r="A109" s="166"/>
      <c r="C109" s="220"/>
      <c r="D109" s="62"/>
    </row>
    <row r="110" spans="1:8" ht="15" customHeight="1" x14ac:dyDescent="0.2">
      <c r="A110" s="165"/>
      <c r="B110" s="26" t="s">
        <v>213</v>
      </c>
      <c r="C110" s="150"/>
      <c r="D110" s="62"/>
    </row>
    <row r="111" spans="1:8" ht="4.9000000000000004" customHeight="1" x14ac:dyDescent="0.2">
      <c r="A111" s="166"/>
      <c r="C111" s="220"/>
      <c r="D111" s="62"/>
    </row>
    <row r="112" spans="1:8" ht="14.45" customHeight="1" x14ac:dyDescent="0.2">
      <c r="A112" s="779"/>
      <c r="B112" s="779"/>
      <c r="C112" s="779"/>
      <c r="D112" s="779"/>
      <c r="E112" s="779"/>
      <c r="F112" s="779"/>
      <c r="G112" s="779"/>
    </row>
    <row r="113" spans="1:8" ht="14.45" customHeight="1" x14ac:dyDescent="0.2">
      <c r="A113" s="779"/>
      <c r="B113" s="779"/>
      <c r="C113" s="779"/>
      <c r="D113" s="779"/>
      <c r="E113" s="779"/>
      <c r="F113" s="779"/>
      <c r="G113" s="779"/>
    </row>
    <row r="114" spans="1:8" ht="14.45" customHeight="1" x14ac:dyDescent="0.2">
      <c r="A114" s="779"/>
      <c r="B114" s="779"/>
      <c r="C114" s="779"/>
      <c r="D114" s="779"/>
      <c r="E114" s="779"/>
      <c r="F114" s="779"/>
      <c r="G114" s="779"/>
    </row>
    <row r="115" spans="1:8" ht="14.45" customHeight="1" x14ac:dyDescent="0.2">
      <c r="A115" s="779"/>
      <c r="B115" s="779"/>
      <c r="C115" s="779"/>
      <c r="D115" s="779"/>
      <c r="E115" s="779"/>
      <c r="F115" s="779"/>
      <c r="G115" s="779"/>
    </row>
    <row r="116" spans="1:8" ht="14.45" customHeight="1" x14ac:dyDescent="0.2">
      <c r="A116" s="779"/>
      <c r="B116" s="779"/>
      <c r="C116" s="779"/>
      <c r="D116" s="779"/>
      <c r="E116" s="779"/>
      <c r="F116" s="779"/>
      <c r="G116" s="779"/>
    </row>
    <row r="117" spans="1:8" ht="14.45" customHeight="1" x14ac:dyDescent="0.2">
      <c r="A117" s="779"/>
      <c r="B117" s="779"/>
      <c r="C117" s="779"/>
      <c r="D117" s="779"/>
      <c r="E117" s="779"/>
      <c r="F117" s="779"/>
      <c r="G117" s="779"/>
    </row>
    <row r="118" spans="1:8" ht="14.45" customHeight="1" x14ac:dyDescent="0.2">
      <c r="A118" s="779"/>
      <c r="B118" s="779"/>
      <c r="C118" s="779"/>
      <c r="D118" s="779"/>
      <c r="E118" s="779"/>
      <c r="F118" s="779"/>
      <c r="G118" s="779"/>
    </row>
    <row r="119" spans="1:8" ht="14.45" customHeight="1" x14ac:dyDescent="0.2">
      <c r="A119" s="779"/>
      <c r="B119" s="779"/>
      <c r="C119" s="779"/>
      <c r="D119" s="779"/>
      <c r="E119" s="779"/>
      <c r="F119" s="779"/>
      <c r="G119" s="779"/>
    </row>
    <row r="120" spans="1:8" ht="14.45" customHeight="1" x14ac:dyDescent="0.2">
      <c r="A120" s="779"/>
      <c r="B120" s="779"/>
      <c r="C120" s="779"/>
      <c r="D120" s="779"/>
      <c r="E120" s="779"/>
      <c r="F120" s="779"/>
      <c r="G120" s="779"/>
    </row>
    <row r="121" spans="1:8" ht="22.9" customHeight="1" x14ac:dyDescent="0.2">
      <c r="A121" s="779"/>
      <c r="B121" s="779"/>
      <c r="C121" s="779"/>
      <c r="D121" s="779"/>
      <c r="E121" s="779"/>
      <c r="F121" s="779"/>
      <c r="G121" s="779"/>
    </row>
    <row r="122" spans="1:8" ht="20.45" customHeight="1" x14ac:dyDescent="0.2">
      <c r="A122" s="715" t="s">
        <v>206</v>
      </c>
      <c r="B122" s="715"/>
      <c r="C122" s="715"/>
      <c r="D122" s="715"/>
      <c r="E122" s="715"/>
      <c r="F122" s="715"/>
      <c r="G122" s="715"/>
      <c r="H122" s="715"/>
    </row>
    <row r="123" spans="1:8" ht="18" customHeight="1" x14ac:dyDescent="0.2">
      <c r="A123" s="222" t="s">
        <v>198</v>
      </c>
      <c r="C123" s="220"/>
      <c r="D123" s="62"/>
    </row>
    <row r="124" spans="1:8" ht="15" customHeight="1" x14ac:dyDescent="0.2">
      <c r="A124" s="221" t="s">
        <v>217</v>
      </c>
      <c r="B124" s="41">
        <f>20/12</f>
        <v>1.6666666666666667</v>
      </c>
      <c r="C124" s="223" t="s">
        <v>26</v>
      </c>
    </row>
    <row r="125" spans="1:8" ht="15" customHeight="1" x14ac:dyDescent="0.2">
      <c r="A125" s="221" t="s">
        <v>218</v>
      </c>
      <c r="B125" s="41">
        <f>10/12</f>
        <v>0.83333333333333337</v>
      </c>
      <c r="C125" s="223" t="s">
        <v>26</v>
      </c>
    </row>
    <row r="126" spans="1:8" ht="18" customHeight="1" x14ac:dyDescent="0.2">
      <c r="A126" s="222" t="s">
        <v>199</v>
      </c>
      <c r="C126" s="220"/>
      <c r="D126" s="62"/>
    </row>
    <row r="127" spans="1:8" ht="16.149999999999999" customHeight="1" x14ac:dyDescent="0.2">
      <c r="A127" s="221" t="s">
        <v>214</v>
      </c>
      <c r="B127" s="283" t="s">
        <v>216</v>
      </c>
      <c r="C127" s="281"/>
      <c r="D127" s="713"/>
      <c r="E127" s="713"/>
    </row>
    <row r="128" spans="1:8" ht="16.149999999999999" customHeight="1" x14ac:dyDescent="0.2">
      <c r="A128" s="221" t="s">
        <v>215</v>
      </c>
      <c r="B128" s="283" t="s">
        <v>222</v>
      </c>
    </row>
    <row r="129" spans="1:14" ht="16.149999999999999" customHeight="1" x14ac:dyDescent="0.2">
      <c r="A129" s="69" t="s">
        <v>191</v>
      </c>
      <c r="B129" s="675" t="s">
        <v>210</v>
      </c>
      <c r="C129" s="675"/>
      <c r="D129" s="282"/>
      <c r="E129" s="282"/>
    </row>
    <row r="130" spans="1:14" ht="16.149999999999999" customHeight="1" x14ac:dyDescent="0.2">
      <c r="A130" s="710" t="s">
        <v>223</v>
      </c>
      <c r="B130" s="710"/>
      <c r="C130" s="711"/>
      <c r="D130" s="286">
        <f>'CMP Input'!D72</f>
        <v>1.3</v>
      </c>
      <c r="E130" s="328"/>
      <c r="F130" s="329"/>
    </row>
    <row r="131" spans="1:14" ht="16.149999999999999" customHeight="1" x14ac:dyDescent="0.2">
      <c r="A131" s="221"/>
      <c r="B131" s="675" t="s">
        <v>203</v>
      </c>
      <c r="C131" s="675"/>
      <c r="D131" s="282"/>
      <c r="E131" s="282"/>
    </row>
    <row r="132" spans="1:14" ht="45" customHeight="1" x14ac:dyDescent="0.2">
      <c r="A132" s="716"/>
      <c r="B132" s="716"/>
      <c r="C132" s="424" t="s">
        <v>0</v>
      </c>
      <c r="D132" s="149" t="s">
        <v>134</v>
      </c>
      <c r="E132" s="149" t="s">
        <v>135</v>
      </c>
      <c r="F132" s="149" t="s">
        <v>136</v>
      </c>
      <c r="G132" s="248" t="s">
        <v>414</v>
      </c>
      <c r="H132" s="248" t="s">
        <v>418</v>
      </c>
      <c r="I132" s="248" t="s">
        <v>419</v>
      </c>
      <c r="J132" s="422"/>
      <c r="K132" s="422"/>
      <c r="L132" s="422"/>
      <c r="M132" s="422"/>
      <c r="N132" s="422"/>
    </row>
    <row r="133" spans="1:14" ht="16.899999999999999" customHeight="1" x14ac:dyDescent="0.2">
      <c r="A133" s="729" t="s">
        <v>407</v>
      </c>
      <c r="B133" s="729"/>
      <c r="C133" s="423">
        <f>20/2*D100</f>
        <v>10.8</v>
      </c>
      <c r="D133" s="423">
        <f>17/2*D100</f>
        <v>9.18</v>
      </c>
      <c r="E133" s="423">
        <f>14/2*D100</f>
        <v>7.5600000000000005</v>
      </c>
      <c r="F133" s="423">
        <f>17/2*D100</f>
        <v>9.18</v>
      </c>
      <c r="G133" s="423">
        <f>17/2*D100</f>
        <v>9.18</v>
      </c>
      <c r="H133" s="423">
        <f>33.5/2*D100</f>
        <v>18.09</v>
      </c>
      <c r="I133" s="423">
        <f>31/2*D100</f>
        <v>16.740000000000002</v>
      </c>
      <c r="J133" s="422"/>
      <c r="K133" s="422"/>
      <c r="L133" s="422"/>
      <c r="M133" s="422"/>
      <c r="N133" s="422"/>
    </row>
    <row r="134" spans="1:14" ht="16.149999999999999" customHeight="1" x14ac:dyDescent="0.2">
      <c r="A134" s="729" t="s">
        <v>207</v>
      </c>
      <c r="B134" s="729"/>
      <c r="C134" s="286">
        <f>(C133/0.8)/12</f>
        <v>1.125</v>
      </c>
      <c r="D134" s="286">
        <f>(D133/0.8)/12</f>
        <v>0.95624999999999993</v>
      </c>
      <c r="E134" s="286">
        <f t="shared" ref="E134:F134" si="0">(E133/0.8)/12</f>
        <v>0.78749999999999998</v>
      </c>
      <c r="F134" s="286">
        <f t="shared" si="0"/>
        <v>0.95624999999999993</v>
      </c>
      <c r="G134" s="286">
        <f>(G133/0.8)/12</f>
        <v>0.95624999999999993</v>
      </c>
      <c r="H134" s="286">
        <f>(H133/0.8)/12</f>
        <v>1.8843749999999997</v>
      </c>
      <c r="I134" s="286">
        <f>(I133/0.8)/12</f>
        <v>1.7437500000000001</v>
      </c>
    </row>
    <row r="135" spans="1:14" ht="16.149999999999999" customHeight="1" x14ac:dyDescent="0.2">
      <c r="A135" s="729" t="s">
        <v>208</v>
      </c>
      <c r="B135" s="729"/>
      <c r="C135" s="286">
        <f>6.4*$D$108*$D$130/12</f>
        <v>0.87065333333333328</v>
      </c>
      <c r="D135" s="286">
        <f t="shared" ref="D135:I135" si="1">6.4*$D$108/12*$D$130</f>
        <v>0.87065333333333328</v>
      </c>
      <c r="E135" s="286">
        <f t="shared" si="1"/>
        <v>0.87065333333333328</v>
      </c>
      <c r="F135" s="286">
        <f t="shared" si="1"/>
        <v>0.87065333333333328</v>
      </c>
      <c r="G135" s="286">
        <f t="shared" si="1"/>
        <v>0.87065333333333328</v>
      </c>
      <c r="H135" s="286">
        <f t="shared" si="1"/>
        <v>0.87065333333333328</v>
      </c>
      <c r="I135" s="286">
        <f t="shared" si="1"/>
        <v>0.87065333333333328</v>
      </c>
    </row>
    <row r="136" spans="1:14" ht="4.1500000000000004" customHeight="1" x14ac:dyDescent="0.2">
      <c r="A136" s="221"/>
      <c r="B136" s="285"/>
      <c r="C136" s="281"/>
      <c r="D136" s="282"/>
      <c r="E136" s="282"/>
    </row>
    <row r="137" spans="1:14" ht="18" customHeight="1" x14ac:dyDescent="0.2">
      <c r="A137" s="224" t="s">
        <v>200</v>
      </c>
      <c r="D137" s="284"/>
      <c r="E137" s="284"/>
      <c r="F137" s="284"/>
      <c r="G137" s="284"/>
    </row>
    <row r="138" spans="1:14" ht="3" customHeight="1" x14ac:dyDescent="0.2">
      <c r="A138" s="224"/>
      <c r="D138" s="284"/>
      <c r="E138" s="284"/>
      <c r="F138" s="284"/>
      <c r="G138" s="284"/>
    </row>
    <row r="139" spans="1:14" ht="16.149999999999999" customHeight="1" x14ac:dyDescent="0.2">
      <c r="A139" s="284" t="s">
        <v>201</v>
      </c>
      <c r="B139" s="284"/>
      <c r="C139" s="284"/>
      <c r="D139" s="284"/>
      <c r="E139" s="284"/>
      <c r="F139" s="284"/>
      <c r="G139" s="284"/>
    </row>
    <row r="140" spans="1:14" ht="16.149999999999999" customHeight="1" x14ac:dyDescent="0.2">
      <c r="B140" s="221" t="s">
        <v>209</v>
      </c>
      <c r="C140" s="41">
        <f>IF('CMP Input'!D40&lt;2, (96+1.44*'CMP Input'!D41)/12, 20/12+E68*D106)</f>
        <v>9.7999999999999989</v>
      </c>
      <c r="D140" s="26" t="s">
        <v>26</v>
      </c>
      <c r="E140" s="284"/>
      <c r="F140" s="284"/>
      <c r="G140" s="284"/>
    </row>
    <row r="141" spans="1:14" ht="16.149999999999999" customHeight="1" x14ac:dyDescent="0.2">
      <c r="B141" s="221" t="s">
        <v>211</v>
      </c>
      <c r="C141" s="41">
        <f>10/12+E68*D106</f>
        <v>2.9033333333333333</v>
      </c>
      <c r="D141" s="26" t="s">
        <v>26</v>
      </c>
      <c r="E141" s="284"/>
      <c r="F141" s="284"/>
      <c r="G141" s="284"/>
    </row>
    <row r="142" spans="1:14" ht="18" customHeight="1" x14ac:dyDescent="0.2">
      <c r="A142" s="284" t="s">
        <v>202</v>
      </c>
      <c r="B142" s="284"/>
      <c r="C142" s="284"/>
      <c r="D142" s="284"/>
      <c r="E142" s="284"/>
      <c r="F142" s="284"/>
      <c r="G142" s="284"/>
    </row>
    <row r="143" spans="1:14" ht="33" customHeight="1" x14ac:dyDescent="0.2">
      <c r="A143" s="716"/>
      <c r="B143" s="716"/>
      <c r="C143" s="424" t="s">
        <v>0</v>
      </c>
      <c r="D143" s="149" t="s">
        <v>134</v>
      </c>
      <c r="E143" s="149" t="s">
        <v>135</v>
      </c>
      <c r="F143" s="149" t="s">
        <v>136</v>
      </c>
      <c r="G143" s="449" t="s">
        <v>414</v>
      </c>
      <c r="H143" s="248" t="s">
        <v>418</v>
      </c>
      <c r="I143" s="248" t="s">
        <v>419</v>
      </c>
    </row>
    <row r="144" spans="1:14" ht="16.149999999999999" customHeight="1" x14ac:dyDescent="0.2">
      <c r="A144" s="740" t="s">
        <v>422</v>
      </c>
      <c r="B144" s="740"/>
      <c r="C144" s="288">
        <f t="shared" ref="C144:I145" si="2">C134+$E$68*$D$106</f>
        <v>3.1949999999999998</v>
      </c>
      <c r="D144" s="288">
        <f t="shared" si="2"/>
        <v>3.0262499999999997</v>
      </c>
      <c r="E144" s="288">
        <f t="shared" si="2"/>
        <v>2.8574999999999999</v>
      </c>
      <c r="F144" s="288">
        <f t="shared" si="2"/>
        <v>3.0262499999999997</v>
      </c>
      <c r="G144" s="288">
        <f t="shared" si="2"/>
        <v>3.0262499999999997</v>
      </c>
      <c r="H144" s="288">
        <f t="shared" si="2"/>
        <v>3.9543749999999998</v>
      </c>
      <c r="I144" s="288">
        <f t="shared" si="2"/>
        <v>3.8137499999999998</v>
      </c>
    </row>
    <row r="145" spans="1:11" ht="16.149999999999999" customHeight="1" x14ac:dyDescent="0.2">
      <c r="A145" s="740" t="s">
        <v>423</v>
      </c>
      <c r="B145" s="740"/>
      <c r="C145" s="288">
        <f t="shared" si="2"/>
        <v>2.9406533333333331</v>
      </c>
      <c r="D145" s="288">
        <f t="shared" si="2"/>
        <v>2.9406533333333331</v>
      </c>
      <c r="E145" s="288">
        <f t="shared" si="2"/>
        <v>2.9406533333333331</v>
      </c>
      <c r="F145" s="288">
        <f t="shared" si="2"/>
        <v>2.9406533333333331</v>
      </c>
      <c r="G145" s="288">
        <f t="shared" si="2"/>
        <v>2.9406533333333331</v>
      </c>
      <c r="H145" s="288">
        <f t="shared" si="2"/>
        <v>2.9406533333333331</v>
      </c>
      <c r="I145" s="288">
        <f t="shared" si="2"/>
        <v>2.9406533333333331</v>
      </c>
    </row>
    <row r="146" spans="1:11" ht="7.9" customHeight="1" x14ac:dyDescent="0.2">
      <c r="C146" s="71"/>
      <c r="D146" s="71"/>
      <c r="E146" s="71"/>
      <c r="F146" s="71"/>
      <c r="G146" s="71"/>
    </row>
    <row r="147" spans="1:11" ht="16.899999999999999" customHeight="1" x14ac:dyDescent="0.2">
      <c r="A147" s="221"/>
      <c r="B147" s="62"/>
      <c r="C147" s="69" t="s">
        <v>175</v>
      </c>
      <c r="D147" s="292">
        <f>D106</f>
        <v>1.8</v>
      </c>
      <c r="E147" s="347"/>
    </row>
    <row r="148" spans="1:11" ht="15" customHeight="1" x14ac:dyDescent="0.2">
      <c r="A148" s="221"/>
      <c r="B148" s="62"/>
      <c r="C148" s="69" t="s">
        <v>140</v>
      </c>
      <c r="D148" s="141">
        <f>'CMP Input'!D43</f>
        <v>24.7</v>
      </c>
      <c r="E148" s="26" t="s">
        <v>139</v>
      </c>
    </row>
    <row r="149" spans="1:11" ht="17.45" customHeight="1" thickBot="1" x14ac:dyDescent="0.25">
      <c r="A149" s="221"/>
      <c r="B149" s="62"/>
      <c r="C149" s="717" t="s">
        <v>169</v>
      </c>
      <c r="D149" s="718"/>
      <c r="E149" s="718"/>
      <c r="F149" s="718"/>
      <c r="G149" s="718"/>
      <c r="H149" s="718"/>
      <c r="I149" s="718"/>
      <c r="J149" s="718"/>
      <c r="K149" s="719"/>
    </row>
    <row r="150" spans="1:11" ht="48" customHeight="1" thickTop="1" x14ac:dyDescent="0.2">
      <c r="A150" s="799"/>
      <c r="B150" s="800"/>
      <c r="C150" s="231" t="s">
        <v>300</v>
      </c>
      <c r="D150" s="231" t="s">
        <v>299</v>
      </c>
      <c r="E150" s="231" t="s">
        <v>0</v>
      </c>
      <c r="F150" s="426" t="s">
        <v>134</v>
      </c>
      <c r="G150" s="426" t="s">
        <v>135</v>
      </c>
      <c r="H150" s="428" t="s">
        <v>136</v>
      </c>
      <c r="I150" s="471" t="s">
        <v>414</v>
      </c>
      <c r="J150" s="471" t="s">
        <v>418</v>
      </c>
      <c r="K150" s="425" t="s">
        <v>418</v>
      </c>
    </row>
    <row r="151" spans="1:11" ht="19.899999999999999" customHeight="1" x14ac:dyDescent="0.2">
      <c r="A151" s="727" t="s">
        <v>424</v>
      </c>
      <c r="B151" s="728"/>
      <c r="C151" s="41">
        <v>32</v>
      </c>
      <c r="D151" s="41">
        <v>25</v>
      </c>
      <c r="E151" s="361">
        <v>20</v>
      </c>
      <c r="F151" s="361">
        <v>17</v>
      </c>
      <c r="G151" s="361">
        <v>14</v>
      </c>
      <c r="H151" s="429">
        <v>17</v>
      </c>
      <c r="I151" s="429">
        <v>17</v>
      </c>
      <c r="J151" s="361">
        <v>33.5</v>
      </c>
      <c r="K151" s="362">
        <v>31</v>
      </c>
    </row>
    <row r="152" spans="1:11" ht="19.899999999999999" customHeight="1" x14ac:dyDescent="0.2">
      <c r="A152" s="723" t="s">
        <v>408</v>
      </c>
      <c r="B152" s="724"/>
      <c r="C152" s="41">
        <f t="shared" ref="C152:I152" si="3">C151/2*$D$108*$D$100</f>
        <v>21.699359999999999</v>
      </c>
      <c r="D152" s="41">
        <f t="shared" si="3"/>
        <v>16.952625000000001</v>
      </c>
      <c r="E152" s="41">
        <f t="shared" si="3"/>
        <v>13.562100000000001</v>
      </c>
      <c r="F152" s="41">
        <f t="shared" si="3"/>
        <v>11.527785</v>
      </c>
      <c r="G152" s="41">
        <f t="shared" si="3"/>
        <v>9.4934700000000003</v>
      </c>
      <c r="H152" s="430">
        <f t="shared" si="3"/>
        <v>11.527785</v>
      </c>
      <c r="I152" s="430">
        <f t="shared" si="3"/>
        <v>11.527785</v>
      </c>
      <c r="J152" s="41">
        <f t="shared" ref="J152:K152" si="4">J151/2*$D$108*$D$100</f>
        <v>22.716517500000002</v>
      </c>
      <c r="K152" s="232">
        <f t="shared" si="4"/>
        <v>21.021255</v>
      </c>
    </row>
    <row r="153" spans="1:11" ht="19.899999999999999" customHeight="1" x14ac:dyDescent="0.2">
      <c r="A153" s="725" t="s">
        <v>304</v>
      </c>
      <c r="B153" s="726"/>
      <c r="C153" s="41">
        <v>0</v>
      </c>
      <c r="D153" s="41">
        <v>4</v>
      </c>
      <c r="E153" s="41">
        <v>0</v>
      </c>
      <c r="F153" s="41">
        <v>4</v>
      </c>
      <c r="G153" s="41">
        <v>4</v>
      </c>
      <c r="H153" s="430">
        <v>4</v>
      </c>
      <c r="I153" s="430">
        <v>4</v>
      </c>
      <c r="J153" s="41">
        <v>0</v>
      </c>
      <c r="K153" s="232">
        <v>4</v>
      </c>
    </row>
    <row r="154" spans="1:11" ht="19.899999999999999" customHeight="1" x14ac:dyDescent="0.2">
      <c r="A154" s="721" t="s">
        <v>302</v>
      </c>
      <c r="B154" s="722"/>
      <c r="C154" s="41">
        <v>0</v>
      </c>
      <c r="D154" s="41">
        <v>25</v>
      </c>
      <c r="E154" s="361">
        <v>0</v>
      </c>
      <c r="F154" s="361">
        <v>17</v>
      </c>
      <c r="G154" s="361">
        <v>14</v>
      </c>
      <c r="H154" s="429">
        <v>17</v>
      </c>
      <c r="I154" s="429">
        <v>17</v>
      </c>
      <c r="J154" s="361">
        <v>0</v>
      </c>
      <c r="K154" s="362">
        <v>31</v>
      </c>
    </row>
    <row r="155" spans="1:11" ht="19.899999999999999" customHeight="1" x14ac:dyDescent="0.2">
      <c r="A155" s="723" t="s">
        <v>409</v>
      </c>
      <c r="B155" s="724"/>
      <c r="C155" s="41">
        <f t="shared" ref="C155:I155" si="5">C154/2*$D$108*$D$100</f>
        <v>0</v>
      </c>
      <c r="D155" s="41">
        <f t="shared" si="5"/>
        <v>16.952625000000001</v>
      </c>
      <c r="E155" s="41">
        <f t="shared" si="5"/>
        <v>0</v>
      </c>
      <c r="F155" s="41">
        <f t="shared" si="5"/>
        <v>11.527785</v>
      </c>
      <c r="G155" s="41">
        <f t="shared" si="5"/>
        <v>9.4934700000000003</v>
      </c>
      <c r="H155" s="430">
        <f t="shared" si="5"/>
        <v>11.527785</v>
      </c>
      <c r="I155" s="430">
        <f t="shared" si="5"/>
        <v>11.527785</v>
      </c>
      <c r="J155" s="41">
        <f t="shared" ref="J155:K155" si="6">J154/2*$D$108*$D$100</f>
        <v>0</v>
      </c>
      <c r="K155" s="232">
        <f t="shared" si="6"/>
        <v>21.021255</v>
      </c>
    </row>
    <row r="156" spans="1:11" ht="19.899999999999999" customHeight="1" x14ac:dyDescent="0.2">
      <c r="A156" s="725" t="s">
        <v>305</v>
      </c>
      <c r="B156" s="726"/>
      <c r="C156" s="41">
        <v>0</v>
      </c>
      <c r="D156" s="41">
        <v>0</v>
      </c>
      <c r="E156" s="41">
        <v>0</v>
      </c>
      <c r="F156" s="41">
        <v>0</v>
      </c>
      <c r="G156" s="41">
        <v>4</v>
      </c>
      <c r="H156" s="430">
        <v>0</v>
      </c>
      <c r="I156" s="430">
        <v>4</v>
      </c>
      <c r="J156" s="41">
        <v>0</v>
      </c>
      <c r="K156" s="232">
        <v>0</v>
      </c>
    </row>
    <row r="157" spans="1:11" ht="19.899999999999999" customHeight="1" x14ac:dyDescent="0.2">
      <c r="A157" s="721" t="s">
        <v>303</v>
      </c>
      <c r="B157" s="722"/>
      <c r="C157" s="41">
        <v>0</v>
      </c>
      <c r="D157" s="41">
        <v>0</v>
      </c>
      <c r="E157" s="361">
        <v>0</v>
      </c>
      <c r="F157" s="361">
        <v>0</v>
      </c>
      <c r="G157" s="361">
        <v>14</v>
      </c>
      <c r="H157" s="429">
        <v>0</v>
      </c>
      <c r="I157" s="429">
        <v>8</v>
      </c>
      <c r="J157" s="361">
        <v>0</v>
      </c>
      <c r="K157" s="362">
        <v>0</v>
      </c>
    </row>
    <row r="158" spans="1:11" ht="19.899999999999999" customHeight="1" x14ac:dyDescent="0.2">
      <c r="A158" s="723" t="s">
        <v>410</v>
      </c>
      <c r="B158" s="724"/>
      <c r="C158" s="41">
        <f t="shared" ref="C158:I158" si="7">C157/2*$D$108*$D$100</f>
        <v>0</v>
      </c>
      <c r="D158" s="41">
        <f t="shared" si="7"/>
        <v>0</v>
      </c>
      <c r="E158" s="41">
        <f t="shared" si="7"/>
        <v>0</v>
      </c>
      <c r="F158" s="41">
        <f t="shared" si="7"/>
        <v>0</v>
      </c>
      <c r="G158" s="41">
        <f t="shared" si="7"/>
        <v>9.4934700000000003</v>
      </c>
      <c r="H158" s="430">
        <f t="shared" si="7"/>
        <v>0</v>
      </c>
      <c r="I158" s="430">
        <f t="shared" si="7"/>
        <v>5.4248399999999997</v>
      </c>
      <c r="J158" s="41">
        <f t="shared" ref="J158:K158" si="8">J157/2*$D$108*$D$100</f>
        <v>0</v>
      </c>
      <c r="K158" s="232">
        <f t="shared" si="8"/>
        <v>0</v>
      </c>
    </row>
    <row r="159" spans="1:11" ht="19.899999999999999" customHeight="1" x14ac:dyDescent="0.2">
      <c r="A159" s="723" t="s">
        <v>137</v>
      </c>
      <c r="B159" s="724"/>
      <c r="C159" s="41">
        <v>6</v>
      </c>
      <c r="D159" s="41">
        <v>6</v>
      </c>
      <c r="E159" s="41">
        <v>6</v>
      </c>
      <c r="F159" s="41">
        <v>6</v>
      </c>
      <c r="G159" s="41">
        <v>6</v>
      </c>
      <c r="H159" s="430">
        <v>6</v>
      </c>
      <c r="I159" s="430">
        <v>6</v>
      </c>
      <c r="J159" s="41">
        <v>6</v>
      </c>
      <c r="K159" s="232">
        <v>6</v>
      </c>
    </row>
    <row r="160" spans="1:11" ht="19.899999999999999" customHeight="1" x14ac:dyDescent="0.2">
      <c r="A160" s="727" t="s">
        <v>141</v>
      </c>
      <c r="B160" s="728"/>
      <c r="C160" s="41">
        <f>C140</f>
        <v>9.7999999999999989</v>
      </c>
      <c r="D160" s="41">
        <f>C140</f>
        <v>9.7999999999999989</v>
      </c>
      <c r="E160" s="41">
        <f t="shared" ref="E160:K160" si="9">C144</f>
        <v>3.1949999999999998</v>
      </c>
      <c r="F160" s="41">
        <f t="shared" si="9"/>
        <v>3.0262499999999997</v>
      </c>
      <c r="G160" s="41">
        <f t="shared" si="9"/>
        <v>2.8574999999999999</v>
      </c>
      <c r="H160" s="430">
        <f t="shared" si="9"/>
        <v>3.0262499999999997</v>
      </c>
      <c r="I160" s="430">
        <f t="shared" si="9"/>
        <v>3.0262499999999997</v>
      </c>
      <c r="J160" s="41">
        <f t="shared" si="9"/>
        <v>3.9543749999999998</v>
      </c>
      <c r="K160" s="232">
        <f t="shared" si="9"/>
        <v>3.8137499999999998</v>
      </c>
    </row>
    <row r="161" spans="1:11" ht="19.899999999999999" customHeight="1" x14ac:dyDescent="0.2">
      <c r="A161" s="727" t="s">
        <v>138</v>
      </c>
      <c r="B161" s="728"/>
      <c r="C161" s="41">
        <f>IF(C160&gt;C159, MIN(C160+C159,$D$148), MIN(C160,$D$148) )</f>
        <v>15.799999999999999</v>
      </c>
      <c r="D161" s="41">
        <f>IF(D160&gt;D159, MIN(D160+D159,$D$148), MIN(D160,$D$148) )</f>
        <v>15.799999999999999</v>
      </c>
      <c r="E161" s="41">
        <f>IF(E160&gt;E159, MIN(E160+E159, $D$148), MIN(E160,$D$148))</f>
        <v>3.1949999999999998</v>
      </c>
      <c r="F161" s="41">
        <f>IF(F160&gt;F159, MIN(F160+F159, $D$148), MIN(F160,$D$148))</f>
        <v>3.0262499999999997</v>
      </c>
      <c r="G161" s="41">
        <f>IF(G160&gt;G159, MIN(G160+G159, D148), MIN(G160,D148))</f>
        <v>2.8574999999999999</v>
      </c>
      <c r="H161" s="430">
        <f>IF(H160&gt;H159, MIN(H160+H159, D148), MIN(H160,D148))</f>
        <v>3.0262499999999997</v>
      </c>
      <c r="I161" s="430">
        <f>IF(I160&gt;I159, MIN(I160+I159, F148), MIN(I160,F148))</f>
        <v>3.0262499999999997</v>
      </c>
      <c r="J161" s="41">
        <f>IF(J160&gt;J159, MIN(J160+J159, G148), MIN(J160,G148))</f>
        <v>3.9543749999999998</v>
      </c>
      <c r="K161" s="232">
        <f>IF(K160&gt;K159, MIN(K160+K159, H148), MIN(K160,H148))</f>
        <v>3.8137499999999998</v>
      </c>
    </row>
    <row r="162" spans="1:11" ht="19.899999999999999" customHeight="1" x14ac:dyDescent="0.2">
      <c r="A162" s="727" t="s">
        <v>143</v>
      </c>
      <c r="B162" s="728"/>
      <c r="C162" s="41">
        <f>C141</f>
        <v>2.9033333333333333</v>
      </c>
      <c r="D162" s="41">
        <f>C141</f>
        <v>2.9033333333333333</v>
      </c>
      <c r="E162" s="41">
        <f t="shared" ref="E162:K162" si="10">C145</f>
        <v>2.9406533333333331</v>
      </c>
      <c r="F162" s="41">
        <f t="shared" si="10"/>
        <v>2.9406533333333331</v>
      </c>
      <c r="G162" s="41">
        <f t="shared" si="10"/>
        <v>2.9406533333333331</v>
      </c>
      <c r="H162" s="430">
        <f t="shared" si="10"/>
        <v>2.9406533333333331</v>
      </c>
      <c r="I162" s="430">
        <f t="shared" si="10"/>
        <v>2.9406533333333331</v>
      </c>
      <c r="J162" s="41">
        <f t="shared" si="10"/>
        <v>2.9406533333333331</v>
      </c>
      <c r="K162" s="232">
        <f t="shared" si="10"/>
        <v>2.9406533333333331</v>
      </c>
    </row>
    <row r="163" spans="1:11" ht="19.899999999999999" customHeight="1" x14ac:dyDescent="0.2">
      <c r="A163" s="727" t="s">
        <v>142</v>
      </c>
      <c r="B163" s="728"/>
      <c r="C163" s="41">
        <f t="shared" ref="C163:H163" si="11">IF(C162&gt;C153, C162+C153+C156, C162)</f>
        <v>2.9033333333333333</v>
      </c>
      <c r="D163" s="41">
        <f t="shared" si="11"/>
        <v>2.9033333333333333</v>
      </c>
      <c r="E163" s="41">
        <f t="shared" si="11"/>
        <v>2.9406533333333331</v>
      </c>
      <c r="F163" s="41">
        <f t="shared" si="11"/>
        <v>2.9406533333333331</v>
      </c>
      <c r="G163" s="41">
        <f t="shared" si="11"/>
        <v>2.9406533333333331</v>
      </c>
      <c r="H163" s="430">
        <f t="shared" si="11"/>
        <v>2.9406533333333331</v>
      </c>
      <c r="I163" s="430">
        <f>IF(I162&gt;I153, I162+I153+I156, I162)</f>
        <v>2.9406533333333331</v>
      </c>
      <c r="J163" s="41">
        <f>IF(J162&gt;J153, J162+J153+J156, J162)</f>
        <v>2.9406533333333331</v>
      </c>
      <c r="K163" s="232">
        <f>IF(K162&gt;K153, K162+K153+K156, K162)</f>
        <v>2.9406533333333331</v>
      </c>
    </row>
    <row r="164" spans="1:11" ht="19.899999999999999" customHeight="1" x14ac:dyDescent="0.2">
      <c r="A164" s="727" t="s">
        <v>312</v>
      </c>
      <c r="B164" s="728"/>
      <c r="C164" s="41">
        <f t="shared" ref="C164:I164" si="12">C161*C163</f>
        <v>45.87266666666666</v>
      </c>
      <c r="D164" s="41">
        <f t="shared" si="12"/>
        <v>45.87266666666666</v>
      </c>
      <c r="E164" s="41">
        <f t="shared" si="12"/>
        <v>9.3953873999999988</v>
      </c>
      <c r="F164" s="41">
        <f t="shared" si="12"/>
        <v>8.899152149999999</v>
      </c>
      <c r="G164" s="41">
        <f t="shared" si="12"/>
        <v>8.4029168999999992</v>
      </c>
      <c r="H164" s="430">
        <f t="shared" si="12"/>
        <v>8.899152149999999</v>
      </c>
      <c r="I164" s="430">
        <f t="shared" si="12"/>
        <v>8.899152149999999</v>
      </c>
      <c r="J164" s="41">
        <f>J161*J163</f>
        <v>11.628446024999999</v>
      </c>
      <c r="K164" s="232">
        <f>K161*K163</f>
        <v>11.214916649999999</v>
      </c>
    </row>
    <row r="165" spans="1:11" ht="19.899999999999999" customHeight="1" x14ac:dyDescent="0.2">
      <c r="A165" s="727" t="s">
        <v>306</v>
      </c>
      <c r="B165" s="728"/>
      <c r="C165" s="41">
        <f>IF(AND(C161&gt;C160,C163&gt;C162),C152*2+C155*2+C158*2,IF(AND(C161&gt;C160,C163=C162),2*C152,IF(AND(C161=C160,C163&gt;C162),C152+C155+C158,C152)))</f>
        <v>43.398719999999997</v>
      </c>
      <c r="D165" s="41">
        <f t="shared" ref="D165:I165" si="13">IF(AND(D161&gt;D160,D163&gt;D162),D152*2+D155*2+D158*2,IF(AND(D161&gt;D160,D163=D162),2*D152,IF(AND(D161=D160,D163&gt;D162),D152+D155+D158,D152)))</f>
        <v>33.905250000000002</v>
      </c>
      <c r="E165" s="41">
        <f t="shared" si="13"/>
        <v>13.562100000000001</v>
      </c>
      <c r="F165" s="41">
        <f t="shared" si="13"/>
        <v>11.527785</v>
      </c>
      <c r="G165" s="41">
        <f t="shared" si="13"/>
        <v>9.4934700000000003</v>
      </c>
      <c r="H165" s="430">
        <f t="shared" si="13"/>
        <v>11.527785</v>
      </c>
      <c r="I165" s="430">
        <f t="shared" si="13"/>
        <v>11.527785</v>
      </c>
      <c r="J165" s="41">
        <f t="shared" ref="J165" si="14">IF(AND(J161&gt;J160,J163&gt;J162),J152*2+J155*2+J158*2,IF(AND(J161&gt;J160,J163=J162),2*J152,IF(AND(J161=J160,J163&gt;J162),J152+J155+J158,J152)))</f>
        <v>22.716517500000002</v>
      </c>
      <c r="K165" s="232">
        <f>IF(AND(K161&gt;K160,K163&gt;K162),K152*2+K155*2+K158*2,IF(AND(K161&gt;K160,K163=K162),2*K152,IF(AND(K161=K160,K163&gt;K162),K152+K155+K158,K152)))</f>
        <v>21.021255</v>
      </c>
    </row>
    <row r="166" spans="1:11" ht="19.899999999999999" customHeight="1" x14ac:dyDescent="0.2">
      <c r="A166" s="727" t="s">
        <v>195</v>
      </c>
      <c r="B166" s="728"/>
      <c r="C166" s="41">
        <f t="shared" ref="C166:I166" si="15">C165/C164</f>
        <v>0.94606926419509085</v>
      </c>
      <c r="D166" s="41">
        <f t="shared" si="15"/>
        <v>0.7391166126524148</v>
      </c>
      <c r="E166" s="41">
        <f t="shared" si="15"/>
        <v>1.4434849168646311</v>
      </c>
      <c r="F166" s="41">
        <f t="shared" si="15"/>
        <v>1.2953801447253603</v>
      </c>
      <c r="G166" s="41">
        <f t="shared" si="15"/>
        <v>1.1297826829633411</v>
      </c>
      <c r="H166" s="430">
        <f t="shared" si="15"/>
        <v>1.2953801447253603</v>
      </c>
      <c r="I166" s="430">
        <f t="shared" si="15"/>
        <v>1.2953801447253603</v>
      </c>
      <c r="J166" s="41">
        <f t="shared" ref="J166" si="16">J165/J164</f>
        <v>1.9535299429658748</v>
      </c>
      <c r="K166" s="232">
        <f>K165/K164</f>
        <v>1.874401358123335</v>
      </c>
    </row>
    <row r="167" spans="1:11" ht="19.899999999999999" customHeight="1" thickBot="1" x14ac:dyDescent="0.25">
      <c r="A167" s="780" t="s">
        <v>261</v>
      </c>
      <c r="B167" s="781"/>
      <c r="C167" s="233">
        <f t="shared" ref="C167:I167" si="17">MAX(C166*$D$31/2, C166*$D$32)</f>
        <v>8.9876580098533623</v>
      </c>
      <c r="D167" s="233">
        <f t="shared" si="17"/>
        <v>7.0216078201979402</v>
      </c>
      <c r="E167" s="233">
        <f t="shared" si="17"/>
        <v>13.713106710213996</v>
      </c>
      <c r="F167" s="233">
        <f t="shared" si="17"/>
        <v>12.306111374890923</v>
      </c>
      <c r="G167" s="233">
        <f t="shared" si="17"/>
        <v>10.732935488151741</v>
      </c>
      <c r="H167" s="289">
        <f t="shared" si="17"/>
        <v>12.306111374890923</v>
      </c>
      <c r="I167" s="289">
        <f t="shared" si="17"/>
        <v>12.306111374890923</v>
      </c>
      <c r="J167" s="233">
        <f t="shared" ref="J167:K167" si="18">MAX(J166*$D$31/2, J166*$D$32)</f>
        <v>18.55853445817581</v>
      </c>
      <c r="K167" s="234">
        <f t="shared" si="18"/>
        <v>17.806812902171682</v>
      </c>
    </row>
    <row r="168" spans="1:11" ht="18" customHeight="1" thickTop="1" x14ac:dyDescent="0.2">
      <c r="A168" s="674" t="s">
        <v>411</v>
      </c>
      <c r="B168" s="675"/>
      <c r="C168" s="709"/>
      <c r="D168" s="709"/>
      <c r="E168" s="709"/>
      <c r="F168" s="709"/>
      <c r="G168" s="709"/>
      <c r="H168" s="709"/>
      <c r="I168" s="467"/>
      <c r="J168" s="472"/>
      <c r="K168" s="468"/>
    </row>
    <row r="169" spans="1:11" ht="18" customHeight="1" x14ac:dyDescent="0.2">
      <c r="A169" s="672" t="s">
        <v>313</v>
      </c>
      <c r="B169" s="673"/>
      <c r="C169" s="673"/>
      <c r="D169" s="673"/>
      <c r="E169" s="673"/>
      <c r="F169" s="673"/>
      <c r="G169" s="673"/>
      <c r="K169" s="427"/>
    </row>
    <row r="170" spans="1:11" ht="18" customHeight="1" x14ac:dyDescent="0.2">
      <c r="A170" s="672" t="s">
        <v>314</v>
      </c>
      <c r="B170" s="673"/>
      <c r="C170" s="673"/>
      <c r="D170" s="673"/>
      <c r="E170" s="673"/>
      <c r="F170" s="673"/>
      <c r="G170" s="673"/>
      <c r="K170" s="427"/>
    </row>
    <row r="171" spans="1:11" ht="18" customHeight="1" x14ac:dyDescent="0.2">
      <c r="A171" s="672" t="s">
        <v>315</v>
      </c>
      <c r="B171" s="673"/>
      <c r="C171" s="673"/>
      <c r="D171" s="673"/>
      <c r="E171" s="673"/>
      <c r="F171" s="673"/>
      <c r="G171" s="673"/>
      <c r="K171" s="427"/>
    </row>
    <row r="172" spans="1:11" ht="18" customHeight="1" x14ac:dyDescent="0.2">
      <c r="A172" s="672" t="s">
        <v>316</v>
      </c>
      <c r="B172" s="673"/>
      <c r="C172" s="673"/>
      <c r="D172" s="673"/>
      <c r="E172" s="673"/>
      <c r="F172" s="673"/>
      <c r="G172" s="673"/>
      <c r="K172" s="427"/>
    </row>
    <row r="173" spans="1:11" ht="18" customHeight="1" x14ac:dyDescent="0.2">
      <c r="A173" s="674" t="s">
        <v>311</v>
      </c>
      <c r="B173" s="675"/>
      <c r="C173" s="675"/>
      <c r="D173" s="675"/>
      <c r="E173" s="675"/>
      <c r="F173" s="675"/>
      <c r="G173" s="675"/>
      <c r="K173" s="427"/>
    </row>
    <row r="174" spans="1:11" ht="18" customHeight="1" x14ac:dyDescent="0.2">
      <c r="A174" s="696" t="s">
        <v>307</v>
      </c>
      <c r="B174" s="697"/>
      <c r="C174" s="697"/>
      <c r="D174" s="697"/>
      <c r="E174" s="697"/>
      <c r="F174" s="697"/>
      <c r="G174" s="697"/>
      <c r="K174" s="427"/>
    </row>
    <row r="175" spans="1:11" ht="18" customHeight="1" x14ac:dyDescent="0.2">
      <c r="A175" s="696" t="s">
        <v>308</v>
      </c>
      <c r="B175" s="697"/>
      <c r="C175" s="697"/>
      <c r="D175" s="697"/>
      <c r="E175" s="697"/>
      <c r="F175" s="697"/>
      <c r="G175" s="697"/>
      <c r="K175" s="427"/>
    </row>
    <row r="176" spans="1:11" ht="67.900000000000006" customHeight="1" thickBot="1" x14ac:dyDescent="0.25">
      <c r="A176" s="786" t="s">
        <v>425</v>
      </c>
      <c r="B176" s="787"/>
      <c r="C176" s="787"/>
      <c r="D176" s="787"/>
      <c r="E176" s="787"/>
      <c r="F176" s="787"/>
      <c r="G176" s="787"/>
      <c r="H176" s="787"/>
      <c r="I176" s="787"/>
      <c r="J176" s="787"/>
      <c r="K176" s="788"/>
    </row>
    <row r="177" spans="1:8" ht="4.1500000000000004" customHeight="1" thickTop="1" x14ac:dyDescent="0.2">
      <c r="A177" s="377"/>
      <c r="B177" s="377"/>
      <c r="C177" s="377"/>
      <c r="D177" s="377"/>
      <c r="E177" s="377"/>
      <c r="F177" s="377"/>
      <c r="G177" s="377"/>
    </row>
    <row r="178" spans="1:8" ht="20.45" customHeight="1" x14ac:dyDescent="0.2">
      <c r="A178" s="698" t="s">
        <v>332</v>
      </c>
      <c r="B178" s="698"/>
      <c r="C178" s="698"/>
      <c r="D178" s="698"/>
      <c r="E178" s="698"/>
      <c r="F178" s="259"/>
      <c r="G178" s="259"/>
      <c r="H178" s="61"/>
    </row>
    <row r="179" spans="1:8" ht="19.899999999999999" customHeight="1" x14ac:dyDescent="0.2">
      <c r="A179" s="699" t="s">
        <v>333</v>
      </c>
      <c r="B179" s="699"/>
      <c r="C179" s="699"/>
      <c r="D179" s="699"/>
      <c r="E179" s="699"/>
      <c r="F179" s="699"/>
      <c r="G179" s="259"/>
      <c r="H179" s="61"/>
    </row>
    <row r="180" spans="1:8" ht="22.15" customHeight="1" x14ac:dyDescent="0.2">
      <c r="A180" s="782" t="s">
        <v>334</v>
      </c>
      <c r="B180" s="782"/>
      <c r="C180" s="782"/>
      <c r="D180" s="782"/>
      <c r="E180" s="782"/>
      <c r="F180" s="782"/>
      <c r="G180" s="782"/>
      <c r="H180" s="782"/>
    </row>
    <row r="181" spans="1:8" ht="22.9" customHeight="1" x14ac:dyDescent="0.2">
      <c r="A181" s="378" t="s">
        <v>204</v>
      </c>
      <c r="B181" s="379"/>
      <c r="C181" s="380">
        <f>'CMP Input'!D76</f>
        <v>20.6</v>
      </c>
      <c r="D181" s="379"/>
      <c r="E181" s="379"/>
      <c r="F181" s="379"/>
      <c r="G181" s="379"/>
      <c r="H181" s="61"/>
    </row>
    <row r="182" spans="1:8" ht="21" customHeight="1" x14ac:dyDescent="0.2">
      <c r="C182" s="288">
        <f>C181*C183*C184/(C185*12)^3</f>
        <v>1.4973105761316871E-2</v>
      </c>
      <c r="D182" s="150" t="s">
        <v>31</v>
      </c>
      <c r="E182" s="262"/>
      <c r="F182" s="259"/>
      <c r="G182" s="259"/>
      <c r="H182" s="61"/>
    </row>
    <row r="183" spans="1:8" ht="18" customHeight="1" x14ac:dyDescent="0.2">
      <c r="A183" s="69"/>
      <c r="B183" s="69" t="s">
        <v>335</v>
      </c>
      <c r="C183" s="70">
        <f>E42</f>
        <v>29000</v>
      </c>
      <c r="D183" s="150" t="s">
        <v>31</v>
      </c>
      <c r="E183" s="262"/>
      <c r="F183" s="259"/>
      <c r="G183" s="259"/>
      <c r="H183" s="61"/>
    </row>
    <row r="184" spans="1:8" ht="18" customHeight="1" x14ac:dyDescent="0.2">
      <c r="B184" s="69" t="s">
        <v>336</v>
      </c>
      <c r="C184" s="417">
        <f>B55/1000</f>
        <v>0.146172</v>
      </c>
      <c r="D184" s="150" t="s">
        <v>337</v>
      </c>
      <c r="E184" s="262"/>
      <c r="F184" s="259"/>
      <c r="G184" s="259"/>
      <c r="H184" s="61"/>
    </row>
    <row r="185" spans="1:8" ht="18" customHeight="1" x14ac:dyDescent="0.2">
      <c r="B185" s="69" t="s">
        <v>338</v>
      </c>
      <c r="C185" s="62">
        <f>D31</f>
        <v>15</v>
      </c>
      <c r="D185" s="150" t="s">
        <v>26</v>
      </c>
      <c r="E185" s="262"/>
      <c r="F185" s="259"/>
      <c r="G185" s="259"/>
    </row>
    <row r="186" spans="1:8" ht="20.45" customHeight="1" x14ac:dyDescent="0.2">
      <c r="A186" s="381"/>
      <c r="B186" s="383" t="s">
        <v>339</v>
      </c>
      <c r="C186" s="410">
        <f>C182</f>
        <v>1.4973105761316871E-2</v>
      </c>
      <c r="D186" s="150" t="s">
        <v>31</v>
      </c>
      <c r="E186" s="262"/>
      <c r="F186" s="259"/>
      <c r="G186" s="259"/>
    </row>
    <row r="187" spans="1:8" ht="4.1500000000000004" customHeight="1" x14ac:dyDescent="0.2">
      <c r="A187" s="381"/>
      <c r="B187" s="382"/>
      <c r="C187" s="384"/>
      <c r="D187" s="150"/>
      <c r="E187" s="262"/>
      <c r="F187" s="259"/>
      <c r="G187" s="259"/>
    </row>
    <row r="188" spans="1:8" ht="21" customHeight="1" x14ac:dyDescent="0.2">
      <c r="A188" s="699" t="s">
        <v>340</v>
      </c>
      <c r="B188" s="699"/>
      <c r="C188" s="699"/>
      <c r="D188" s="699"/>
      <c r="E188" s="699"/>
      <c r="F188" s="699"/>
      <c r="G188" s="259"/>
    </row>
    <row r="189" spans="1:8" ht="20.45" customHeight="1" x14ac:dyDescent="0.2">
      <c r="A189" s="381"/>
      <c r="B189" s="382"/>
      <c r="C189" s="410">
        <f>('CMP Input'!D69*'CMP Input'!D39*'CMP Input'!D63+'CMP Input'!D70*MAX('CMP LRFR output'!C166,'CMP LRFR output'!D166))/144</f>
        <v>1.4422369530148672E-2</v>
      </c>
      <c r="D189" s="150" t="s">
        <v>31</v>
      </c>
      <c r="E189" s="262"/>
      <c r="F189" s="259"/>
      <c r="G189" s="259"/>
    </row>
    <row r="190" spans="1:8" ht="4.1500000000000004" customHeight="1" x14ac:dyDescent="0.2">
      <c r="A190" s="381"/>
      <c r="B190" s="382"/>
      <c r="C190" s="291"/>
      <c r="D190" s="69"/>
      <c r="E190" s="262"/>
      <c r="F190" s="259"/>
      <c r="G190" s="259"/>
    </row>
    <row r="191" spans="1:8" ht="18" customHeight="1" x14ac:dyDescent="0.2">
      <c r="A191" s="381"/>
      <c r="B191" s="385" t="s">
        <v>341</v>
      </c>
      <c r="C191" s="291"/>
      <c r="D191" s="69"/>
      <c r="E191" s="262"/>
      <c r="F191" s="259"/>
      <c r="G191" s="259"/>
    </row>
    <row r="192" spans="1:8" ht="18" customHeight="1" x14ac:dyDescent="0.2">
      <c r="B192" s="386" t="s">
        <v>342</v>
      </c>
      <c r="C192" s="387" t="str">
        <f>IF(C186&lt;C189, "&gt;", "&lt;")</f>
        <v>&lt;</v>
      </c>
      <c r="D192" s="388" t="s">
        <v>343</v>
      </c>
      <c r="G192" s="259"/>
    </row>
    <row r="193" spans="1:12" ht="46.15" customHeight="1" x14ac:dyDescent="0.2">
      <c r="A193" s="676" t="str">
        <f>IF(C195&gt;=C194,"",IF(C189&gt;C186,"NG*: this spreadsheet can't be used untill the earth cover is increased to satisify qmax &lt;qcr !!!","AASHTO minimum cover requirment not meet, but qmax &lt; qcr, the structure is considered stable. Then the actual depth of earth cover (Modified minimum cover ) will be used in load rating factor calculations in lieu of AASHTO minimum cover."))</f>
        <v>AASHTO minimum cover requirment not meet, but qmax &lt; qcr, the structure is considered stable. Then the actual depth of earth cover (Modified minimum cover ) will be used in load rating factor calculations in lieu of AASHTO minimum cover.</v>
      </c>
      <c r="B193" s="676"/>
      <c r="C193" s="676"/>
      <c r="D193" s="676"/>
      <c r="E193" s="676"/>
      <c r="F193" s="676"/>
      <c r="G193" s="676"/>
      <c r="H193" s="676"/>
    </row>
    <row r="194" spans="1:12" ht="18" customHeight="1" x14ac:dyDescent="0.2">
      <c r="A194" s="793" t="s">
        <v>344</v>
      </c>
      <c r="B194" s="793"/>
      <c r="C194" s="41">
        <f>E61</f>
        <v>1.875</v>
      </c>
      <c r="D194" s="369" t="str">
        <f>IF(C194="-", "Long Span Structural Plate Structure Geometric Limits Exceed!", "")</f>
        <v/>
      </c>
      <c r="E194" s="369"/>
      <c r="F194" s="369"/>
      <c r="G194" s="369"/>
      <c r="H194" s="369"/>
      <c r="I194" s="369"/>
      <c r="J194" s="369"/>
    </row>
    <row r="195" spans="1:12" ht="28.15" customHeight="1" x14ac:dyDescent="0.2">
      <c r="A195" s="700" t="s">
        <v>346</v>
      </c>
      <c r="B195" s="700"/>
      <c r="C195" s="41">
        <f>E62</f>
        <v>1.8</v>
      </c>
      <c r="D195" s="701" t="str">
        <f>IF(C194="-", "", IF(C195&gt;=C194, "cover depth meet AASHTO requirment ", "! Hmin&lt;h, cover depth not meet AASHTO requirment, compare qcr &amp; qmax! "))</f>
        <v xml:space="preserve">! Hmin&lt;h, cover depth not meet AASHTO requirment, compare qcr &amp; qmax! </v>
      </c>
      <c r="E195" s="701"/>
      <c r="F195" s="701"/>
      <c r="G195" s="702"/>
      <c r="H195" s="389"/>
      <c r="I195" s="299"/>
      <c r="J195" s="299"/>
      <c r="K195" s="299"/>
      <c r="L195" s="299"/>
    </row>
    <row r="196" spans="1:12" ht="31.9" customHeight="1" x14ac:dyDescent="0.2">
      <c r="A196" s="693" t="s">
        <v>345</v>
      </c>
      <c r="B196" s="693"/>
      <c r="C196" s="390">
        <f>IF(C195&gt;C194, C194, IF(C189&lt;C186, C195, "NG *"))</f>
        <v>1.8</v>
      </c>
      <c r="D196" s="694" t="str">
        <f>IF(C195&gt;=C194,"ODOT modified minimum cover = AASHTO minimum cover",IF(C189&lt;C186,"qmax &lt; qcr, use modified minimum cover to calculate rating factors","!! increase cover depth until qmax &lt; qcr"))</f>
        <v>qmax &lt; qcr, use modified minimum cover to calculate rating factors</v>
      </c>
      <c r="E196" s="694"/>
      <c r="F196" s="694"/>
      <c r="G196" s="695"/>
      <c r="H196" s="391"/>
    </row>
    <row r="197" spans="1:12" ht="10.9" customHeight="1" x14ac:dyDescent="0.2"/>
    <row r="198" spans="1:12" ht="18.600000000000001" customHeight="1" x14ac:dyDescent="0.2">
      <c r="A198" s="698" t="s">
        <v>331</v>
      </c>
      <c r="B198" s="698"/>
      <c r="C198" s="698"/>
      <c r="D198" s="698"/>
      <c r="E198" s="698"/>
      <c r="F198" s="698"/>
      <c r="G198" s="698"/>
    </row>
    <row r="199" spans="1:12" ht="18" customHeight="1" x14ac:dyDescent="0.2">
      <c r="A199" s="225" t="s">
        <v>151</v>
      </c>
    </row>
    <row r="200" spans="1:12" ht="20.45" customHeight="1" x14ac:dyDescent="0.2">
      <c r="A200" s="166" t="s">
        <v>144</v>
      </c>
    </row>
    <row r="202" spans="1:12" ht="16.899999999999999" customHeight="1" x14ac:dyDescent="0.2"/>
    <row r="203" spans="1:12" ht="18" x14ac:dyDescent="0.2">
      <c r="A203" s="166" t="s">
        <v>150</v>
      </c>
    </row>
    <row r="204" spans="1:12" ht="12" customHeight="1" x14ac:dyDescent="0.2">
      <c r="F204" s="291"/>
    </row>
    <row r="205" spans="1:12" ht="13.9" customHeight="1" x14ac:dyDescent="0.2"/>
    <row r="206" spans="1:12" ht="21" customHeight="1" x14ac:dyDescent="0.2">
      <c r="B206" s="150" t="s">
        <v>412</v>
      </c>
      <c r="D206" s="62">
        <f>IF((2.36*C195/D31+0.528)&gt;1, 1, 2.36*C195/D31+0.528)</f>
        <v>0.81120000000000003</v>
      </c>
    </row>
    <row r="207" spans="1:12" ht="16.149999999999999" customHeight="1" x14ac:dyDescent="0.2">
      <c r="B207" s="226" t="s">
        <v>152</v>
      </c>
      <c r="C207" s="41">
        <f>IF(E61="-", "-", C195^2/(D206*(C196)^2))</f>
        <v>1.2327416173570018</v>
      </c>
      <c r="D207" s="360" t="str">
        <f>IF(C207="-", "Long Span Structural Plate Structure Geometric Limits Exceed, Spreadsheet Cannot be Used!", "")</f>
        <v/>
      </c>
    </row>
    <row r="208" spans="1:12" ht="6" customHeight="1" thickBot="1" x14ac:dyDescent="0.25">
      <c r="B208" s="226"/>
      <c r="C208" s="62"/>
    </row>
    <row r="209" spans="1:10" ht="19.899999999999999" customHeight="1" thickTop="1" thickBot="1" x14ac:dyDescent="0.25">
      <c r="A209" s="688" t="s">
        <v>160</v>
      </c>
      <c r="B209" s="689"/>
      <c r="C209" s="689"/>
      <c r="D209" s="689"/>
      <c r="E209" s="689"/>
      <c r="F209" s="689"/>
      <c r="G209" s="689"/>
      <c r="H209" s="689"/>
      <c r="I209" s="689"/>
      <c r="J209" s="690"/>
    </row>
    <row r="210" spans="1:10" ht="45.6" customHeight="1" thickTop="1" thickBot="1" x14ac:dyDescent="0.25">
      <c r="A210" s="238"/>
      <c r="B210" s="237" t="s">
        <v>300</v>
      </c>
      <c r="C210" s="237" t="s">
        <v>299</v>
      </c>
      <c r="D210" s="235" t="s">
        <v>0</v>
      </c>
      <c r="E210" s="236" t="s">
        <v>134</v>
      </c>
      <c r="F210" s="236" t="s">
        <v>135</v>
      </c>
      <c r="G210" s="236" t="s">
        <v>136</v>
      </c>
      <c r="H210" s="469" t="s">
        <v>414</v>
      </c>
      <c r="I210" s="469" t="s">
        <v>418</v>
      </c>
      <c r="J210" s="470" t="s">
        <v>419</v>
      </c>
    </row>
    <row r="211" spans="1:10" ht="18" customHeight="1" thickTop="1" x14ac:dyDescent="0.2">
      <c r="A211" s="239" t="s">
        <v>145</v>
      </c>
      <c r="B211" s="249">
        <f>$C$86</f>
        <v>88.440000000000012</v>
      </c>
      <c r="C211" s="363">
        <f>$C$86</f>
        <v>88.440000000000012</v>
      </c>
      <c r="D211" s="250">
        <f t="shared" ref="D211:G211" si="19">$C$86</f>
        <v>88.440000000000012</v>
      </c>
      <c r="E211" s="250">
        <f t="shared" si="19"/>
        <v>88.440000000000012</v>
      </c>
      <c r="F211" s="250">
        <f t="shared" si="19"/>
        <v>88.440000000000012</v>
      </c>
      <c r="G211" s="431">
        <f t="shared" si="19"/>
        <v>88.440000000000012</v>
      </c>
      <c r="H211" s="431">
        <f>$C$86</f>
        <v>88.440000000000012</v>
      </c>
      <c r="I211" s="250">
        <f>$C$86</f>
        <v>88.440000000000012</v>
      </c>
      <c r="J211" s="400">
        <f>$C$86</f>
        <v>88.440000000000012</v>
      </c>
    </row>
    <row r="212" spans="1:10" ht="18" customHeight="1" x14ac:dyDescent="0.2">
      <c r="A212" s="239" t="s">
        <v>375</v>
      </c>
      <c r="B212" s="789">
        <f>'CMP Input'!D80</f>
        <v>1</v>
      </c>
      <c r="C212" s="790"/>
      <c r="D212" s="790"/>
      <c r="E212" s="790"/>
      <c r="F212" s="790"/>
      <c r="G212" s="790"/>
      <c r="H212" s="790"/>
      <c r="I212" s="790"/>
      <c r="J212" s="791"/>
    </row>
    <row r="213" spans="1:10" ht="18" customHeight="1" x14ac:dyDescent="0.2">
      <c r="A213" s="240" t="s">
        <v>146</v>
      </c>
      <c r="B213" s="251">
        <f>$C$92</f>
        <v>2.052</v>
      </c>
      <c r="C213" s="364">
        <f>$C$92</f>
        <v>2.052</v>
      </c>
      <c r="D213" s="41">
        <f t="shared" ref="D213:J213" si="20">$C$92</f>
        <v>2.052</v>
      </c>
      <c r="E213" s="41">
        <f t="shared" si="20"/>
        <v>2.052</v>
      </c>
      <c r="F213" s="41">
        <f t="shared" si="20"/>
        <v>2.052</v>
      </c>
      <c r="G213" s="430">
        <f t="shared" si="20"/>
        <v>2.052</v>
      </c>
      <c r="H213" s="430">
        <f t="shared" si="20"/>
        <v>2.052</v>
      </c>
      <c r="I213" s="41">
        <f t="shared" si="20"/>
        <v>2.052</v>
      </c>
      <c r="J213" s="232">
        <f t="shared" si="20"/>
        <v>2.052</v>
      </c>
    </row>
    <row r="214" spans="1:10" ht="18" customHeight="1" x14ac:dyDescent="0.2">
      <c r="A214" s="240" t="s">
        <v>288</v>
      </c>
      <c r="B214" s="316">
        <f>'CMP Input'!D69</f>
        <v>1.95</v>
      </c>
      <c r="C214" s="365">
        <f>'CMP Input'!D69</f>
        <v>1.95</v>
      </c>
      <c r="D214" s="317">
        <f>'CMP Input'!D69</f>
        <v>1.95</v>
      </c>
      <c r="E214" s="317">
        <f>'CMP Input'!D69</f>
        <v>1.95</v>
      </c>
      <c r="F214" s="317">
        <f>'CMP Input'!D69</f>
        <v>1.95</v>
      </c>
      <c r="G214" s="432">
        <f>'CMP Input'!D69</f>
        <v>1.95</v>
      </c>
      <c r="H214" s="432">
        <f>'CMP Input'!D69</f>
        <v>1.95</v>
      </c>
      <c r="I214" s="424">
        <f>'CMP Input'!D69</f>
        <v>1.95</v>
      </c>
      <c r="J214" s="466">
        <f>'CMP Input'!D69</f>
        <v>1.95</v>
      </c>
    </row>
    <row r="215" spans="1:10" ht="18" customHeight="1" x14ac:dyDescent="0.2">
      <c r="A215" s="240" t="s">
        <v>296</v>
      </c>
      <c r="B215" s="316">
        <f>'CMP Input'!D68</f>
        <v>1.05</v>
      </c>
      <c r="C215" s="365">
        <f>'CMP Input'!D68</f>
        <v>1.05</v>
      </c>
      <c r="D215" s="317">
        <f>'CMP Input'!D68</f>
        <v>1.05</v>
      </c>
      <c r="E215" s="317">
        <f>'CMP Input'!D68</f>
        <v>1.05</v>
      </c>
      <c r="F215" s="317">
        <f>'CMP Input'!D68</f>
        <v>1.05</v>
      </c>
      <c r="G215" s="432">
        <f>'CMP Input'!D68</f>
        <v>1.05</v>
      </c>
      <c r="H215" s="432">
        <f>'CMP Input'!D68</f>
        <v>1.05</v>
      </c>
      <c r="I215" s="424">
        <f>'CMP Input'!D68</f>
        <v>1.05</v>
      </c>
      <c r="J215" s="466">
        <f>'CMP Input'!D68</f>
        <v>1.05</v>
      </c>
    </row>
    <row r="216" spans="1:10" ht="18" customHeight="1" x14ac:dyDescent="0.2">
      <c r="A216" s="240" t="s">
        <v>194</v>
      </c>
      <c r="B216" s="251">
        <f t="shared" ref="B216:J216" si="21">C167</f>
        <v>8.9876580098533623</v>
      </c>
      <c r="C216" s="364">
        <f t="shared" si="21"/>
        <v>7.0216078201979402</v>
      </c>
      <c r="D216" s="41">
        <f t="shared" si="21"/>
        <v>13.713106710213996</v>
      </c>
      <c r="E216" s="41">
        <f t="shared" si="21"/>
        <v>12.306111374890923</v>
      </c>
      <c r="F216" s="41">
        <f t="shared" si="21"/>
        <v>10.732935488151741</v>
      </c>
      <c r="G216" s="430">
        <f t="shared" si="21"/>
        <v>12.306111374890923</v>
      </c>
      <c r="H216" s="430">
        <f t="shared" si="21"/>
        <v>12.306111374890923</v>
      </c>
      <c r="I216" s="41">
        <f t="shared" si="21"/>
        <v>18.55853445817581</v>
      </c>
      <c r="J216" s="232">
        <f t="shared" si="21"/>
        <v>17.806812902171682</v>
      </c>
    </row>
    <row r="217" spans="1:10" ht="18" customHeight="1" x14ac:dyDescent="0.2">
      <c r="A217" s="240" t="s">
        <v>279</v>
      </c>
      <c r="B217" s="316">
        <f>'CMP Input'!D71</f>
        <v>1.35</v>
      </c>
      <c r="C217" s="366">
        <f>'CMP Input'!D71</f>
        <v>1.35</v>
      </c>
      <c r="D217" s="317">
        <f>'CMP Input'!D72</f>
        <v>1.3</v>
      </c>
      <c r="E217" s="317">
        <f>'CMP Input'!D72</f>
        <v>1.3</v>
      </c>
      <c r="F217" s="317">
        <f>'CMP Input'!D72</f>
        <v>1.3</v>
      </c>
      <c r="G217" s="432">
        <f>'CMP Input'!D72</f>
        <v>1.3</v>
      </c>
      <c r="H217" s="432">
        <f>'CMP Input'!D72</f>
        <v>1.3</v>
      </c>
      <c r="I217" s="424">
        <f>'CMP Input'!D72</f>
        <v>1.3</v>
      </c>
      <c r="J217" s="466">
        <f>'CMP Input'!D72</f>
        <v>1.3</v>
      </c>
    </row>
    <row r="218" spans="1:10" ht="18" customHeight="1" x14ac:dyDescent="0.2">
      <c r="A218" s="240" t="s">
        <v>147</v>
      </c>
      <c r="B218" s="399">
        <f>(B211*$B$212-B214*B213*B215)/(B216*B217)</f>
        <v>6.9427331394565579</v>
      </c>
      <c r="C218" s="41">
        <f t="shared" ref="C218:H218" si="22">(C211*$B$212-C214*C213*C215)/(C216*C217)</f>
        <v>8.8866984185043929</v>
      </c>
      <c r="D218" s="41">
        <f t="shared" si="22"/>
        <v>4.7253237796585363</v>
      </c>
      <c r="E218" s="41">
        <f t="shared" si="22"/>
        <v>5.2655844934885936</v>
      </c>
      <c r="F218" s="41">
        <f t="shared" si="22"/>
        <v>6.037385513245817</v>
      </c>
      <c r="G218" s="430">
        <f t="shared" si="22"/>
        <v>5.2655844934885936</v>
      </c>
      <c r="H218" s="430">
        <f t="shared" si="22"/>
        <v>5.2655844934885936</v>
      </c>
      <c r="I218" s="41">
        <f t="shared" ref="I218:J218" si="23">(I211*$B$212-I214*I213*I215)/(I216*I217)</f>
        <v>3.4915940898675126</v>
      </c>
      <c r="J218" s="232">
        <f t="shared" si="23"/>
        <v>3.6389930970110043</v>
      </c>
    </row>
    <row r="219" spans="1:10" ht="18" customHeight="1" x14ac:dyDescent="0.2">
      <c r="A219" s="240" t="s">
        <v>153</v>
      </c>
      <c r="B219" s="251">
        <f>$C$207</f>
        <v>1.2327416173570018</v>
      </c>
      <c r="C219" s="364">
        <f>$C$207</f>
        <v>1.2327416173570018</v>
      </c>
      <c r="D219" s="41">
        <f t="shared" ref="D219:G219" si="24">$C$207</f>
        <v>1.2327416173570018</v>
      </c>
      <c r="E219" s="41">
        <f t="shared" si="24"/>
        <v>1.2327416173570018</v>
      </c>
      <c r="F219" s="41">
        <f t="shared" si="24"/>
        <v>1.2327416173570018</v>
      </c>
      <c r="G219" s="430">
        <f t="shared" si="24"/>
        <v>1.2327416173570018</v>
      </c>
      <c r="H219" s="430">
        <f>$C$207</f>
        <v>1.2327416173570018</v>
      </c>
      <c r="I219" s="41">
        <f>$C$207</f>
        <v>1.2327416173570018</v>
      </c>
      <c r="J219" s="232">
        <f>$C$207</f>
        <v>1.2327416173570018</v>
      </c>
    </row>
    <row r="220" spans="1:10" ht="18" customHeight="1" thickBot="1" x14ac:dyDescent="0.25">
      <c r="A220" s="241" t="s">
        <v>154</v>
      </c>
      <c r="B220" s="367">
        <f>MIN(B218,B219)</f>
        <v>1.2327416173570018</v>
      </c>
      <c r="C220" s="233">
        <f t="shared" ref="C220:J220" si="25">MIN(C218,C219)</f>
        <v>1.2327416173570018</v>
      </c>
      <c r="D220" s="233">
        <f t="shared" si="25"/>
        <v>1.2327416173570018</v>
      </c>
      <c r="E220" s="233">
        <f t="shared" si="25"/>
        <v>1.2327416173570018</v>
      </c>
      <c r="F220" s="233">
        <f t="shared" si="25"/>
        <v>1.2327416173570018</v>
      </c>
      <c r="G220" s="233">
        <f t="shared" si="25"/>
        <v>1.2327416173570018</v>
      </c>
      <c r="H220" s="233">
        <f t="shared" si="25"/>
        <v>1.2327416173570018</v>
      </c>
      <c r="I220" s="233">
        <f t="shared" si="25"/>
        <v>1.2327416173570018</v>
      </c>
      <c r="J220" s="234">
        <f t="shared" si="25"/>
        <v>1.2327416173570018</v>
      </c>
    </row>
    <row r="221" spans="1:10" ht="4.9000000000000004" customHeight="1" thickTop="1" x14ac:dyDescent="0.2">
      <c r="A221" s="792"/>
      <c r="B221" s="792"/>
      <c r="C221" s="792"/>
    </row>
    <row r="222" spans="1:10" ht="18.75" x14ac:dyDescent="0.2">
      <c r="A222" s="225" t="s">
        <v>155</v>
      </c>
    </row>
    <row r="223" spans="1:10" ht="18" x14ac:dyDescent="0.2">
      <c r="A223" s="166" t="s">
        <v>156</v>
      </c>
    </row>
    <row r="225" spans="1:6" ht="10.9" customHeight="1" x14ac:dyDescent="0.2"/>
    <row r="226" spans="1:6" ht="18" x14ac:dyDescent="0.2">
      <c r="A226" s="166" t="s">
        <v>426</v>
      </c>
    </row>
    <row r="227" spans="1:6" ht="13.9" customHeight="1" x14ac:dyDescent="0.2">
      <c r="B227" s="703" t="s">
        <v>427</v>
      </c>
      <c r="C227" s="703"/>
    </row>
    <row r="228" spans="1:6" ht="14.45" customHeight="1" thickBot="1" x14ac:dyDescent="0.25">
      <c r="B228" s="704"/>
      <c r="C228" s="704"/>
    </row>
    <row r="229" spans="1:6" ht="21" customHeight="1" thickTop="1" thickBot="1" x14ac:dyDescent="0.25">
      <c r="A229" s="688" t="s">
        <v>161</v>
      </c>
      <c r="B229" s="689"/>
      <c r="C229" s="690"/>
    </row>
    <row r="230" spans="1:6" ht="16.5" customHeight="1" thickTop="1" thickBot="1" x14ac:dyDescent="0.25">
      <c r="A230" s="238"/>
      <c r="B230" s="242" t="s">
        <v>300</v>
      </c>
      <c r="C230" s="242" t="s">
        <v>299</v>
      </c>
      <c r="D230" s="39"/>
      <c r="E230" s="39"/>
      <c r="F230" s="39"/>
    </row>
    <row r="231" spans="1:6" ht="16.5" customHeight="1" thickTop="1" x14ac:dyDescent="0.2">
      <c r="A231" s="295" t="s">
        <v>145</v>
      </c>
      <c r="B231" s="400">
        <f>B211</f>
        <v>88.440000000000012</v>
      </c>
      <c r="C231" s="293">
        <f>C211</f>
        <v>88.440000000000012</v>
      </c>
      <c r="D231" s="39"/>
      <c r="E231" s="39"/>
      <c r="F231" s="39"/>
    </row>
    <row r="232" spans="1:6" ht="16.5" customHeight="1" x14ac:dyDescent="0.2">
      <c r="A232" s="239" t="s">
        <v>375</v>
      </c>
      <c r="B232" s="691">
        <f>'CMP Input'!D80</f>
        <v>1</v>
      </c>
      <c r="C232" s="692"/>
      <c r="D232" s="39"/>
      <c r="E232" s="39"/>
      <c r="F232" s="39"/>
    </row>
    <row r="233" spans="1:6" ht="16.5" customHeight="1" x14ac:dyDescent="0.2">
      <c r="A233" s="240" t="s">
        <v>146</v>
      </c>
      <c r="B233" s="401">
        <f>B213</f>
        <v>2.052</v>
      </c>
      <c r="C233" s="294">
        <f>C213</f>
        <v>2.052</v>
      </c>
      <c r="D233" s="39"/>
      <c r="E233" s="39"/>
      <c r="F233" s="39"/>
    </row>
    <row r="234" spans="1:6" ht="16.5" customHeight="1" x14ac:dyDescent="0.2">
      <c r="A234" s="240" t="s">
        <v>288</v>
      </c>
      <c r="B234" s="402">
        <f>'CMP Input'!D69</f>
        <v>1.95</v>
      </c>
      <c r="C234" s="354">
        <f>'CMP Input'!D69</f>
        <v>1.95</v>
      </c>
      <c r="D234" s="356"/>
      <c r="E234" s="356"/>
      <c r="F234" s="39"/>
    </row>
    <row r="235" spans="1:6" ht="16.5" customHeight="1" x14ac:dyDescent="0.2">
      <c r="A235" s="240" t="s">
        <v>296</v>
      </c>
      <c r="B235" s="402">
        <f>'CMP Input'!D68</f>
        <v>1.05</v>
      </c>
      <c r="C235" s="318">
        <f>'CMP Input'!D68</f>
        <v>1.05</v>
      </c>
      <c r="D235" s="356"/>
      <c r="E235" s="356"/>
      <c r="F235" s="39"/>
    </row>
    <row r="236" spans="1:6" ht="16.5" customHeight="1" x14ac:dyDescent="0.2">
      <c r="A236" s="240" t="s">
        <v>194</v>
      </c>
      <c r="B236" s="403">
        <f>B216</f>
        <v>8.9876580098533623</v>
      </c>
      <c r="C236" s="330">
        <f>C216</f>
        <v>7.0216078201979402</v>
      </c>
      <c r="D236" s="39"/>
      <c r="E236" s="39"/>
      <c r="F236" s="39"/>
    </row>
    <row r="237" spans="1:6" ht="16.5" customHeight="1" thickBot="1" x14ac:dyDescent="0.25">
      <c r="A237" s="296" t="s">
        <v>279</v>
      </c>
      <c r="B237" s="404">
        <f>'CMP Input'!O63</f>
        <v>1.75</v>
      </c>
      <c r="C237" s="355">
        <f>'CMP Input'!O63</f>
        <v>1.75</v>
      </c>
      <c r="D237" s="356"/>
      <c r="E237" s="356"/>
      <c r="F237" s="39"/>
    </row>
    <row r="238" spans="1:6" ht="16.5" customHeight="1" thickTop="1" x14ac:dyDescent="0.2">
      <c r="A238" s="239" t="s">
        <v>157</v>
      </c>
      <c r="B238" s="401">
        <f>(B231*$B$232-B233*B234*B235)/(B236*B237)</f>
        <v>5.3558227075807734</v>
      </c>
      <c r="C238" s="401">
        <f>(C231*$B$232-C233*C234*C235)/(C236*C237)</f>
        <v>6.8554530657033901</v>
      </c>
      <c r="D238" s="62"/>
      <c r="E238" s="62"/>
      <c r="F238" s="62"/>
    </row>
    <row r="239" spans="1:6" ht="16.5" customHeight="1" x14ac:dyDescent="0.2">
      <c r="A239" s="240" t="s">
        <v>158</v>
      </c>
      <c r="B239" s="403">
        <f>B219/1.3</f>
        <v>0.94826278258230912</v>
      </c>
      <c r="C239" s="330">
        <f>C219/1.3</f>
        <v>0.94826278258230912</v>
      </c>
    </row>
    <row r="240" spans="1:6" ht="16.5" customHeight="1" thickBot="1" x14ac:dyDescent="0.25">
      <c r="A240" s="348" t="s">
        <v>159</v>
      </c>
      <c r="B240" s="405">
        <f>MIN(B238,$B$239)</f>
        <v>0.94826278258230912</v>
      </c>
      <c r="C240" s="349">
        <f>MIN(C238,$B$239)</f>
        <v>0.94826278258230912</v>
      </c>
      <c r="D240" s="62"/>
      <c r="E240" s="62"/>
      <c r="F240" s="62"/>
    </row>
    <row r="241" spans="2:9" ht="10.9" customHeight="1" thickTop="1" thickBot="1" x14ac:dyDescent="0.25">
      <c r="D241" s="62"/>
      <c r="E241" s="62"/>
      <c r="F241" s="62"/>
    </row>
    <row r="242" spans="2:9" ht="22.15" customHeight="1" thickBot="1" x14ac:dyDescent="0.25">
      <c r="B242" s="677" t="s">
        <v>382</v>
      </c>
      <c r="C242" s="678"/>
      <c r="D242" s="678"/>
      <c r="E242" s="678"/>
      <c r="F242" s="679"/>
      <c r="I242" s="26"/>
    </row>
    <row r="243" spans="2:9" ht="22.15" customHeight="1" x14ac:dyDescent="0.2">
      <c r="B243" s="680" t="s">
        <v>383</v>
      </c>
      <c r="C243" s="682" t="s">
        <v>384</v>
      </c>
      <c r="D243" s="684" t="s">
        <v>385</v>
      </c>
      <c r="E243" s="685"/>
      <c r="F243" s="686" t="s">
        <v>416</v>
      </c>
      <c r="I243" s="26"/>
    </row>
    <row r="244" spans="2:9" ht="22.15" customHeight="1" x14ac:dyDescent="0.2">
      <c r="B244" s="681"/>
      <c r="C244" s="683"/>
      <c r="D244" s="433" t="s">
        <v>148</v>
      </c>
      <c r="E244" s="433" t="s">
        <v>149</v>
      </c>
      <c r="F244" s="687"/>
      <c r="I244" s="26"/>
    </row>
    <row r="245" spans="2:9" ht="18" customHeight="1" x14ac:dyDescent="0.2">
      <c r="B245" s="434" t="s">
        <v>176</v>
      </c>
      <c r="C245" s="435"/>
      <c r="D245" s="439">
        <f>MIN(B240,C240)</f>
        <v>0.94826278258230912</v>
      </c>
      <c r="E245" s="439">
        <f>MIN(B220,C220)</f>
        <v>1.2327416173570018</v>
      </c>
      <c r="F245" s="453"/>
      <c r="I245" s="26"/>
    </row>
    <row r="246" spans="2:9" ht="18" customHeight="1" x14ac:dyDescent="0.2">
      <c r="B246" s="434" t="s">
        <v>386</v>
      </c>
      <c r="C246" s="435">
        <v>15</v>
      </c>
      <c r="D246" s="457"/>
      <c r="E246" s="439">
        <f>D220</f>
        <v>1.2327416173570018</v>
      </c>
      <c r="F246" s="454">
        <f>IF(C246*E246&gt;C246,C246,C246*E246)</f>
        <v>15</v>
      </c>
      <c r="I246" s="26"/>
    </row>
    <row r="247" spans="2:9" ht="18" customHeight="1" x14ac:dyDescent="0.2">
      <c r="B247" s="434" t="s">
        <v>387</v>
      </c>
      <c r="C247" s="435">
        <v>23</v>
      </c>
      <c r="D247" s="457"/>
      <c r="E247" s="439">
        <f>E220</f>
        <v>1.2327416173570018</v>
      </c>
      <c r="F247" s="454">
        <f>IF(C247*E247&gt;C247,C247,C247*E247)</f>
        <v>23</v>
      </c>
      <c r="I247" s="26"/>
    </row>
    <row r="248" spans="2:9" ht="18" customHeight="1" x14ac:dyDescent="0.2">
      <c r="B248" s="434" t="s">
        <v>388</v>
      </c>
      <c r="C248" s="435">
        <v>27</v>
      </c>
      <c r="D248" s="457"/>
      <c r="E248" s="439">
        <f>F220</f>
        <v>1.2327416173570018</v>
      </c>
      <c r="F248" s="454">
        <f>IF(C248*E248&gt;C248,C248,C248*E248)</f>
        <v>27</v>
      </c>
      <c r="I248" s="26"/>
    </row>
    <row r="249" spans="2:9" ht="18" customHeight="1" thickBot="1" x14ac:dyDescent="0.25">
      <c r="B249" s="450" t="s">
        <v>389</v>
      </c>
      <c r="C249" s="456">
        <v>40</v>
      </c>
      <c r="D249" s="458"/>
      <c r="E249" s="452">
        <f>G220</f>
        <v>1.2327416173570018</v>
      </c>
      <c r="F249" s="455">
        <f>IF(C249*E249&gt;C249,C249,C249*E249)</f>
        <v>40</v>
      </c>
      <c r="I249" s="26"/>
    </row>
    <row r="250" spans="2:9" ht="15" customHeight="1" thickBot="1" x14ac:dyDescent="0.25">
      <c r="B250"/>
      <c r="C250"/>
      <c r="D250"/>
      <c r="E250"/>
      <c r="F250"/>
      <c r="I250" s="26"/>
    </row>
    <row r="251" spans="2:9" ht="22.15" customHeight="1" thickBot="1" x14ac:dyDescent="0.25">
      <c r="B251" s="783" t="s">
        <v>390</v>
      </c>
      <c r="C251" s="784"/>
      <c r="D251" s="784"/>
      <c r="E251" s="785"/>
      <c r="F251" s="436"/>
      <c r="I251" s="26"/>
    </row>
    <row r="252" spans="2:9" ht="22.15" customHeight="1" x14ac:dyDescent="0.2">
      <c r="B252" s="680" t="s">
        <v>383</v>
      </c>
      <c r="C252" s="682" t="s">
        <v>384</v>
      </c>
      <c r="D252" s="437" t="s">
        <v>385</v>
      </c>
      <c r="E252" s="686" t="s">
        <v>416</v>
      </c>
      <c r="F252" s="438"/>
      <c r="I252" s="26"/>
    </row>
    <row r="253" spans="2:9" ht="22.15" customHeight="1" x14ac:dyDescent="0.2">
      <c r="B253" s="681"/>
      <c r="C253" s="683"/>
      <c r="D253" s="433" t="s">
        <v>149</v>
      </c>
      <c r="E253" s="687"/>
      <c r="F253" s="438"/>
      <c r="I253" s="26"/>
    </row>
    <row r="254" spans="2:9" ht="18" customHeight="1" x14ac:dyDescent="0.2">
      <c r="B254" s="434" t="s">
        <v>391</v>
      </c>
      <c r="C254" s="435">
        <v>27</v>
      </c>
      <c r="D254" s="439">
        <f>H220</f>
        <v>1.2327416173570018</v>
      </c>
      <c r="E254" s="454">
        <f>IF(C254*D254&gt;C254,C254,C254*D254)</f>
        <v>27</v>
      </c>
      <c r="F254" s="440"/>
      <c r="I254" s="26"/>
    </row>
    <row r="255" spans="2:9" ht="18" customHeight="1" x14ac:dyDescent="0.2">
      <c r="B255" s="434" t="s">
        <v>392</v>
      </c>
      <c r="C255" s="435">
        <v>31</v>
      </c>
      <c r="D255" s="439">
        <f>H220</f>
        <v>1.2327416173570018</v>
      </c>
      <c r="E255" s="454">
        <f>IF(C255*D255&gt;C255,C255,C255*D255)</f>
        <v>31</v>
      </c>
      <c r="F255" s="441"/>
      <c r="I255" s="26"/>
    </row>
    <row r="256" spans="2:9" ht="18" customHeight="1" x14ac:dyDescent="0.2">
      <c r="B256" s="434" t="s">
        <v>393</v>
      </c>
      <c r="C256" s="442">
        <v>34.75</v>
      </c>
      <c r="D256" s="439">
        <f>H220</f>
        <v>1.2327416173570018</v>
      </c>
      <c r="E256" s="454">
        <f>IF(C256*D256&gt;C256,C256,C256*D256)</f>
        <v>34.75</v>
      </c>
      <c r="F256" s="441"/>
      <c r="I256" s="26"/>
    </row>
    <row r="257" spans="2:9" ht="18" customHeight="1" thickBot="1" x14ac:dyDescent="0.25">
      <c r="B257" s="450" t="s">
        <v>394</v>
      </c>
      <c r="C257" s="451">
        <v>38.75</v>
      </c>
      <c r="D257" s="452">
        <f>H220</f>
        <v>1.2327416173570018</v>
      </c>
      <c r="E257" s="455">
        <f>IF(C257*D257&gt;C257,C257,C257*D257)</f>
        <v>38.75</v>
      </c>
      <c r="F257" s="441"/>
      <c r="I257" s="26"/>
    </row>
    <row r="258" spans="2:9" ht="10.15" customHeight="1" thickBot="1" x14ac:dyDescent="0.25">
      <c r="I258" s="26"/>
    </row>
    <row r="259" spans="2:9" ht="22.15" customHeight="1" thickBot="1" x14ac:dyDescent="0.25">
      <c r="B259" s="770" t="s">
        <v>417</v>
      </c>
      <c r="C259" s="771"/>
      <c r="D259" s="771"/>
      <c r="E259" s="772"/>
    </row>
    <row r="260" spans="2:9" ht="22.15" customHeight="1" x14ac:dyDescent="0.2">
      <c r="B260" s="773" t="s">
        <v>383</v>
      </c>
      <c r="C260" s="775" t="s">
        <v>384</v>
      </c>
      <c r="D260" s="459" t="s">
        <v>385</v>
      </c>
      <c r="E260" s="777" t="s">
        <v>416</v>
      </c>
    </row>
    <row r="261" spans="2:9" ht="22.15" customHeight="1" x14ac:dyDescent="0.2">
      <c r="B261" s="774"/>
      <c r="C261" s="776"/>
      <c r="D261" s="433" t="s">
        <v>149</v>
      </c>
      <c r="E261" s="778"/>
    </row>
    <row r="262" spans="2:9" ht="18" customHeight="1" x14ac:dyDescent="0.2">
      <c r="B262" s="460" t="s">
        <v>418</v>
      </c>
      <c r="C262" s="461">
        <v>28.75</v>
      </c>
      <c r="D262" s="462">
        <f>I220</f>
        <v>1.2327416173570018</v>
      </c>
      <c r="E262" s="454">
        <f>IF(C262*D262&gt;C262,C262,C262*D262)</f>
        <v>28.75</v>
      </c>
    </row>
    <row r="263" spans="2:9" ht="18" customHeight="1" thickBot="1" x14ac:dyDescent="0.25">
      <c r="B263" s="463" t="s">
        <v>419</v>
      </c>
      <c r="C263" s="464">
        <v>43</v>
      </c>
      <c r="D263" s="465">
        <f>J220</f>
        <v>1.2327416173570018</v>
      </c>
      <c r="E263" s="455">
        <f>IF(C263*D263&gt;C263,C263,C263*D263)</f>
        <v>43</v>
      </c>
    </row>
  </sheetData>
  <protectedRanges>
    <protectedRange algorithmName="SHA-512" hashValue="uMBuEftMXhDkdXdIGI5sI+oYbaZVWtPttl58XeuJD6fSyO7kHqjRWQjNs8lGKoB7RoJLZwWbwV/szwqMtgooKQ==" saltValue="Gg/X6PB22NDu7jtZ5j6qQw==" spinCount="100000" sqref="E254:E257" name="Range1_3"/>
    <protectedRange algorithmName="SHA-512" hashValue="uMBuEftMXhDkdXdIGI5sI+oYbaZVWtPttl58XeuJD6fSyO7kHqjRWQjNs8lGKoB7RoJLZwWbwV/szwqMtgooKQ==" saltValue="Gg/X6PB22NDu7jtZ5j6qQw==" spinCount="100000" sqref="E263 B259:E259 B262:E262" name="Range1_3_1"/>
  </protectedRanges>
  <mergeCells count="137">
    <mergeCell ref="A134:B134"/>
    <mergeCell ref="A135:B135"/>
    <mergeCell ref="A144:B144"/>
    <mergeCell ref="A145:B145"/>
    <mergeCell ref="A143:B143"/>
    <mergeCell ref="A150:B150"/>
    <mergeCell ref="A151:B151"/>
    <mergeCell ref="A152:B152"/>
    <mergeCell ref="A153:B153"/>
    <mergeCell ref="F62:J62"/>
    <mergeCell ref="A62:D62"/>
    <mergeCell ref="A61:D61"/>
    <mergeCell ref="A60:D60"/>
    <mergeCell ref="A63:D63"/>
    <mergeCell ref="A64:D64"/>
    <mergeCell ref="A65:D65"/>
    <mergeCell ref="A66:D66"/>
    <mergeCell ref="A67:D67"/>
    <mergeCell ref="B259:E259"/>
    <mergeCell ref="B260:B261"/>
    <mergeCell ref="C260:C261"/>
    <mergeCell ref="E260:E261"/>
    <mergeCell ref="B131:C131"/>
    <mergeCell ref="A112:G121"/>
    <mergeCell ref="A161:B161"/>
    <mergeCell ref="A162:B162"/>
    <mergeCell ref="A163:B163"/>
    <mergeCell ref="A164:B164"/>
    <mergeCell ref="A165:B165"/>
    <mergeCell ref="A166:B166"/>
    <mergeCell ref="A167:B167"/>
    <mergeCell ref="A171:G171"/>
    <mergeCell ref="A180:H180"/>
    <mergeCell ref="B251:E251"/>
    <mergeCell ref="A176:K176"/>
    <mergeCell ref="B252:B253"/>
    <mergeCell ref="C252:C253"/>
    <mergeCell ref="E252:E253"/>
    <mergeCell ref="B212:J212"/>
    <mergeCell ref="A198:G198"/>
    <mergeCell ref="A221:C221"/>
    <mergeCell ref="A194:B194"/>
    <mergeCell ref="D34:H34"/>
    <mergeCell ref="C96:H96"/>
    <mergeCell ref="A8:H8"/>
    <mergeCell ref="B24:E25"/>
    <mergeCell ref="C22:D22"/>
    <mergeCell ref="B50:C50"/>
    <mergeCell ref="C59:E59"/>
    <mergeCell ref="B51:F51"/>
    <mergeCell ref="C83:E83"/>
    <mergeCell ref="A32:C32"/>
    <mergeCell ref="B42:D42"/>
    <mergeCell ref="B40:D40"/>
    <mergeCell ref="A57:B57"/>
    <mergeCell ref="B45:C45"/>
    <mergeCell ref="C84:E84"/>
    <mergeCell ref="B82:B84"/>
    <mergeCell ref="C58:E58"/>
    <mergeCell ref="B41:D41"/>
    <mergeCell ref="C39:E39"/>
    <mergeCell ref="A35:B35"/>
    <mergeCell ref="B48:C48"/>
    <mergeCell ref="B49:C49"/>
    <mergeCell ref="A68:D68"/>
    <mergeCell ref="C82:E82"/>
    <mergeCell ref="A7:G7"/>
    <mergeCell ref="A9:G9"/>
    <mergeCell ref="D2:G2"/>
    <mergeCell ref="F4:G4"/>
    <mergeCell ref="F5:G5"/>
    <mergeCell ref="A11:B11"/>
    <mergeCell ref="A12:F12"/>
    <mergeCell ref="D49:G50"/>
    <mergeCell ref="A13:F13"/>
    <mergeCell ref="A14:F14"/>
    <mergeCell ref="C21:D21"/>
    <mergeCell ref="B21:B23"/>
    <mergeCell ref="C27:D27"/>
    <mergeCell ref="A29:B29"/>
    <mergeCell ref="C29:F29"/>
    <mergeCell ref="C23:D23"/>
    <mergeCell ref="A31:C31"/>
    <mergeCell ref="B46:C46"/>
    <mergeCell ref="B47:C47"/>
    <mergeCell ref="E32:G33"/>
    <mergeCell ref="C19:D19"/>
    <mergeCell ref="D3:G3"/>
    <mergeCell ref="A17:G17"/>
    <mergeCell ref="A15:G16"/>
    <mergeCell ref="B89:B90"/>
    <mergeCell ref="B94:B95"/>
    <mergeCell ref="A168:H168"/>
    <mergeCell ref="B129:C129"/>
    <mergeCell ref="A130:C130"/>
    <mergeCell ref="A98:C98"/>
    <mergeCell ref="A99:C99"/>
    <mergeCell ref="A100:C100"/>
    <mergeCell ref="D127:E127"/>
    <mergeCell ref="C104:H104"/>
    <mergeCell ref="A122:H122"/>
    <mergeCell ref="A132:B132"/>
    <mergeCell ref="A103:C103"/>
    <mergeCell ref="C149:K149"/>
    <mergeCell ref="E102:F102"/>
    <mergeCell ref="D103:F103"/>
    <mergeCell ref="A154:B154"/>
    <mergeCell ref="A155:B155"/>
    <mergeCell ref="A156:B156"/>
    <mergeCell ref="A157:B157"/>
    <mergeCell ref="A158:B158"/>
    <mergeCell ref="A159:B159"/>
    <mergeCell ref="A160:B160"/>
    <mergeCell ref="A133:B133"/>
    <mergeCell ref="A169:G169"/>
    <mergeCell ref="A173:G173"/>
    <mergeCell ref="A193:H193"/>
    <mergeCell ref="B242:F242"/>
    <mergeCell ref="B243:B244"/>
    <mergeCell ref="C243:C244"/>
    <mergeCell ref="D243:E243"/>
    <mergeCell ref="F243:F244"/>
    <mergeCell ref="A209:J209"/>
    <mergeCell ref="A229:C229"/>
    <mergeCell ref="B232:C232"/>
    <mergeCell ref="A196:B196"/>
    <mergeCell ref="D196:G196"/>
    <mergeCell ref="A174:G174"/>
    <mergeCell ref="A175:G175"/>
    <mergeCell ref="A170:G170"/>
    <mergeCell ref="A172:G172"/>
    <mergeCell ref="A178:E178"/>
    <mergeCell ref="A179:F179"/>
    <mergeCell ref="A188:F188"/>
    <mergeCell ref="A195:B195"/>
    <mergeCell ref="D195:G195"/>
    <mergeCell ref="B227:C228"/>
  </mergeCells>
  <pageMargins left="0.7" right="0.7" top="0.75" bottom="0.75" header="0.3" footer="0.3"/>
  <pageSetup firstPageNumber="4" orientation="landscape" useFirstPageNumber="1" r:id="rId1"/>
  <headerFooter>
    <oddFooter>&amp;LRevised by ODOT 12/2018&amp;CPage &amp;P of 14</oddFooter>
  </headerFooter>
  <rowBreaks count="7" manualBreakCount="7">
    <brk id="27" max="10" man="1"/>
    <brk id="51" max="10" man="1"/>
    <brk id="74" max="10" man="1"/>
    <brk id="109" max="10" man="1"/>
    <brk id="177" max="10" man="1"/>
    <brk id="197" max="10" man="1"/>
    <brk id="241" max="10" man="1"/>
  </rowBreaks>
  <drawing r:id="rId2"/>
  <legacyDrawing r:id="rId3"/>
  <oleObjects>
    <mc:AlternateContent xmlns:mc="http://schemas.openxmlformats.org/markup-compatibility/2006">
      <mc:Choice Requires="x14">
        <oleObject progId="Equation.3" shapeId="11274" r:id="rId4">
          <objectPr defaultSize="0" autoPict="0" r:id="rId5">
            <anchor moveWithCells="1">
              <from>
                <xdr:col>1</xdr:col>
                <xdr:colOff>9525</xdr:colOff>
                <xdr:row>69</xdr:row>
                <xdr:rowOff>47625</xdr:rowOff>
              </from>
              <to>
                <xdr:col>3</xdr:col>
                <xdr:colOff>361950</xdr:colOff>
                <xdr:row>71</xdr:row>
                <xdr:rowOff>66675</xdr:rowOff>
              </to>
            </anchor>
          </objectPr>
        </oleObject>
      </mc:Choice>
      <mc:Fallback>
        <oleObject progId="Equation.3" shapeId="11274" r:id="rId4"/>
      </mc:Fallback>
    </mc:AlternateContent>
    <mc:AlternateContent xmlns:mc="http://schemas.openxmlformats.org/markup-compatibility/2006">
      <mc:Choice Requires="x14">
        <oleObject progId="Equation.3" shapeId="11275" r:id="rId6">
          <objectPr defaultSize="0" autoPict="0" r:id="rId7">
            <anchor moveWithCells="1">
              <from>
                <xdr:col>1</xdr:col>
                <xdr:colOff>28575</xdr:colOff>
                <xdr:row>71</xdr:row>
                <xdr:rowOff>152400</xdr:rowOff>
              </from>
              <to>
                <xdr:col>3</xdr:col>
                <xdr:colOff>361950</xdr:colOff>
                <xdr:row>73</xdr:row>
                <xdr:rowOff>57150</xdr:rowOff>
              </to>
            </anchor>
          </objectPr>
        </oleObject>
      </mc:Choice>
      <mc:Fallback>
        <oleObject progId="Equation.3" shapeId="11275" r:id="rId6"/>
      </mc:Fallback>
    </mc:AlternateContent>
    <mc:AlternateContent xmlns:mc="http://schemas.openxmlformats.org/markup-compatibility/2006">
      <mc:Choice Requires="x14">
        <oleObject progId="Equation.3" shapeId="11278" r:id="rId8">
          <objectPr defaultSize="0" autoPict="0" r:id="rId9">
            <anchor moveWithCells="1">
              <from>
                <xdr:col>4</xdr:col>
                <xdr:colOff>19050</xdr:colOff>
                <xdr:row>73</xdr:row>
                <xdr:rowOff>171450</xdr:rowOff>
              </from>
              <to>
                <xdr:col>4</xdr:col>
                <xdr:colOff>666750</xdr:colOff>
                <xdr:row>75</xdr:row>
                <xdr:rowOff>76200</xdr:rowOff>
              </to>
            </anchor>
          </objectPr>
        </oleObject>
      </mc:Choice>
      <mc:Fallback>
        <oleObject progId="Equation.3" shapeId="11278" r:id="rId8"/>
      </mc:Fallback>
    </mc:AlternateContent>
    <mc:AlternateContent xmlns:mc="http://schemas.openxmlformats.org/markup-compatibility/2006">
      <mc:Choice Requires="x14">
        <oleObject progId="Equation.3" shapeId="11343" r:id="rId10">
          <objectPr defaultSize="0" autoPict="0" r:id="rId11">
            <anchor moveWithCells="1">
              <from>
                <xdr:col>0</xdr:col>
                <xdr:colOff>904875</xdr:colOff>
                <xdr:row>200</xdr:row>
                <xdr:rowOff>28575</xdr:rowOff>
              </from>
              <to>
                <xdr:col>2</xdr:col>
                <xdr:colOff>666750</xdr:colOff>
                <xdr:row>201</xdr:row>
                <xdr:rowOff>200025</xdr:rowOff>
              </to>
            </anchor>
          </objectPr>
        </oleObject>
      </mc:Choice>
      <mc:Fallback>
        <oleObject progId="Equation.3" shapeId="11343" r:id="rId10"/>
      </mc:Fallback>
    </mc:AlternateContent>
    <mc:AlternateContent xmlns:mc="http://schemas.openxmlformats.org/markup-compatibility/2006">
      <mc:Choice Requires="x14">
        <oleObject progId="Equation.3" shapeId="11345" r:id="rId12">
          <objectPr defaultSize="0" autoPict="0" r:id="rId13">
            <anchor moveWithCells="1">
              <from>
                <xdr:col>1</xdr:col>
                <xdr:colOff>466725</xdr:colOff>
                <xdr:row>205</xdr:row>
                <xdr:rowOff>19050</xdr:rowOff>
              </from>
              <to>
                <xdr:col>3</xdr:col>
                <xdr:colOff>209550</xdr:colOff>
                <xdr:row>206</xdr:row>
                <xdr:rowOff>19050</xdr:rowOff>
              </to>
            </anchor>
          </objectPr>
        </oleObject>
      </mc:Choice>
      <mc:Fallback>
        <oleObject progId="Equation.3" shapeId="11345" r:id="rId12"/>
      </mc:Fallback>
    </mc:AlternateContent>
    <mc:AlternateContent xmlns:mc="http://schemas.openxmlformats.org/markup-compatibility/2006">
      <mc:Choice Requires="x14">
        <oleObject progId="Equation.3" shapeId="11349" r:id="rId14">
          <objectPr defaultSize="0" autoPict="0" r:id="rId15">
            <anchor moveWithCells="1">
              <from>
                <xdr:col>0</xdr:col>
                <xdr:colOff>904875</xdr:colOff>
                <xdr:row>223</xdr:row>
                <xdr:rowOff>9525</xdr:rowOff>
              </from>
              <to>
                <xdr:col>2</xdr:col>
                <xdr:colOff>590550</xdr:colOff>
                <xdr:row>225</xdr:row>
                <xdr:rowOff>19050</xdr:rowOff>
              </to>
            </anchor>
          </objectPr>
        </oleObject>
      </mc:Choice>
      <mc:Fallback>
        <oleObject progId="Equation.3" shapeId="11349" r:id="rId14"/>
      </mc:Fallback>
    </mc:AlternateContent>
    <mc:AlternateContent xmlns:mc="http://schemas.openxmlformats.org/markup-compatibility/2006">
      <mc:Choice Requires="x14">
        <oleObject progId="Equation.3" shapeId="11353" r:id="rId16">
          <objectPr defaultSize="0" autoPict="0" r:id="rId17">
            <anchor moveWithCells="1">
              <from>
                <xdr:col>1</xdr:col>
                <xdr:colOff>228600</xdr:colOff>
                <xdr:row>181</xdr:row>
                <xdr:rowOff>19050</xdr:rowOff>
              </from>
              <to>
                <xdr:col>1</xdr:col>
                <xdr:colOff>1047750</xdr:colOff>
                <xdr:row>181</xdr:row>
                <xdr:rowOff>247650</xdr:rowOff>
              </to>
            </anchor>
          </objectPr>
        </oleObject>
      </mc:Choice>
      <mc:Fallback>
        <oleObject progId="Equation.3" shapeId="11353" r:id="rId16"/>
      </mc:Fallback>
    </mc:AlternateContent>
    <mc:AlternateContent xmlns:mc="http://schemas.openxmlformats.org/markup-compatibility/2006">
      <mc:Choice Requires="x14">
        <oleObject progId="Equation.3" shapeId="11354" r:id="rId18">
          <objectPr defaultSize="0" autoPict="0" r:id="rId19">
            <anchor moveWithCells="1">
              <from>
                <xdr:col>0</xdr:col>
                <xdr:colOff>533400</xdr:colOff>
                <xdr:row>188</xdr:row>
                <xdr:rowOff>38100</xdr:rowOff>
              </from>
              <to>
                <xdr:col>1</xdr:col>
                <xdr:colOff>1114425</xdr:colOff>
                <xdr:row>188</xdr:row>
                <xdr:rowOff>228600</xdr:rowOff>
              </to>
            </anchor>
          </objectPr>
        </oleObject>
      </mc:Choice>
      <mc:Fallback>
        <oleObject progId="Equation.3" shapeId="11354" r:id="rId18"/>
      </mc:Fallback>
    </mc:AlternateContent>
    <mc:AlternateContent xmlns:mc="http://schemas.openxmlformats.org/markup-compatibility/2006">
      <mc:Choice Requires="x14">
        <oleObject progId="Equation.3" shapeId="11355" r:id="rId20">
          <objectPr defaultSize="0" autoPict="0" r:id="rId21">
            <anchor moveWithCells="1">
              <from>
                <xdr:col>1</xdr:col>
                <xdr:colOff>361950</xdr:colOff>
                <xdr:row>179</xdr:row>
                <xdr:rowOff>276225</xdr:rowOff>
              </from>
              <to>
                <xdr:col>1</xdr:col>
                <xdr:colOff>1009650</xdr:colOff>
                <xdr:row>180</xdr:row>
                <xdr:rowOff>276225</xdr:rowOff>
              </to>
            </anchor>
          </objectPr>
        </oleObject>
      </mc:Choice>
      <mc:Fallback>
        <oleObject progId="Equation.3" shapeId="11355" r:id="rId20"/>
      </mc:Fallback>
    </mc:AlternateContent>
    <mc:AlternateContent xmlns:mc="http://schemas.openxmlformats.org/markup-compatibility/2006">
      <mc:Choice Requires="x14">
        <oleObject progId="Equation.3" shapeId="11356" r:id="rId22">
          <objectPr defaultSize="0" autoPict="0" r:id="rId23">
            <anchor moveWithCells="1">
              <from>
                <xdr:col>1</xdr:col>
                <xdr:colOff>133350</xdr:colOff>
                <xdr:row>203</xdr:row>
                <xdr:rowOff>19050</xdr:rowOff>
              </from>
              <to>
                <xdr:col>2</xdr:col>
                <xdr:colOff>247650</xdr:colOff>
                <xdr:row>205</xdr:row>
                <xdr:rowOff>0</xdr:rowOff>
              </to>
            </anchor>
          </objectPr>
        </oleObject>
      </mc:Choice>
      <mc:Fallback>
        <oleObject progId="Equation.3" shapeId="11356" r:id="rId22"/>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H66"/>
  <sheetViews>
    <sheetView showGridLines="0" topLeftCell="B1" zoomScaleNormal="100" workbookViewId="0">
      <selection activeCell="D2" sqref="D2"/>
    </sheetView>
  </sheetViews>
  <sheetFormatPr defaultColWidth="8.85546875" defaultRowHeight="15" x14ac:dyDescent="0.2"/>
  <cols>
    <col min="1" max="1" width="11.28515625" style="65" customWidth="1"/>
    <col min="2" max="2" width="13.85546875" style="71" customWidth="1"/>
    <col min="3" max="3" width="47.28515625" style="65" customWidth="1"/>
    <col min="4" max="4" width="18.42578125" style="65" customWidth="1"/>
    <col min="5" max="5" width="10.28515625" style="65" customWidth="1"/>
    <col min="6" max="6" width="15.42578125" style="65" customWidth="1"/>
    <col min="7" max="16384" width="8.85546875" style="65"/>
  </cols>
  <sheetData>
    <row r="1" spans="2:8" x14ac:dyDescent="0.2">
      <c r="D1" s="149" t="s">
        <v>2</v>
      </c>
      <c r="E1" s="150" t="s">
        <v>177</v>
      </c>
    </row>
    <row r="2" spans="2:8" ht="14.45" customHeight="1" x14ac:dyDescent="0.2">
      <c r="B2" s="801" t="s">
        <v>35</v>
      </c>
      <c r="C2" s="74" t="s">
        <v>1</v>
      </c>
      <c r="D2" s="151">
        <f>MAX('CMP LRFR output'!D31/8,1)</f>
        <v>1.875</v>
      </c>
    </row>
    <row r="3" spans="2:8" ht="14.45" customHeight="1" x14ac:dyDescent="0.2">
      <c r="B3" s="801"/>
      <c r="C3" s="74" t="s">
        <v>178</v>
      </c>
      <c r="D3" s="151">
        <f>MAX('CMP LRFR output'!D31/4,1)</f>
        <v>3.75</v>
      </c>
      <c r="G3" s="142"/>
      <c r="H3" s="142"/>
    </row>
    <row r="4" spans="2:8" ht="14.45" customHeight="1" x14ac:dyDescent="0.2">
      <c r="B4" s="801"/>
      <c r="C4" s="74" t="s">
        <v>179</v>
      </c>
      <c r="D4" s="151">
        <f>IF('CMP LRFR output'!D31*12&lt;=48,MAX('CMP LRFR output'!D31/2,1),MAX('CMP LRFR output'!D31/2.75,2))</f>
        <v>5.4545454545454541</v>
      </c>
    </row>
    <row r="5" spans="2:8" ht="14.45" customHeight="1" x14ac:dyDescent="0.2">
      <c r="B5" s="801"/>
      <c r="C5" s="74" t="s">
        <v>180</v>
      </c>
      <c r="D5" s="151">
        <f>MAX('CMP LRFR output'!D31/8,1)</f>
        <v>1.875</v>
      </c>
    </row>
    <row r="6" spans="2:8" ht="14.45" customHeight="1" x14ac:dyDescent="0.2">
      <c r="B6" s="801"/>
      <c r="C6" s="74" t="s">
        <v>181</v>
      </c>
      <c r="D6" s="151" t="str">
        <f>IF('CMP Input'!D36="Long Span Structural Plate",VLOOKUP('CMP LRFR output'!B49,B22:C28,2, FALSE),"-")</f>
        <v>-</v>
      </c>
    </row>
    <row r="7" spans="2:8" ht="14.45" customHeight="1" x14ac:dyDescent="0.2">
      <c r="B7" s="157"/>
      <c r="C7" s="37"/>
      <c r="D7" s="164"/>
    </row>
    <row r="8" spans="2:8" ht="14.45" customHeight="1" x14ac:dyDescent="0.2">
      <c r="B8" s="802" t="s">
        <v>92</v>
      </c>
      <c r="C8" s="74" t="s">
        <v>93</v>
      </c>
      <c r="D8" s="164"/>
    </row>
    <row r="9" spans="2:8" ht="14.45" customHeight="1" x14ac:dyDescent="0.2">
      <c r="B9" s="803"/>
      <c r="C9" s="74" t="s">
        <v>94</v>
      </c>
      <c r="D9" s="164"/>
      <c r="G9" s="142"/>
      <c r="H9" s="142"/>
    </row>
    <row r="10" spans="2:8" ht="14.45" customHeight="1" x14ac:dyDescent="0.2">
      <c r="B10" s="157"/>
      <c r="C10" s="37"/>
      <c r="D10" s="164"/>
    </row>
    <row r="11" spans="2:8" ht="14.45" customHeight="1" x14ac:dyDescent="0.2">
      <c r="B11" s="810" t="s">
        <v>95</v>
      </c>
      <c r="C11" s="81" t="s">
        <v>98</v>
      </c>
      <c r="D11" s="164"/>
    </row>
    <row r="12" spans="2:8" ht="14.45" customHeight="1" x14ac:dyDescent="0.2">
      <c r="B12" s="811"/>
      <c r="C12" s="82" t="s">
        <v>99</v>
      </c>
      <c r="D12" s="164"/>
    </row>
    <row r="13" spans="2:8" ht="14.45" customHeight="1" x14ac:dyDescent="0.2">
      <c r="B13" s="812"/>
      <c r="C13" s="82" t="s">
        <v>100</v>
      </c>
      <c r="D13" s="164"/>
    </row>
    <row r="14" spans="2:8" ht="14.45" customHeight="1" x14ac:dyDescent="0.2">
      <c r="B14" s="157"/>
      <c r="C14" s="37"/>
      <c r="D14" s="164"/>
    </row>
    <row r="15" spans="2:8" ht="12.75" x14ac:dyDescent="0.2">
      <c r="B15" s="152" t="s">
        <v>182</v>
      </c>
      <c r="C15" s="158"/>
    </row>
    <row r="16" spans="2:8" ht="15" customHeight="1" x14ac:dyDescent="0.2">
      <c r="B16" s="157"/>
      <c r="C16" s="161" t="s">
        <v>86</v>
      </c>
    </row>
    <row r="17" spans="2:7" ht="15" customHeight="1" x14ac:dyDescent="0.2">
      <c r="B17" s="157" t="s">
        <v>87</v>
      </c>
      <c r="C17" s="160">
        <f>IF(C21="&lt;= 15'",0.111,IF(C21="15'-17'",0.14,IF(C21="17'-20'",0.17,IF(C21="20'-23'",0.218,IF(C21="23'-25'",0.249,"-")))))</f>
        <v>0.111</v>
      </c>
      <c r="D17" s="37" t="s">
        <v>88</v>
      </c>
    </row>
    <row r="18" spans="2:7" ht="15" customHeight="1" x14ac:dyDescent="0.2">
      <c r="B18" s="157"/>
      <c r="C18" s="158"/>
    </row>
    <row r="19" spans="2:7" ht="15" customHeight="1" x14ac:dyDescent="0.2">
      <c r="B19" s="152" t="s">
        <v>183</v>
      </c>
      <c r="C19" s="158"/>
    </row>
    <row r="20" spans="2:7" ht="15" customHeight="1" x14ac:dyDescent="0.2">
      <c r="B20" s="153" t="s">
        <v>82</v>
      </c>
      <c r="C20" s="154">
        <f>'CMP LRFR output'!D32</f>
        <v>9.5</v>
      </c>
      <c r="D20" s="37" t="s">
        <v>26</v>
      </c>
    </row>
    <row r="21" spans="2:7" ht="15" customHeight="1" x14ac:dyDescent="0.2">
      <c r="B21" s="155" t="s">
        <v>3</v>
      </c>
      <c r="C21" s="155" t="str">
        <f>IF(C20&lt;=15,"&lt;= 15'", IF(C20&lt;17,"15'-17'",IF(C20&lt;20,"17'-20'",IF(C20&lt;23,"20'-23'",IF(C20&lt;25, "23'-25'", IF(C20&gt;25, "&gt;25'"))))))</f>
        <v>&lt;= 15'</v>
      </c>
      <c r="D21" s="229" t="s">
        <v>83</v>
      </c>
    </row>
    <row r="22" spans="2:7" ht="15" customHeight="1" x14ac:dyDescent="0.2">
      <c r="B22" s="156">
        <v>0.111</v>
      </c>
      <c r="C22" s="151">
        <f>IF(C21="&lt;= 15'",2.5,"-")</f>
        <v>2.5</v>
      </c>
    </row>
    <row r="23" spans="2:7" ht="15" customHeight="1" x14ac:dyDescent="0.2">
      <c r="B23" s="156">
        <v>0.14000000000000001</v>
      </c>
      <c r="C23" s="151">
        <f>IF(C21="&lt;= 15'",2.5,IF(C21="15'-17'",3, "-"))</f>
        <v>2.5</v>
      </c>
    </row>
    <row r="24" spans="2:7" ht="15" customHeight="1" x14ac:dyDescent="0.2">
      <c r="B24" s="156">
        <v>0.17</v>
      </c>
      <c r="C24" s="151">
        <f>IF(C21="&lt;= 15'",2.5,IF(C21="15'-17'",3,IF(C21="17'-20'",3,"-")))</f>
        <v>2.5</v>
      </c>
    </row>
    <row r="25" spans="2:7" ht="15" customHeight="1" x14ac:dyDescent="0.2">
      <c r="B25" s="156">
        <v>0.188</v>
      </c>
      <c r="C25" s="151">
        <f>IF(C21="&lt;= 15'",2.5,IF(C21="15'-17'",3,IF(C21="17'-20'",3,"-")))</f>
        <v>2.5</v>
      </c>
      <c r="F25" s="228"/>
      <c r="G25" s="164"/>
    </row>
    <row r="26" spans="2:7" ht="15" customHeight="1" x14ac:dyDescent="0.2">
      <c r="B26" s="156">
        <v>0.218</v>
      </c>
      <c r="C26" s="151">
        <f>IF(C21="&lt;= 15'",2,IF(C21="15'-17'",2.5,IF(C21="17'-20'",2.5,IF(C21="20'-23'",3,"-"))))</f>
        <v>2</v>
      </c>
      <c r="F26" s="228"/>
      <c r="G26" s="164"/>
    </row>
    <row r="27" spans="2:7" ht="15" customHeight="1" x14ac:dyDescent="0.2">
      <c r="B27" s="156">
        <v>0.249</v>
      </c>
      <c r="C27" s="151">
        <f>IF(C21="&lt;= 15'",2,IF(C21="15'-17'",2,IF(C21="17'-20'",2.5,IF(C21="20'-23'",3,IF(C21="23'-25'",4,"-")))))</f>
        <v>2</v>
      </c>
      <c r="F27" s="228"/>
      <c r="G27" s="164"/>
    </row>
    <row r="28" spans="2:7" ht="15" customHeight="1" x14ac:dyDescent="0.2">
      <c r="B28" s="156">
        <v>0.28000000000000003</v>
      </c>
      <c r="C28" s="151">
        <f>IF(C21="&lt;= 15'",2,IF(C21="15'-17'",2,IF(C21="17'-20'",2.5,IF(C21="20'-23'",3,IF(C21="23'-25'",4,"-")))))</f>
        <v>2</v>
      </c>
      <c r="F28" s="228"/>
      <c r="G28" s="164"/>
    </row>
    <row r="29" spans="2:7" ht="15" customHeight="1" x14ac:dyDescent="0.2">
      <c r="B29" s="157"/>
      <c r="C29" s="158"/>
      <c r="F29" s="228"/>
      <c r="G29" s="164"/>
    </row>
    <row r="30" spans="2:7" ht="15" customHeight="1" x14ac:dyDescent="0.2"/>
    <row r="31" spans="2:7" ht="14.45" customHeight="1" x14ac:dyDescent="0.2">
      <c r="C31" s="230" t="s">
        <v>185</v>
      </c>
      <c r="D31" s="159" t="s">
        <v>84</v>
      </c>
      <c r="E31" s="159" t="s">
        <v>85</v>
      </c>
      <c r="F31" s="155" t="s">
        <v>30</v>
      </c>
    </row>
    <row r="32" spans="2:7" ht="12" x14ac:dyDescent="0.2">
      <c r="B32" s="807" t="s">
        <v>29</v>
      </c>
      <c r="C32" s="38" t="s">
        <v>23</v>
      </c>
      <c r="D32" s="66">
        <v>45</v>
      </c>
      <c r="E32" s="66">
        <v>33</v>
      </c>
      <c r="F32" s="66">
        <v>29000</v>
      </c>
    </row>
    <row r="33" spans="2:6" ht="12" x14ac:dyDescent="0.2">
      <c r="B33" s="808"/>
      <c r="C33" s="38" t="s">
        <v>65</v>
      </c>
      <c r="D33" s="66">
        <v>35</v>
      </c>
      <c r="E33" s="66">
        <v>24</v>
      </c>
      <c r="F33" s="66">
        <v>10000</v>
      </c>
    </row>
    <row r="34" spans="2:6" ht="12" x14ac:dyDescent="0.2">
      <c r="B34" s="808"/>
      <c r="C34" s="38" t="s">
        <v>66</v>
      </c>
      <c r="D34" s="66">
        <v>34</v>
      </c>
      <c r="E34" s="66">
        <v>24</v>
      </c>
      <c r="F34" s="66">
        <v>10000</v>
      </c>
    </row>
    <row r="35" spans="2:6" ht="12" x14ac:dyDescent="0.2">
      <c r="B35" s="808"/>
      <c r="C35" s="67" t="s">
        <v>27</v>
      </c>
      <c r="D35" s="66">
        <v>31</v>
      </c>
      <c r="E35" s="66">
        <v>24</v>
      </c>
      <c r="F35" s="66">
        <v>10000</v>
      </c>
    </row>
    <row r="36" spans="2:6" ht="12" x14ac:dyDescent="0.2">
      <c r="B36" s="809"/>
      <c r="C36" s="67" t="s">
        <v>28</v>
      </c>
      <c r="D36" s="66">
        <v>27</v>
      </c>
      <c r="E36" s="66">
        <v>20</v>
      </c>
      <c r="F36" s="66">
        <v>10000</v>
      </c>
    </row>
    <row r="37" spans="2:6" ht="27" customHeight="1" x14ac:dyDescent="0.2"/>
    <row r="38" spans="2:6" ht="21.6" customHeight="1" x14ac:dyDescent="0.2">
      <c r="B38" s="47" t="s">
        <v>22</v>
      </c>
      <c r="C38" s="47" t="s">
        <v>21</v>
      </c>
    </row>
    <row r="39" spans="2:6" ht="12.75" x14ac:dyDescent="0.2">
      <c r="B39" s="46">
        <v>16</v>
      </c>
      <c r="C39" s="45">
        <v>6.4000000000000001E-2</v>
      </c>
    </row>
    <row r="40" spans="2:6" ht="12.75" x14ac:dyDescent="0.2">
      <c r="B40" s="46">
        <v>14</v>
      </c>
      <c r="C40" s="45">
        <v>7.9000000000000001E-2</v>
      </c>
    </row>
    <row r="41" spans="2:6" ht="12.75" x14ac:dyDescent="0.2">
      <c r="B41" s="46">
        <v>12</v>
      </c>
      <c r="C41" s="45">
        <v>0.111</v>
      </c>
    </row>
    <row r="42" spans="2:6" ht="12.75" x14ac:dyDescent="0.2">
      <c r="B42" s="46">
        <v>10</v>
      </c>
      <c r="C42" s="45">
        <v>0.14000000000000001</v>
      </c>
    </row>
    <row r="43" spans="2:6" ht="12.75" x14ac:dyDescent="0.2">
      <c r="B43" s="46">
        <v>8</v>
      </c>
      <c r="C43" s="45">
        <v>0.17</v>
      </c>
    </row>
    <row r="44" spans="2:6" ht="12.75" x14ac:dyDescent="0.2">
      <c r="B44" s="46">
        <v>7</v>
      </c>
      <c r="C44" s="45">
        <v>0.188</v>
      </c>
    </row>
    <row r="45" spans="2:6" ht="12.75" x14ac:dyDescent="0.2">
      <c r="B45" s="46">
        <v>5</v>
      </c>
      <c r="C45" s="45">
        <v>0.218</v>
      </c>
      <c r="E45" s="65" t="s">
        <v>12</v>
      </c>
    </row>
    <row r="46" spans="2:6" ht="12.75" x14ac:dyDescent="0.2">
      <c r="B46" s="46">
        <v>3</v>
      </c>
      <c r="C46" s="45">
        <v>0.249</v>
      </c>
    </row>
    <row r="47" spans="2:6" ht="12.75" x14ac:dyDescent="0.2">
      <c r="B47" s="46">
        <v>1</v>
      </c>
      <c r="C47" s="45">
        <v>0.28000000000000003</v>
      </c>
    </row>
    <row r="48" spans="2:6" ht="12.75" x14ac:dyDescent="0.2">
      <c r="B48" s="48" t="s">
        <v>6</v>
      </c>
      <c r="C48" s="140">
        <f>'CMP Input'!E50</f>
        <v>0.25</v>
      </c>
      <c r="D48" s="37" t="s">
        <v>55</v>
      </c>
    </row>
    <row r="49" spans="2:3" ht="12.75" x14ac:dyDescent="0.2">
      <c r="B49" s="5"/>
      <c r="C49" s="76"/>
    </row>
    <row r="50" spans="2:3" ht="12.75" x14ac:dyDescent="0.2">
      <c r="B50" s="5"/>
      <c r="C50" s="76"/>
    </row>
    <row r="51" spans="2:3" ht="18.75" x14ac:dyDescent="0.2">
      <c r="B51" s="804" t="s">
        <v>37</v>
      </c>
      <c r="C51" s="78" t="s">
        <v>38</v>
      </c>
    </row>
    <row r="52" spans="2:3" ht="18.75" x14ac:dyDescent="0.2">
      <c r="B52" s="805"/>
      <c r="C52" s="78" t="s">
        <v>39</v>
      </c>
    </row>
    <row r="53" spans="2:3" ht="18.75" x14ac:dyDescent="0.2">
      <c r="B53" s="805"/>
      <c r="C53" s="78" t="s">
        <v>40</v>
      </c>
    </row>
    <row r="54" spans="2:3" ht="18.75" x14ac:dyDescent="0.2">
      <c r="B54" s="805"/>
      <c r="C54" s="78" t="s">
        <v>41</v>
      </c>
    </row>
    <row r="55" spans="2:3" ht="18.75" x14ac:dyDescent="0.2">
      <c r="B55" s="805"/>
      <c r="C55" s="78" t="s">
        <v>42</v>
      </c>
    </row>
    <row r="56" spans="2:3" ht="18.75" x14ac:dyDescent="0.2">
      <c r="B56" s="805"/>
      <c r="C56" s="79" t="s">
        <v>43</v>
      </c>
    </row>
    <row r="57" spans="2:3" ht="18.75" x14ac:dyDescent="0.2">
      <c r="B57" s="805"/>
      <c r="C57" s="78" t="s">
        <v>44</v>
      </c>
    </row>
    <row r="58" spans="2:3" ht="18.75" x14ac:dyDescent="0.2">
      <c r="B58" s="805"/>
      <c r="C58" s="78" t="s">
        <v>45</v>
      </c>
    </row>
    <row r="59" spans="2:3" ht="18.75" x14ac:dyDescent="0.2">
      <c r="B59" s="805"/>
      <c r="C59" s="78" t="s">
        <v>46</v>
      </c>
    </row>
    <row r="60" spans="2:3" ht="18.75" x14ac:dyDescent="0.2">
      <c r="B60" s="805"/>
      <c r="C60" s="78" t="s">
        <v>47</v>
      </c>
    </row>
    <row r="61" spans="2:3" ht="18.75" x14ac:dyDescent="0.2">
      <c r="B61" s="805"/>
      <c r="C61" s="78" t="s">
        <v>48</v>
      </c>
    </row>
    <row r="62" spans="2:3" ht="18.75" x14ac:dyDescent="0.2">
      <c r="B62" s="805"/>
      <c r="C62" s="78" t="s">
        <v>49</v>
      </c>
    </row>
    <row r="63" spans="2:3" ht="18.75" x14ac:dyDescent="0.2">
      <c r="B63" s="805"/>
      <c r="C63" s="79" t="s">
        <v>50</v>
      </c>
    </row>
    <row r="64" spans="2:3" ht="18.75" x14ac:dyDescent="0.2">
      <c r="B64" s="805"/>
      <c r="C64" s="78" t="s">
        <v>51</v>
      </c>
    </row>
    <row r="65" spans="2:3" ht="15.75" x14ac:dyDescent="0.2">
      <c r="B65" s="806"/>
      <c r="C65" s="78" t="s">
        <v>6</v>
      </c>
    </row>
    <row r="66" spans="2:3" ht="12.75" x14ac:dyDescent="0.2">
      <c r="B66" s="65"/>
      <c r="C66" s="77"/>
    </row>
  </sheetData>
  <mergeCells count="5">
    <mergeCell ref="B2:B6"/>
    <mergeCell ref="B8:B9"/>
    <mergeCell ref="B51:B65"/>
    <mergeCell ref="B32:B36"/>
    <mergeCell ref="B11:B13"/>
  </mergeCells>
  <pageMargins left="0.7" right="0.7" top="0.75" bottom="0.75" header="0.3" footer="0.3"/>
  <pageSetup paperSize="17" scale="98" orientation="landscape" r:id="rId1"/>
  <rowBreaks count="1" manualBreakCount="1">
    <brk id="37"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37"/>
  <sheetViews>
    <sheetView showGridLines="0" topLeftCell="E1" zoomScaleNormal="100" workbookViewId="0">
      <selection activeCell="E8" sqref="A8:XFD8"/>
    </sheetView>
  </sheetViews>
  <sheetFormatPr defaultRowHeight="12.75" x14ac:dyDescent="0.2"/>
  <cols>
    <col min="1" max="1" width="6.5703125" customWidth="1"/>
    <col min="2" max="2" width="10.7109375" customWidth="1"/>
    <col min="3" max="3" width="7" customWidth="1"/>
    <col min="4" max="4" width="6.28515625" customWidth="1"/>
    <col min="5" max="5" width="9.85546875" customWidth="1"/>
    <col min="6" max="6" width="6.42578125" customWidth="1"/>
    <col min="7" max="7" width="5.7109375" customWidth="1"/>
    <col min="8" max="8" width="11.85546875" customWidth="1"/>
    <col min="9" max="9" width="7" customWidth="1"/>
    <col min="10" max="10" width="5.7109375" customWidth="1"/>
    <col min="11" max="12" width="9.7109375" customWidth="1"/>
    <col min="13" max="13" width="5.85546875" customWidth="1"/>
    <col min="14" max="14" width="6" customWidth="1"/>
    <col min="15" max="15" width="10.5703125" customWidth="1"/>
    <col min="16" max="16" width="9.7109375" customWidth="1"/>
    <col min="18" max="18" width="9.85546875" customWidth="1"/>
    <col min="19" max="19" width="9.28515625" customWidth="1"/>
    <col min="21" max="21" width="10.28515625" customWidth="1"/>
    <col min="24" max="24" width="11.28515625" customWidth="1"/>
  </cols>
  <sheetData>
    <row r="1" spans="1:24" ht="35.450000000000003" customHeight="1" thickBot="1" x14ac:dyDescent="0.35">
      <c r="A1" s="824" t="s">
        <v>163</v>
      </c>
      <c r="B1" s="825"/>
      <c r="C1" s="826"/>
      <c r="E1" s="268"/>
      <c r="F1" s="268"/>
      <c r="G1" s="268"/>
      <c r="H1" s="268" t="s">
        <v>184</v>
      </c>
      <c r="I1" s="268"/>
      <c r="J1" s="268"/>
      <c r="K1" s="268"/>
      <c r="L1" s="268"/>
      <c r="M1" s="268"/>
      <c r="N1" s="268"/>
      <c r="O1" s="268"/>
      <c r="P1" s="268"/>
      <c r="Q1" s="268"/>
      <c r="R1" s="268"/>
      <c r="S1" s="268"/>
    </row>
    <row r="2" spans="1:24" s="73" customFormat="1" ht="18" customHeight="1" thickBot="1" x14ac:dyDescent="0.25">
      <c r="A2" s="822" t="s">
        <v>23</v>
      </c>
      <c r="B2" s="823"/>
      <c r="C2" s="813" t="s">
        <v>68</v>
      </c>
      <c r="D2" s="814"/>
      <c r="E2" s="815"/>
      <c r="F2" s="813" t="s">
        <v>67</v>
      </c>
      <c r="G2" s="814"/>
      <c r="H2" s="815"/>
      <c r="I2" s="813" t="s">
        <v>69</v>
      </c>
      <c r="J2" s="814"/>
      <c r="K2" s="815"/>
      <c r="L2" s="269"/>
      <c r="M2" s="813" t="s">
        <v>70</v>
      </c>
      <c r="N2" s="814"/>
      <c r="O2" s="815"/>
      <c r="P2" s="813" t="s">
        <v>71</v>
      </c>
      <c r="Q2" s="814"/>
      <c r="R2" s="815"/>
      <c r="S2" s="813" t="s">
        <v>72</v>
      </c>
      <c r="T2" s="814"/>
      <c r="U2" s="815"/>
      <c r="V2" s="813" t="s">
        <v>73</v>
      </c>
      <c r="W2" s="814"/>
      <c r="X2" s="815"/>
    </row>
    <row r="3" spans="1:24" s="89" customFormat="1" ht="19.149999999999999" customHeight="1" thickBot="1" x14ac:dyDescent="0.25">
      <c r="A3" s="144" t="s">
        <v>81</v>
      </c>
      <c r="B3" s="143" t="s">
        <v>20</v>
      </c>
      <c r="C3" s="86" t="s">
        <v>56</v>
      </c>
      <c r="D3" s="87" t="s">
        <v>5</v>
      </c>
      <c r="E3" s="88" t="s">
        <v>57</v>
      </c>
      <c r="F3" s="86" t="s">
        <v>56</v>
      </c>
      <c r="G3" s="87" t="s">
        <v>5</v>
      </c>
      <c r="H3" s="88" t="s">
        <v>57</v>
      </c>
      <c r="I3" s="86" t="s">
        <v>56</v>
      </c>
      <c r="J3" s="87" t="s">
        <v>5</v>
      </c>
      <c r="K3" s="88" t="s">
        <v>57</v>
      </c>
      <c r="L3" s="270"/>
      <c r="M3" s="86" t="s">
        <v>56</v>
      </c>
      <c r="N3" s="87" t="s">
        <v>5</v>
      </c>
      <c r="O3" s="88" t="s">
        <v>57</v>
      </c>
      <c r="P3" s="86" t="s">
        <v>56</v>
      </c>
      <c r="Q3" s="87" t="s">
        <v>5</v>
      </c>
      <c r="R3" s="88" t="s">
        <v>57</v>
      </c>
      <c r="S3" s="86" t="s">
        <v>56</v>
      </c>
      <c r="T3" s="87" t="s">
        <v>5</v>
      </c>
      <c r="U3" s="88" t="s">
        <v>57</v>
      </c>
      <c r="V3" s="86" t="s">
        <v>56</v>
      </c>
      <c r="W3" s="87" t="s">
        <v>5</v>
      </c>
      <c r="X3" s="88" t="s">
        <v>57</v>
      </c>
    </row>
    <row r="4" spans="1:24" x14ac:dyDescent="0.2">
      <c r="A4" s="145"/>
      <c r="B4" s="113">
        <v>2.8000000000000001E-2</v>
      </c>
      <c r="C4" s="55">
        <v>0.30399999999999999</v>
      </c>
      <c r="D4" s="104"/>
      <c r="E4" s="92"/>
      <c r="F4" s="90"/>
      <c r="G4" s="91"/>
      <c r="H4" s="92"/>
      <c r="I4" s="90"/>
      <c r="J4" s="91"/>
      <c r="K4" s="92"/>
      <c r="L4" s="271"/>
      <c r="M4" s="90"/>
      <c r="N4" s="91"/>
      <c r="O4" s="92"/>
      <c r="P4" s="99"/>
      <c r="Q4" s="100"/>
      <c r="R4" s="101"/>
      <c r="S4" s="99"/>
      <c r="T4" s="100"/>
      <c r="U4" s="101"/>
      <c r="V4" s="99"/>
      <c r="W4" s="100"/>
      <c r="X4" s="101"/>
    </row>
    <row r="5" spans="1:24" x14ac:dyDescent="0.2">
      <c r="A5" s="146"/>
      <c r="B5" s="114">
        <v>3.4000000000000002E-2</v>
      </c>
      <c r="C5" s="50">
        <v>0.38</v>
      </c>
      <c r="D5" s="105"/>
      <c r="E5" s="98"/>
      <c r="F5" s="106"/>
      <c r="G5" s="107"/>
      <c r="H5" s="98"/>
      <c r="I5" s="93"/>
      <c r="J5" s="59"/>
      <c r="K5" s="94"/>
      <c r="L5" s="58"/>
      <c r="M5" s="93"/>
      <c r="N5" s="59"/>
      <c r="O5" s="94"/>
      <c r="P5" s="2"/>
      <c r="R5" s="3"/>
      <c r="S5" s="2"/>
      <c r="U5" s="3"/>
      <c r="V5" s="2"/>
      <c r="X5" s="3"/>
    </row>
    <row r="6" spans="1:24" x14ac:dyDescent="0.2">
      <c r="A6" s="146"/>
      <c r="B6" s="114">
        <v>0.04</v>
      </c>
      <c r="C6" s="50">
        <v>0.45600000000000002</v>
      </c>
      <c r="D6" s="49">
        <v>8.1600000000000006E-2</v>
      </c>
      <c r="E6" s="51">
        <f>0.253</f>
        <v>0.253</v>
      </c>
      <c r="F6" s="50">
        <v>0.46500000000000002</v>
      </c>
      <c r="G6" s="49">
        <v>0.17019999999999999</v>
      </c>
      <c r="H6" s="51">
        <v>1.121</v>
      </c>
      <c r="I6" s="93"/>
      <c r="J6" s="59"/>
      <c r="K6" s="94"/>
      <c r="L6" s="58"/>
      <c r="M6" s="93"/>
      <c r="N6" s="59"/>
      <c r="O6" s="94"/>
      <c r="P6" s="2"/>
      <c r="R6" s="3"/>
      <c r="S6" s="2"/>
      <c r="U6" s="3"/>
      <c r="V6" s="2"/>
      <c r="X6" s="3"/>
    </row>
    <row r="7" spans="1:24" x14ac:dyDescent="0.2">
      <c r="A7" s="146"/>
      <c r="B7" s="114">
        <v>5.1999999999999998E-2</v>
      </c>
      <c r="C7" s="50">
        <v>0.60799999999999998</v>
      </c>
      <c r="D7" s="49">
        <v>8.2400000000000001E-2</v>
      </c>
      <c r="E7" s="51">
        <v>0.34399999999999997</v>
      </c>
      <c r="F7" s="50">
        <v>0.61899999999999999</v>
      </c>
      <c r="G7" s="49">
        <v>0.17069999999999999</v>
      </c>
      <c r="H7" s="51">
        <v>1.5</v>
      </c>
      <c r="I7" s="106"/>
      <c r="J7" s="107"/>
      <c r="K7" s="98"/>
      <c r="L7" s="272"/>
      <c r="M7" s="106"/>
      <c r="N7" s="107"/>
      <c r="O7" s="98"/>
      <c r="P7" s="120"/>
      <c r="Q7" s="110"/>
      <c r="R7" s="121"/>
      <c r="S7" s="120"/>
      <c r="T7" s="110"/>
      <c r="U7" s="121"/>
      <c r="V7" s="2"/>
      <c r="X7" s="3"/>
    </row>
    <row r="8" spans="1:24" x14ac:dyDescent="0.2">
      <c r="A8" s="148">
        <v>16</v>
      </c>
      <c r="B8" s="114">
        <v>6.4000000000000001E-2</v>
      </c>
      <c r="C8" s="50">
        <v>0.76100000000000001</v>
      </c>
      <c r="D8" s="49">
        <v>8.3199999999999996E-2</v>
      </c>
      <c r="E8" s="51">
        <v>0.439</v>
      </c>
      <c r="F8" s="50">
        <v>0.77500000000000002</v>
      </c>
      <c r="G8" s="49">
        <v>0.17119999999999999</v>
      </c>
      <c r="H8" s="51">
        <v>1.8919999999999999</v>
      </c>
      <c r="I8" s="50">
        <v>0.89</v>
      </c>
      <c r="J8" s="49">
        <v>0.3417</v>
      </c>
      <c r="K8" s="51">
        <v>8.6590000000000007</v>
      </c>
      <c r="L8" s="273"/>
      <c r="M8" s="50">
        <v>0.79400000000000004</v>
      </c>
      <c r="N8" s="49">
        <v>0.36570000000000003</v>
      </c>
      <c r="O8" s="51">
        <v>8.85</v>
      </c>
      <c r="P8" s="50">
        <v>0.50900000000000001</v>
      </c>
      <c r="Q8" s="49">
        <v>0.25800000000000001</v>
      </c>
      <c r="R8" s="51">
        <v>2.8210000000000002</v>
      </c>
      <c r="S8" s="50">
        <v>0.374</v>
      </c>
      <c r="T8" s="49">
        <v>0.38300000000000001</v>
      </c>
      <c r="U8" s="51">
        <v>4.58</v>
      </c>
      <c r="V8" s="2"/>
      <c r="X8" s="3"/>
    </row>
    <row r="9" spans="1:24" x14ac:dyDescent="0.2">
      <c r="A9" s="148">
        <v>14</v>
      </c>
      <c r="B9" s="114">
        <v>7.9000000000000001E-2</v>
      </c>
      <c r="C9" s="50">
        <v>0.95</v>
      </c>
      <c r="D9" s="49">
        <v>8.4599999999999995E-2</v>
      </c>
      <c r="E9" s="51">
        <v>0.56699999999999995</v>
      </c>
      <c r="F9" s="50">
        <v>0.96799999999999997</v>
      </c>
      <c r="G9" s="49">
        <v>0.1721</v>
      </c>
      <c r="H9" s="51">
        <v>2.3919999999999999</v>
      </c>
      <c r="I9" s="50">
        <v>1.113</v>
      </c>
      <c r="J9" s="49">
        <v>0.3427</v>
      </c>
      <c r="K9" s="51">
        <v>10.882999999999999</v>
      </c>
      <c r="L9" s="273"/>
      <c r="M9" s="50">
        <v>0.99199999999999999</v>
      </c>
      <c r="N9" s="49">
        <v>0.36630000000000001</v>
      </c>
      <c r="O9" s="51">
        <v>11.092000000000001</v>
      </c>
      <c r="P9" s="50">
        <v>0.71199999999999997</v>
      </c>
      <c r="Q9" s="49">
        <v>0.25</v>
      </c>
      <c r="R9" s="51">
        <v>3.7010000000000001</v>
      </c>
      <c r="S9" s="50">
        <v>0.52400000000000002</v>
      </c>
      <c r="T9" s="49">
        <v>0.373</v>
      </c>
      <c r="U9" s="51">
        <v>6.08</v>
      </c>
      <c r="V9" s="120"/>
      <c r="W9" s="110"/>
      <c r="X9" s="121"/>
    </row>
    <row r="10" spans="1:24" x14ac:dyDescent="0.2">
      <c r="A10" s="148">
        <v>12</v>
      </c>
      <c r="B10" s="114">
        <v>0.109</v>
      </c>
      <c r="C10" s="50">
        <v>1.331</v>
      </c>
      <c r="D10" s="49">
        <v>8.7900000000000006E-2</v>
      </c>
      <c r="E10" s="51">
        <v>0.85699999999999998</v>
      </c>
      <c r="F10" s="50">
        <v>1.3560000000000001</v>
      </c>
      <c r="G10" s="49">
        <v>0.1741</v>
      </c>
      <c r="H10" s="51">
        <v>3.4249999999999998</v>
      </c>
      <c r="I10" s="50">
        <v>1.56</v>
      </c>
      <c r="J10" s="49">
        <v>0.3448</v>
      </c>
      <c r="K10" s="51">
        <v>15.459</v>
      </c>
      <c r="L10" s="273"/>
      <c r="M10" s="50">
        <v>1.39</v>
      </c>
      <c r="N10" s="49">
        <v>0.36770000000000003</v>
      </c>
      <c r="O10" s="51">
        <v>15.65</v>
      </c>
      <c r="P10" s="50">
        <v>1.1839999999999999</v>
      </c>
      <c r="Q10" s="49">
        <v>0.23699999999999999</v>
      </c>
      <c r="R10" s="51">
        <v>5.5369999999999999</v>
      </c>
      <c r="S10" s="50">
        <v>0.88300000000000001</v>
      </c>
      <c r="T10" s="49">
        <v>0.35499999999999998</v>
      </c>
      <c r="U10" s="51">
        <v>9.26</v>
      </c>
      <c r="V10" s="50">
        <v>1.556</v>
      </c>
      <c r="W10" s="49">
        <v>0.68200000000000005</v>
      </c>
      <c r="X10" s="177">
        <v>60.411000000000001</v>
      </c>
    </row>
    <row r="11" spans="1:24" x14ac:dyDescent="0.2">
      <c r="A11" s="148">
        <v>10</v>
      </c>
      <c r="B11" s="115">
        <v>0.13800000000000001</v>
      </c>
      <c r="C11" s="50">
        <v>1.712</v>
      </c>
      <c r="D11" s="49">
        <v>9.1899999999999996E-2</v>
      </c>
      <c r="E11" s="51">
        <v>1.2050000000000001</v>
      </c>
      <c r="F11" s="50">
        <v>1.744</v>
      </c>
      <c r="G11" s="49">
        <v>0.17660000000000001</v>
      </c>
      <c r="H11" s="51">
        <v>4.5330000000000004</v>
      </c>
      <c r="I11" s="50">
        <v>2.008</v>
      </c>
      <c r="J11" s="49">
        <v>0.34720000000000001</v>
      </c>
      <c r="K11" s="51">
        <v>20.183</v>
      </c>
      <c r="L11" s="273"/>
      <c r="M11" s="50">
        <v>1.788</v>
      </c>
      <c r="N11" s="49">
        <v>0.36930000000000002</v>
      </c>
      <c r="O11" s="51">
        <v>20.317</v>
      </c>
      <c r="P11" s="50">
        <v>1.7170000000000001</v>
      </c>
      <c r="Q11" s="49">
        <v>0.22800000000000001</v>
      </c>
      <c r="R11" s="51">
        <v>7.4329999999999998</v>
      </c>
      <c r="S11" s="118"/>
      <c r="T11" s="119"/>
      <c r="U11" s="108"/>
      <c r="V11" s="50">
        <v>2.0030000000000001</v>
      </c>
      <c r="W11" s="49">
        <v>0.68400000000000005</v>
      </c>
      <c r="X11" s="177">
        <v>78.174999999999997</v>
      </c>
    </row>
    <row r="12" spans="1:24" x14ac:dyDescent="0.2">
      <c r="A12" s="148">
        <v>8</v>
      </c>
      <c r="B12" s="115">
        <v>0.16800000000000001</v>
      </c>
      <c r="C12" s="50">
        <v>2.0979999999999999</v>
      </c>
      <c r="D12" s="49">
        <v>9.6699999999999994E-2</v>
      </c>
      <c r="E12" s="51">
        <v>1.635</v>
      </c>
      <c r="F12" s="50">
        <v>2.133</v>
      </c>
      <c r="G12" s="49">
        <v>0.17949999999999999</v>
      </c>
      <c r="H12" s="51">
        <v>5.7249999999999996</v>
      </c>
      <c r="I12" s="50">
        <v>2.4580000000000002</v>
      </c>
      <c r="J12" s="49">
        <v>0.34989999999999999</v>
      </c>
      <c r="K12" s="51">
        <v>25.091000000000001</v>
      </c>
      <c r="L12" s="273"/>
      <c r="M12" s="50">
        <v>2.1859999999999999</v>
      </c>
      <c r="N12" s="49">
        <v>0.37109999999999999</v>
      </c>
      <c r="O12" s="51">
        <v>25.091999999999999</v>
      </c>
      <c r="P12" s="122"/>
      <c r="Q12" s="123"/>
      <c r="R12" s="124"/>
      <c r="S12" s="2"/>
      <c r="U12" s="3"/>
      <c r="V12" s="50">
        <v>2.4489999999999998</v>
      </c>
      <c r="W12" s="49">
        <v>0.68600000000000005</v>
      </c>
      <c r="X12" s="177">
        <v>96.162999999999997</v>
      </c>
    </row>
    <row r="13" spans="1:24" x14ac:dyDescent="0.2">
      <c r="A13" s="148">
        <v>7</v>
      </c>
      <c r="B13" s="116">
        <v>0.188</v>
      </c>
      <c r="C13" s="118"/>
      <c r="D13" s="119"/>
      <c r="E13" s="108"/>
      <c r="F13" s="118"/>
      <c r="G13" s="119"/>
      <c r="H13" s="108"/>
      <c r="I13" s="118"/>
      <c r="J13" s="119"/>
      <c r="K13" s="108"/>
      <c r="L13" s="274"/>
      <c r="M13" s="118"/>
      <c r="N13" s="119"/>
      <c r="O13" s="108"/>
      <c r="P13" s="2"/>
      <c r="R13" s="3"/>
      <c r="S13" s="2"/>
      <c r="U13" s="3"/>
      <c r="V13" s="50">
        <v>2.7389999999999999</v>
      </c>
      <c r="W13" s="49">
        <v>0.68799999999999994</v>
      </c>
      <c r="X13" s="177">
        <v>108</v>
      </c>
    </row>
    <row r="14" spans="1:24" x14ac:dyDescent="0.2">
      <c r="A14" s="148">
        <v>5</v>
      </c>
      <c r="B14" s="116">
        <v>0.218</v>
      </c>
      <c r="C14" s="93"/>
      <c r="D14" s="59"/>
      <c r="E14" s="94"/>
      <c r="F14" s="93"/>
      <c r="G14" s="59"/>
      <c r="H14" s="94"/>
      <c r="I14" s="93"/>
      <c r="J14" s="59"/>
      <c r="K14" s="94"/>
      <c r="L14" s="58"/>
      <c r="M14" s="93"/>
      <c r="N14" s="59"/>
      <c r="O14" s="94"/>
      <c r="P14" s="2"/>
      <c r="R14" s="3"/>
      <c r="S14" s="2"/>
      <c r="U14" s="3"/>
      <c r="V14" s="50">
        <v>3.1989999999999998</v>
      </c>
      <c r="W14" s="49">
        <v>0.69</v>
      </c>
      <c r="X14" s="177">
        <v>126.922</v>
      </c>
    </row>
    <row r="15" spans="1:24" x14ac:dyDescent="0.2">
      <c r="A15" s="148">
        <v>3</v>
      </c>
      <c r="B15" s="116">
        <v>0.249</v>
      </c>
      <c r="C15" s="93"/>
      <c r="D15" s="59"/>
      <c r="E15" s="94"/>
      <c r="F15" s="93"/>
      <c r="G15" s="59"/>
      <c r="H15" s="94"/>
      <c r="I15" s="93"/>
      <c r="J15" s="59"/>
      <c r="K15" s="94"/>
      <c r="L15" s="58"/>
      <c r="M15" s="93"/>
      <c r="N15" s="59"/>
      <c r="O15" s="94"/>
      <c r="P15" s="2"/>
      <c r="R15" s="3"/>
      <c r="S15" s="2"/>
      <c r="U15" s="3"/>
      <c r="V15" s="50">
        <v>3.65</v>
      </c>
      <c r="W15" s="49">
        <v>0.69199999999999995</v>
      </c>
      <c r="X15" s="177">
        <v>146.172</v>
      </c>
    </row>
    <row r="16" spans="1:24" x14ac:dyDescent="0.2">
      <c r="A16" s="148">
        <v>1</v>
      </c>
      <c r="B16" s="116">
        <v>0.28000000000000003</v>
      </c>
      <c r="C16" s="93"/>
      <c r="D16" s="59"/>
      <c r="E16" s="94"/>
      <c r="F16" s="93"/>
      <c r="G16" s="59"/>
      <c r="H16" s="94"/>
      <c r="I16" s="93"/>
      <c r="J16" s="59"/>
      <c r="K16" s="94"/>
      <c r="L16" s="58"/>
      <c r="M16" s="93"/>
      <c r="N16" s="59"/>
      <c r="O16" s="94"/>
      <c r="P16" s="2"/>
      <c r="R16" s="3"/>
      <c r="S16" s="2"/>
      <c r="U16" s="3"/>
      <c r="V16" s="50">
        <v>4.1189999999999998</v>
      </c>
      <c r="W16" s="49">
        <v>0.69499999999999995</v>
      </c>
      <c r="X16" s="177">
        <v>165.83600000000001</v>
      </c>
    </row>
    <row r="17" spans="1:24" x14ac:dyDescent="0.2">
      <c r="A17" s="146"/>
      <c r="B17" s="114">
        <v>0.318</v>
      </c>
      <c r="C17" s="93"/>
      <c r="D17" s="59"/>
      <c r="E17" s="94"/>
      <c r="F17" s="93"/>
      <c r="G17" s="59"/>
      <c r="H17" s="94"/>
      <c r="I17" s="93"/>
      <c r="J17" s="59"/>
      <c r="K17" s="94"/>
      <c r="L17" s="58"/>
      <c r="M17" s="93"/>
      <c r="N17" s="59"/>
      <c r="O17" s="94"/>
      <c r="P17" s="2"/>
      <c r="R17" s="3"/>
      <c r="S17" s="2"/>
      <c r="U17" s="3"/>
      <c r="V17" s="50">
        <v>4.6710000000000003</v>
      </c>
      <c r="W17" s="49">
        <v>0.69799999999999995</v>
      </c>
      <c r="X17" s="177">
        <v>190</v>
      </c>
    </row>
    <row r="18" spans="1:24" ht="13.5" thickBot="1" x14ac:dyDescent="0.25">
      <c r="A18" s="147"/>
      <c r="B18" s="117">
        <v>0.38</v>
      </c>
      <c r="C18" s="95"/>
      <c r="D18" s="96"/>
      <c r="E18" s="97"/>
      <c r="F18" s="95"/>
      <c r="G18" s="96"/>
      <c r="H18" s="97"/>
      <c r="I18" s="95"/>
      <c r="J18" s="96"/>
      <c r="K18" s="97"/>
      <c r="L18" s="275"/>
      <c r="M18" s="95"/>
      <c r="N18" s="96"/>
      <c r="O18" s="97"/>
      <c r="P18" s="102"/>
      <c r="Q18" s="1"/>
      <c r="R18" s="103"/>
      <c r="S18" s="102"/>
      <c r="T18" s="1"/>
      <c r="U18" s="103"/>
      <c r="V18" s="52">
        <v>5.6130000000000004</v>
      </c>
      <c r="W18" s="53">
        <v>0.70399999999999996</v>
      </c>
      <c r="X18" s="178">
        <v>232</v>
      </c>
    </row>
    <row r="19" spans="1:24" x14ac:dyDescent="0.2">
      <c r="B19" s="109"/>
      <c r="C19" s="58"/>
      <c r="D19" s="59"/>
      <c r="E19" s="58"/>
      <c r="F19" s="58"/>
      <c r="G19" s="59"/>
      <c r="H19" s="58"/>
      <c r="I19" s="58"/>
      <c r="J19" s="59"/>
      <c r="K19" s="58"/>
      <c r="L19" s="58"/>
      <c r="M19" s="58"/>
      <c r="N19" s="59"/>
      <c r="O19" s="58"/>
    </row>
    <row r="20" spans="1:24" ht="13.5" thickBot="1" x14ac:dyDescent="0.25"/>
    <row r="21" spans="1:24" s="72" customFormat="1" ht="18" customHeight="1" thickBot="1" x14ac:dyDescent="0.25">
      <c r="B21" s="139" t="s">
        <v>24</v>
      </c>
      <c r="C21" s="827" t="s">
        <v>74</v>
      </c>
      <c r="D21" s="828"/>
      <c r="E21" s="829"/>
      <c r="F21" s="827" t="s">
        <v>75</v>
      </c>
      <c r="G21" s="828"/>
      <c r="H21" s="829"/>
      <c r="I21" s="827" t="s">
        <v>76</v>
      </c>
      <c r="J21" s="828"/>
      <c r="K21" s="829"/>
      <c r="L21" s="816" t="s">
        <v>80</v>
      </c>
      <c r="M21" s="817"/>
      <c r="N21" s="817"/>
      <c r="O21" s="818"/>
      <c r="P21" s="819" t="s">
        <v>77</v>
      </c>
      <c r="Q21" s="820"/>
      <c r="R21" s="821"/>
      <c r="S21" s="819" t="s">
        <v>78</v>
      </c>
      <c r="T21" s="820"/>
      <c r="U21" s="821"/>
      <c r="V21" s="819" t="s">
        <v>79</v>
      </c>
      <c r="W21" s="820"/>
      <c r="X21" s="821"/>
    </row>
    <row r="22" spans="1:24" s="89" customFormat="1" ht="26.45" customHeight="1" thickBot="1" x14ac:dyDescent="0.25">
      <c r="B22" s="129" t="s">
        <v>20</v>
      </c>
      <c r="C22" s="85" t="s">
        <v>56</v>
      </c>
      <c r="D22" s="83" t="s">
        <v>5</v>
      </c>
      <c r="E22" s="84" t="s">
        <v>57</v>
      </c>
      <c r="F22" s="85" t="s">
        <v>56</v>
      </c>
      <c r="G22" s="83" t="s">
        <v>5</v>
      </c>
      <c r="H22" s="84" t="s">
        <v>57</v>
      </c>
      <c r="I22" s="85" t="s">
        <v>56</v>
      </c>
      <c r="J22" s="83" t="s">
        <v>5</v>
      </c>
      <c r="K22" s="84" t="s">
        <v>57</v>
      </c>
      <c r="L22" s="85" t="s">
        <v>56</v>
      </c>
      <c r="M22" s="277" t="s">
        <v>58</v>
      </c>
      <c r="N22" s="83" t="s">
        <v>5</v>
      </c>
      <c r="O22" s="84" t="s">
        <v>57</v>
      </c>
      <c r="P22" s="85" t="s">
        <v>56</v>
      </c>
      <c r="Q22" s="83" t="s">
        <v>5</v>
      </c>
      <c r="R22" s="84" t="s">
        <v>57</v>
      </c>
      <c r="S22" s="85" t="s">
        <v>56</v>
      </c>
      <c r="T22" s="83" t="s">
        <v>5</v>
      </c>
      <c r="U22" s="84" t="s">
        <v>57</v>
      </c>
      <c r="V22" s="85" t="s">
        <v>56</v>
      </c>
      <c r="W22" s="83" t="s">
        <v>5</v>
      </c>
      <c r="X22" s="84" t="s">
        <v>57</v>
      </c>
    </row>
    <row r="23" spans="1:24" x14ac:dyDescent="0.2">
      <c r="B23" s="113">
        <v>4.8000000000000001E-2</v>
      </c>
      <c r="C23" s="55">
        <v>0.60799999999999998</v>
      </c>
      <c r="D23" s="56">
        <v>8.2400000000000001E-2</v>
      </c>
      <c r="E23" s="57">
        <v>0.34399999999999997</v>
      </c>
      <c r="F23" s="136"/>
      <c r="G23" s="137"/>
      <c r="H23" s="138"/>
      <c r="I23" s="136"/>
      <c r="J23" s="137"/>
      <c r="K23" s="138"/>
      <c r="L23" s="136"/>
      <c r="M23" s="276"/>
      <c r="N23" s="137"/>
      <c r="O23" s="138"/>
      <c r="P23" s="133"/>
      <c r="Q23" s="134"/>
      <c r="R23" s="135"/>
      <c r="S23" s="133"/>
      <c r="T23" s="134"/>
      <c r="U23" s="135"/>
      <c r="V23" s="99"/>
      <c r="W23" s="100"/>
      <c r="X23" s="101"/>
    </row>
    <row r="24" spans="1:24" x14ac:dyDescent="0.2">
      <c r="B24" s="114">
        <v>0.06</v>
      </c>
      <c r="C24" s="50">
        <v>0.76100000000000001</v>
      </c>
      <c r="D24" s="49">
        <v>8.3199999999999996E-2</v>
      </c>
      <c r="E24" s="51">
        <v>0.34899999999999998</v>
      </c>
      <c r="F24" s="50">
        <v>0.77500000000000002</v>
      </c>
      <c r="G24" s="49">
        <v>0.17119999999999999</v>
      </c>
      <c r="H24" s="51">
        <v>1.8919999999999999</v>
      </c>
      <c r="I24" s="50">
        <v>0.89</v>
      </c>
      <c r="J24" s="49">
        <v>0.3417</v>
      </c>
      <c r="K24" s="51">
        <v>8.6590000000000007</v>
      </c>
      <c r="L24" s="50">
        <v>0.77500000000000002</v>
      </c>
      <c r="M24" s="278">
        <v>0.38700000000000001</v>
      </c>
      <c r="N24" s="49">
        <v>0.3629</v>
      </c>
      <c r="O24" s="51">
        <v>8.5050000000000008</v>
      </c>
      <c r="P24" s="50">
        <v>0.41499999999999998</v>
      </c>
      <c r="Q24" s="49">
        <v>0.27200000000000002</v>
      </c>
      <c r="R24" s="51">
        <v>2.5579999999999998</v>
      </c>
      <c r="S24" s="50">
        <v>0.312</v>
      </c>
      <c r="T24" s="49">
        <v>0.39600000000000002</v>
      </c>
      <c r="U24" s="51">
        <v>4.08</v>
      </c>
      <c r="V24" s="2"/>
      <c r="X24" s="3"/>
    </row>
    <row r="25" spans="1:24" x14ac:dyDescent="0.2">
      <c r="B25" s="114">
        <v>7.4999999999999997E-2</v>
      </c>
      <c r="C25" s="118"/>
      <c r="D25" s="119"/>
      <c r="E25" s="108"/>
      <c r="F25" s="50">
        <v>0.96799999999999997</v>
      </c>
      <c r="G25" s="49">
        <v>0.1721</v>
      </c>
      <c r="H25" s="51">
        <v>2.3919999999999999</v>
      </c>
      <c r="I25" s="50">
        <v>1.1180000000000001</v>
      </c>
      <c r="J25" s="49">
        <v>0.3427</v>
      </c>
      <c r="K25" s="51">
        <v>10.882999999999999</v>
      </c>
      <c r="L25" s="50">
        <v>0.96799999999999997</v>
      </c>
      <c r="M25" s="278">
        <v>0.48399999999999999</v>
      </c>
      <c r="N25" s="49">
        <v>0.36299999999999999</v>
      </c>
      <c r="O25" s="51">
        <v>10.631</v>
      </c>
      <c r="P25" s="50">
        <v>0.56899999999999995</v>
      </c>
      <c r="Q25" s="49">
        <v>0.26700000000000002</v>
      </c>
      <c r="R25" s="51">
        <v>3.3719999999999999</v>
      </c>
      <c r="S25" s="50">
        <v>0.42699999999999999</v>
      </c>
      <c r="T25" s="49">
        <v>0.39100000000000001</v>
      </c>
      <c r="U25" s="51">
        <v>5.45</v>
      </c>
      <c r="V25" s="2"/>
      <c r="X25" s="3"/>
    </row>
    <row r="26" spans="1:24" x14ac:dyDescent="0.2">
      <c r="B26" s="114">
        <v>0.105</v>
      </c>
      <c r="C26" s="93"/>
      <c r="D26" s="59"/>
      <c r="E26" s="94"/>
      <c r="F26" s="50">
        <v>1.3560000000000001</v>
      </c>
      <c r="G26" s="49">
        <v>0.1741</v>
      </c>
      <c r="H26" s="51">
        <v>3.4249999999999998</v>
      </c>
      <c r="I26" s="50">
        <v>1.56</v>
      </c>
      <c r="J26" s="49">
        <v>0.3448</v>
      </c>
      <c r="K26" s="51">
        <v>15.459</v>
      </c>
      <c r="L26" s="50">
        <v>1.3560000000000001</v>
      </c>
      <c r="M26" s="278">
        <v>0.67800000000000005</v>
      </c>
      <c r="N26" s="49">
        <v>0.36359999999999998</v>
      </c>
      <c r="O26" s="51">
        <v>14.34</v>
      </c>
      <c r="P26" s="50">
        <v>0.91400000000000003</v>
      </c>
      <c r="Q26" s="49">
        <v>0.25800000000000001</v>
      </c>
      <c r="R26" s="51">
        <v>5.0730000000000004</v>
      </c>
      <c r="S26" s="50">
        <v>0.69699999999999995</v>
      </c>
      <c r="T26" s="49">
        <v>0.38</v>
      </c>
      <c r="U26" s="51">
        <v>8.39</v>
      </c>
      <c r="V26" s="2"/>
      <c r="X26" s="3"/>
    </row>
    <row r="27" spans="1:24" x14ac:dyDescent="0.2">
      <c r="B27" s="114">
        <v>0.13500000000000001</v>
      </c>
      <c r="C27" s="93"/>
      <c r="D27" s="59"/>
      <c r="E27" s="94"/>
      <c r="F27" s="50">
        <v>1.7450000000000001</v>
      </c>
      <c r="G27" s="49">
        <v>0.17660000000000001</v>
      </c>
      <c r="H27" s="51">
        <v>4.5330000000000004</v>
      </c>
      <c r="I27" s="50">
        <v>2.0880000000000001</v>
      </c>
      <c r="J27" s="49">
        <v>0.34720000000000001</v>
      </c>
      <c r="K27" s="51">
        <v>20.183</v>
      </c>
      <c r="L27" s="50">
        <v>1.744</v>
      </c>
      <c r="M27" s="278">
        <v>0.872</v>
      </c>
      <c r="N27" s="49">
        <v>0.36459999999999998</v>
      </c>
      <c r="O27" s="51">
        <v>19.318999999999999</v>
      </c>
      <c r="P27" s="50">
        <v>1.29</v>
      </c>
      <c r="Q27" s="49">
        <v>0.252</v>
      </c>
      <c r="R27" s="51">
        <v>6.8259999999999996</v>
      </c>
      <c r="S27" s="50">
        <v>1.0089999999999999</v>
      </c>
      <c r="T27" s="49">
        <v>0.36899999999999999</v>
      </c>
      <c r="U27" s="51">
        <v>11.48</v>
      </c>
      <c r="V27" s="2"/>
      <c r="X27" s="3"/>
    </row>
    <row r="28" spans="1:24" ht="13.5" thickBot="1" x14ac:dyDescent="0.25">
      <c r="B28" s="125">
        <v>0.16400000000000001</v>
      </c>
      <c r="C28" s="95"/>
      <c r="D28" s="96"/>
      <c r="E28" s="97"/>
      <c r="F28" s="52">
        <v>2.13</v>
      </c>
      <c r="G28" s="53">
        <v>0.17949999999999999</v>
      </c>
      <c r="H28" s="54">
        <v>5.7249999999999996</v>
      </c>
      <c r="I28" s="52">
        <v>2.4580000000000002</v>
      </c>
      <c r="J28" s="53">
        <v>0.34989999999999999</v>
      </c>
      <c r="K28" s="54">
        <v>25.091000000000001</v>
      </c>
      <c r="L28" s="52">
        <v>2.133</v>
      </c>
      <c r="M28" s="279">
        <v>1.0660000000000001</v>
      </c>
      <c r="N28" s="53">
        <v>0.36559999999999998</v>
      </c>
      <c r="O28" s="54">
        <v>23.76</v>
      </c>
      <c r="P28" s="4"/>
      <c r="Q28" s="111"/>
      <c r="R28" s="112"/>
      <c r="S28" s="4"/>
      <c r="T28" s="111"/>
      <c r="U28" s="112"/>
      <c r="V28" s="102"/>
      <c r="W28" s="1"/>
      <c r="X28" s="103"/>
    </row>
    <row r="29" spans="1:24" x14ac:dyDescent="0.2">
      <c r="B29" s="126">
        <v>0.1</v>
      </c>
      <c r="C29" s="99"/>
      <c r="D29" s="100"/>
      <c r="E29" s="101"/>
      <c r="F29" s="99"/>
      <c r="G29" s="100"/>
      <c r="H29" s="101"/>
      <c r="I29" s="99"/>
      <c r="J29" s="100"/>
      <c r="K29" s="101"/>
      <c r="L29" s="99"/>
      <c r="M29" s="100"/>
      <c r="N29" s="100"/>
      <c r="O29" s="101"/>
      <c r="P29" s="99"/>
      <c r="Q29" s="100"/>
      <c r="R29" s="101"/>
      <c r="S29" s="99"/>
      <c r="T29" s="100"/>
      <c r="U29" s="130"/>
      <c r="V29" s="55">
        <v>1.4039999999999999</v>
      </c>
      <c r="W29" s="56">
        <v>0.84379999999999999</v>
      </c>
      <c r="X29" s="200">
        <v>83.064999999999998</v>
      </c>
    </row>
    <row r="30" spans="1:24" x14ac:dyDescent="0.2">
      <c r="B30" s="127">
        <v>0.125</v>
      </c>
      <c r="C30" s="2"/>
      <c r="E30" s="3"/>
      <c r="F30" s="2"/>
      <c r="H30" s="3"/>
      <c r="I30" s="2"/>
      <c r="K30" s="3"/>
      <c r="L30" s="2"/>
      <c r="O30" s="3"/>
      <c r="P30" s="2"/>
      <c r="R30" s="3"/>
      <c r="S30" s="2"/>
      <c r="U30" s="131"/>
      <c r="V30" s="50">
        <v>1.75</v>
      </c>
      <c r="W30" s="49">
        <v>0.84440000000000004</v>
      </c>
      <c r="X30" s="177">
        <v>103.991</v>
      </c>
    </row>
    <row r="31" spans="1:24" x14ac:dyDescent="0.2">
      <c r="B31" s="127">
        <v>0.15</v>
      </c>
      <c r="C31" s="2"/>
      <c r="E31" s="3"/>
      <c r="F31" s="2"/>
      <c r="H31" s="3"/>
      <c r="I31" s="2"/>
      <c r="K31" s="3"/>
      <c r="L31" s="2"/>
      <c r="O31" s="3"/>
      <c r="P31" s="2"/>
      <c r="R31" s="3"/>
      <c r="S31" s="2"/>
      <c r="U31" s="131"/>
      <c r="V31" s="50">
        <v>2.1</v>
      </c>
      <c r="W31" s="49">
        <v>0.84489999999999998</v>
      </c>
      <c r="X31" s="177">
        <v>124.883</v>
      </c>
    </row>
    <row r="32" spans="1:24" x14ac:dyDescent="0.2">
      <c r="B32" s="127">
        <v>0.17499999999999999</v>
      </c>
      <c r="C32" s="2"/>
      <c r="E32" s="3"/>
      <c r="F32" s="2"/>
      <c r="H32" s="3"/>
      <c r="I32" s="2"/>
      <c r="K32" s="3"/>
      <c r="L32" s="2"/>
      <c r="O32" s="3"/>
      <c r="P32" s="2"/>
      <c r="R32" s="3"/>
      <c r="S32" s="2"/>
      <c r="U32" s="131"/>
      <c r="V32" s="50">
        <v>2.4489999999999998</v>
      </c>
      <c r="W32" s="49">
        <v>0.84540000000000004</v>
      </c>
      <c r="X32" s="177">
        <v>145.89500000000001</v>
      </c>
    </row>
    <row r="33" spans="2:24" x14ac:dyDescent="0.2">
      <c r="B33" s="127">
        <v>0.2</v>
      </c>
      <c r="C33" s="2"/>
      <c r="E33" s="3"/>
      <c r="F33" s="2"/>
      <c r="H33" s="3"/>
      <c r="I33" s="2"/>
      <c r="K33" s="3"/>
      <c r="L33" s="2"/>
      <c r="O33" s="3"/>
      <c r="P33" s="2"/>
      <c r="R33" s="3"/>
      <c r="S33" s="2"/>
      <c r="U33" s="131"/>
      <c r="V33" s="50">
        <v>2.7989999999999999</v>
      </c>
      <c r="W33" s="49">
        <v>0.84599999999999997</v>
      </c>
      <c r="X33" s="177">
        <v>166.959</v>
      </c>
    </row>
    <row r="34" spans="2:24" x14ac:dyDescent="0.2">
      <c r="B34" s="127">
        <v>0.22500000000000001</v>
      </c>
      <c r="C34" s="2"/>
      <c r="E34" s="3"/>
      <c r="F34" s="2"/>
      <c r="H34" s="3"/>
      <c r="I34" s="2"/>
      <c r="K34" s="3"/>
      <c r="L34" s="2"/>
      <c r="O34" s="3"/>
      <c r="P34" s="2"/>
      <c r="R34" s="3"/>
      <c r="S34" s="2"/>
      <c r="U34" s="131"/>
      <c r="V34" s="50">
        <v>3.149</v>
      </c>
      <c r="W34" s="49">
        <v>0.8468</v>
      </c>
      <c r="X34" s="177">
        <v>188.179</v>
      </c>
    </row>
    <row r="35" spans="2:24" ht="13.5" thickBot="1" x14ac:dyDescent="0.25">
      <c r="B35" s="128">
        <v>0.25</v>
      </c>
      <c r="C35" s="102"/>
      <c r="D35" s="1"/>
      <c r="E35" s="103"/>
      <c r="F35" s="102"/>
      <c r="G35" s="1"/>
      <c r="H35" s="103"/>
      <c r="I35" s="102"/>
      <c r="J35" s="1"/>
      <c r="K35" s="103"/>
      <c r="L35" s="102"/>
      <c r="M35" s="1"/>
      <c r="N35" s="1"/>
      <c r="O35" s="103"/>
      <c r="P35" s="102"/>
      <c r="Q35" s="1"/>
      <c r="R35" s="103"/>
      <c r="S35" s="102"/>
      <c r="T35" s="1"/>
      <c r="U35" s="132"/>
      <c r="V35" s="52">
        <v>3.5009999999999999</v>
      </c>
      <c r="W35" s="53">
        <v>0.84730000000000005</v>
      </c>
      <c r="X35" s="178">
        <v>209.434</v>
      </c>
    </row>
    <row r="36" spans="2:24" x14ac:dyDescent="0.2">
      <c r="U36" s="58"/>
      <c r="V36" s="58"/>
      <c r="W36" s="59"/>
      <c r="X36" s="58"/>
    </row>
    <row r="37" spans="2:24" x14ac:dyDescent="0.2">
      <c r="U37" s="75"/>
      <c r="V37" s="58"/>
      <c r="W37" s="59"/>
      <c r="X37" s="58"/>
    </row>
  </sheetData>
  <mergeCells count="16">
    <mergeCell ref="A2:B2"/>
    <mergeCell ref="A1:C1"/>
    <mergeCell ref="C21:E21"/>
    <mergeCell ref="F21:H21"/>
    <mergeCell ref="I21:K21"/>
    <mergeCell ref="C2:E2"/>
    <mergeCell ref="F2:H2"/>
    <mergeCell ref="I2:K2"/>
    <mergeCell ref="M2:O2"/>
    <mergeCell ref="L21:O21"/>
    <mergeCell ref="P2:R2"/>
    <mergeCell ref="S2:U2"/>
    <mergeCell ref="V2:X2"/>
    <mergeCell ref="P21:R21"/>
    <mergeCell ref="S21:U21"/>
    <mergeCell ref="V21:X21"/>
  </mergeCells>
  <pageMargins left="0.7" right="0.7" top="0.75" bottom="0.75" header="0.3" footer="0.3"/>
  <pageSetup paperSize="17"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T36"/>
  <sheetViews>
    <sheetView showGridLines="0" zoomScaleNormal="100" workbookViewId="0">
      <selection activeCell="D8" sqref="D8"/>
    </sheetView>
  </sheetViews>
  <sheetFormatPr defaultRowHeight="12.75" x14ac:dyDescent="0.2"/>
  <cols>
    <col min="1" max="1" width="6.5703125" customWidth="1"/>
    <col min="2" max="2" width="10.7109375" customWidth="1"/>
    <col min="3" max="3" width="12.28515625" customWidth="1"/>
    <col min="4" max="4" width="10.28515625" customWidth="1"/>
    <col min="5" max="5" width="12.85546875" customWidth="1"/>
    <col min="6" max="6" width="10.42578125" customWidth="1"/>
    <col min="7" max="7" width="11" customWidth="1"/>
    <col min="8" max="8" width="14" customWidth="1"/>
    <col min="9" max="9" width="13.7109375" customWidth="1"/>
    <col min="10" max="10" width="12.42578125" customWidth="1"/>
    <col min="11" max="11" width="9.85546875" customWidth="1"/>
    <col min="12" max="12" width="12.28515625" customWidth="1"/>
    <col min="13" max="13" width="10.28515625" customWidth="1"/>
    <col min="16" max="16" width="11.28515625" customWidth="1"/>
  </cols>
  <sheetData>
    <row r="1" spans="1:20" ht="27" customHeight="1" thickBot="1" x14ac:dyDescent="0.35">
      <c r="A1" s="830" t="s">
        <v>110</v>
      </c>
      <c r="B1" s="831"/>
      <c r="C1" s="831"/>
      <c r="D1" s="831"/>
      <c r="E1" s="832"/>
      <c r="F1" s="188" t="s">
        <v>185</v>
      </c>
      <c r="G1" s="187"/>
      <c r="I1" s="187"/>
      <c r="J1" s="187"/>
      <c r="K1" s="187"/>
      <c r="L1" s="187"/>
    </row>
    <row r="2" spans="1:20" s="73" customFormat="1" ht="34.15" customHeight="1" thickBot="1" x14ac:dyDescent="0.25">
      <c r="A2" s="822" t="s">
        <v>23</v>
      </c>
      <c r="B2" s="823"/>
      <c r="C2" s="834" t="s">
        <v>118</v>
      </c>
      <c r="D2" s="835"/>
      <c r="E2" s="836"/>
      <c r="F2" s="834" t="s">
        <v>117</v>
      </c>
      <c r="G2" s="836"/>
      <c r="H2" s="813" t="s">
        <v>73</v>
      </c>
      <c r="I2" s="814"/>
      <c r="J2" s="814"/>
      <c r="K2" s="815"/>
      <c r="L2" s="172"/>
      <c r="M2" s="172"/>
      <c r="N2" s="172"/>
      <c r="O2" s="172"/>
      <c r="P2" s="172"/>
    </row>
    <row r="3" spans="1:20" s="171" customFormat="1" ht="24" customHeight="1" thickBot="1" x14ac:dyDescent="0.25">
      <c r="A3" s="169" t="s">
        <v>81</v>
      </c>
      <c r="B3" s="193" t="s">
        <v>20</v>
      </c>
      <c r="C3" s="173" t="s">
        <v>111</v>
      </c>
      <c r="D3" s="174" t="s">
        <v>112</v>
      </c>
      <c r="E3" s="175" t="s">
        <v>113</v>
      </c>
      <c r="F3" s="173" t="s">
        <v>111</v>
      </c>
      <c r="G3" s="175" t="s">
        <v>113</v>
      </c>
      <c r="H3" s="173" t="s">
        <v>106</v>
      </c>
      <c r="I3" s="174" t="s">
        <v>107</v>
      </c>
      <c r="J3" s="174" t="s">
        <v>108</v>
      </c>
      <c r="K3" s="175" t="s">
        <v>109</v>
      </c>
      <c r="L3" s="170"/>
      <c r="M3" s="170"/>
      <c r="N3" s="170"/>
      <c r="O3" s="170"/>
      <c r="P3" s="170"/>
    </row>
    <row r="4" spans="1:20" x14ac:dyDescent="0.2">
      <c r="A4" s="189">
        <v>16</v>
      </c>
      <c r="B4" s="190">
        <v>6.4000000000000001E-2</v>
      </c>
      <c r="C4" s="843">
        <v>0.3125</v>
      </c>
      <c r="D4" s="191">
        <v>16.7</v>
      </c>
      <c r="E4" s="192">
        <v>21.6</v>
      </c>
      <c r="F4" s="838" t="s">
        <v>116</v>
      </c>
      <c r="G4" s="192">
        <v>28.7</v>
      </c>
      <c r="H4" s="2"/>
      <c r="K4" s="94"/>
      <c r="L4" s="59"/>
      <c r="M4" s="58"/>
      <c r="N4" s="58"/>
      <c r="O4" s="59"/>
      <c r="P4" s="58"/>
    </row>
    <row r="5" spans="1:20" x14ac:dyDescent="0.2">
      <c r="A5" s="148">
        <v>14</v>
      </c>
      <c r="B5" s="114">
        <v>7.9000000000000001E-2</v>
      </c>
      <c r="C5" s="844"/>
      <c r="D5" s="176">
        <v>18.2</v>
      </c>
      <c r="E5" s="177">
        <v>29.8</v>
      </c>
      <c r="F5" s="842"/>
      <c r="G5" s="177">
        <v>35.700000000000003</v>
      </c>
      <c r="H5" s="120"/>
      <c r="I5" s="110"/>
      <c r="K5" s="94"/>
      <c r="L5" s="59"/>
      <c r="M5" s="58"/>
      <c r="N5" s="58"/>
      <c r="O5" s="59"/>
      <c r="P5" s="58"/>
    </row>
    <row r="6" spans="1:20" ht="15.6" customHeight="1" x14ac:dyDescent="0.2">
      <c r="A6" s="148">
        <v>12</v>
      </c>
      <c r="B6" s="114">
        <v>0.109</v>
      </c>
      <c r="C6" s="837" t="s">
        <v>116</v>
      </c>
      <c r="D6" s="176">
        <v>23.4</v>
      </c>
      <c r="E6" s="177">
        <v>46.8</v>
      </c>
      <c r="F6" s="845">
        <v>0.4375</v>
      </c>
      <c r="G6" s="177">
        <v>53</v>
      </c>
      <c r="H6" s="837" t="s">
        <v>114</v>
      </c>
      <c r="I6" s="176">
        <v>43</v>
      </c>
      <c r="J6" s="180"/>
      <c r="K6" s="181"/>
      <c r="L6" s="59"/>
      <c r="M6" s="58"/>
      <c r="N6" s="58"/>
      <c r="O6" s="59"/>
      <c r="P6" s="58"/>
    </row>
    <row r="7" spans="1:20" ht="15" customHeight="1" x14ac:dyDescent="0.2">
      <c r="A7" s="148">
        <v>10</v>
      </c>
      <c r="B7" s="115">
        <v>0.13800000000000001</v>
      </c>
      <c r="C7" s="841"/>
      <c r="D7" s="176">
        <v>24.5</v>
      </c>
      <c r="E7" s="177">
        <v>49</v>
      </c>
      <c r="F7" s="846"/>
      <c r="G7" s="177">
        <v>63.7</v>
      </c>
      <c r="H7" s="838"/>
      <c r="I7" s="176">
        <v>62</v>
      </c>
      <c r="J7" s="180"/>
      <c r="K7" s="181"/>
      <c r="L7" s="59"/>
      <c r="M7" s="58"/>
      <c r="N7" s="58"/>
      <c r="O7" s="59"/>
      <c r="P7" s="58"/>
    </row>
    <row r="8" spans="1:20" ht="15" customHeight="1" x14ac:dyDescent="0.2">
      <c r="A8" s="148">
        <v>8</v>
      </c>
      <c r="B8" s="115">
        <v>0.16800000000000001</v>
      </c>
      <c r="C8" s="842"/>
      <c r="D8" s="176">
        <v>25.6</v>
      </c>
      <c r="E8" s="177">
        <v>51.3</v>
      </c>
      <c r="F8" s="847"/>
      <c r="G8" s="177">
        <v>70.7</v>
      </c>
      <c r="H8" s="838"/>
      <c r="I8" s="176">
        <v>81</v>
      </c>
      <c r="J8" s="180"/>
      <c r="K8" s="181"/>
      <c r="L8" s="59"/>
    </row>
    <row r="9" spans="1:20" ht="15" customHeight="1" x14ac:dyDescent="0.2">
      <c r="A9" s="148">
        <v>7</v>
      </c>
      <c r="B9" s="116">
        <v>0.188</v>
      </c>
      <c r="C9" s="118"/>
      <c r="D9" s="119"/>
      <c r="E9" s="108"/>
      <c r="F9" s="118"/>
      <c r="G9" s="108"/>
      <c r="H9" s="838"/>
      <c r="I9" s="176">
        <v>93</v>
      </c>
      <c r="J9" s="180"/>
      <c r="K9" s="181"/>
      <c r="L9" s="59"/>
    </row>
    <row r="10" spans="1:20" ht="15" customHeight="1" x14ac:dyDescent="0.2">
      <c r="A10" s="148">
        <v>5</v>
      </c>
      <c r="B10" s="116">
        <v>0.218</v>
      </c>
      <c r="C10" s="93"/>
      <c r="D10" s="59"/>
      <c r="E10" s="94"/>
      <c r="F10" s="93"/>
      <c r="G10" s="94"/>
      <c r="H10" s="838"/>
      <c r="I10" s="176">
        <v>112</v>
      </c>
      <c r="J10" s="180"/>
      <c r="K10" s="181"/>
      <c r="L10" s="59"/>
    </row>
    <row r="11" spans="1:20" ht="15" customHeight="1" x14ac:dyDescent="0.2">
      <c r="A11" s="148">
        <v>3</v>
      </c>
      <c r="B11" s="116">
        <v>0.249</v>
      </c>
      <c r="C11" s="93"/>
      <c r="D11" s="59"/>
      <c r="E11" s="94"/>
      <c r="F11" s="93"/>
      <c r="G11" s="94"/>
      <c r="H11" s="838"/>
      <c r="I11" s="176">
        <v>132</v>
      </c>
      <c r="J11" s="182"/>
      <c r="K11" s="183"/>
      <c r="L11" s="59"/>
    </row>
    <row r="12" spans="1:20" ht="15" customHeight="1" x14ac:dyDescent="0.2">
      <c r="A12" s="148">
        <v>1</v>
      </c>
      <c r="B12" s="116">
        <v>0.28000000000000003</v>
      </c>
      <c r="C12" s="93"/>
      <c r="D12" s="59"/>
      <c r="E12" s="94"/>
      <c r="F12" s="93"/>
      <c r="G12" s="94"/>
      <c r="H12" s="839"/>
      <c r="I12" s="176">
        <v>144</v>
      </c>
      <c r="J12" s="176">
        <v>180</v>
      </c>
      <c r="K12" s="177">
        <v>194</v>
      </c>
      <c r="L12" s="59"/>
    </row>
    <row r="13" spans="1:20" ht="15" customHeight="1" x14ac:dyDescent="0.2">
      <c r="A13" s="146"/>
      <c r="B13" s="114">
        <v>0.318</v>
      </c>
      <c r="C13" s="93"/>
      <c r="D13" s="59"/>
      <c r="E13" s="94"/>
      <c r="F13" s="93"/>
      <c r="G13" s="94"/>
      <c r="H13" s="837" t="s">
        <v>115</v>
      </c>
      <c r="I13" s="179"/>
      <c r="J13" s="184"/>
      <c r="K13" s="177">
        <v>235</v>
      </c>
      <c r="L13" s="59"/>
    </row>
    <row r="14" spans="1:20" ht="13.5" thickBot="1" x14ac:dyDescent="0.25">
      <c r="A14" s="147"/>
      <c r="B14" s="117">
        <v>0.38</v>
      </c>
      <c r="C14" s="95"/>
      <c r="D14" s="96"/>
      <c r="E14" s="97"/>
      <c r="F14" s="95"/>
      <c r="G14" s="97"/>
      <c r="H14" s="840"/>
      <c r="I14" s="185"/>
      <c r="J14" s="186"/>
      <c r="K14" s="178">
        <v>285</v>
      </c>
      <c r="L14" s="59"/>
    </row>
    <row r="15" spans="1:20" ht="13.5" thickBot="1" x14ac:dyDescent="0.25">
      <c r="B15" s="109"/>
      <c r="C15" s="58"/>
      <c r="D15" s="59"/>
      <c r="E15" s="58"/>
      <c r="F15" s="58"/>
      <c r="G15" s="58"/>
      <c r="H15" s="58"/>
      <c r="I15" s="59"/>
      <c r="J15" s="58"/>
    </row>
    <row r="16" spans="1:20" s="72" customFormat="1" ht="31.9" customHeight="1" thickBot="1" x14ac:dyDescent="0.25">
      <c r="B16" s="139" t="s">
        <v>24</v>
      </c>
      <c r="C16" s="834" t="s">
        <v>119</v>
      </c>
      <c r="D16" s="835"/>
      <c r="E16" s="836"/>
      <c r="F16" s="834" t="s">
        <v>120</v>
      </c>
      <c r="G16" s="836"/>
      <c r="H16" s="834" t="s">
        <v>121</v>
      </c>
      <c r="I16" s="836"/>
      <c r="J16" s="848" t="s">
        <v>54</v>
      </c>
      <c r="K16" s="814"/>
      <c r="L16" s="815"/>
      <c r="M16" s="195"/>
      <c r="N16" s="195"/>
      <c r="O16" s="833"/>
      <c r="P16" s="833"/>
      <c r="Q16" s="833"/>
      <c r="R16" s="833"/>
      <c r="S16" s="833"/>
      <c r="T16" s="833"/>
    </row>
    <row r="17" spans="2:20" s="72" customFormat="1" ht="16.149999999999999" customHeight="1" thickBot="1" x14ac:dyDescent="0.25">
      <c r="B17" s="857" t="s">
        <v>20</v>
      </c>
      <c r="C17" s="859" t="s">
        <v>111</v>
      </c>
      <c r="D17" s="861" t="s">
        <v>112</v>
      </c>
      <c r="E17" s="863" t="s">
        <v>128</v>
      </c>
      <c r="F17" s="859" t="s">
        <v>111</v>
      </c>
      <c r="G17" s="863" t="s">
        <v>113</v>
      </c>
      <c r="H17" s="859" t="s">
        <v>111</v>
      </c>
      <c r="I17" s="863" t="s">
        <v>127</v>
      </c>
      <c r="J17" s="866" t="s">
        <v>125</v>
      </c>
      <c r="K17" s="217" t="s">
        <v>122</v>
      </c>
      <c r="L17" s="218" t="s">
        <v>123</v>
      </c>
      <c r="M17" s="195"/>
      <c r="N17" s="195"/>
      <c r="O17" s="195"/>
      <c r="P17" s="195"/>
      <c r="Q17" s="195"/>
      <c r="R17" s="195"/>
      <c r="S17" s="195"/>
      <c r="T17" s="195"/>
    </row>
    <row r="18" spans="2:20" s="89" customFormat="1" ht="25.9" customHeight="1" thickBot="1" x14ac:dyDescent="0.25">
      <c r="B18" s="858"/>
      <c r="C18" s="860"/>
      <c r="D18" s="862"/>
      <c r="E18" s="864"/>
      <c r="F18" s="860"/>
      <c r="G18" s="864"/>
      <c r="H18" s="860"/>
      <c r="I18" s="864"/>
      <c r="J18" s="867"/>
      <c r="K18" s="198" t="s">
        <v>124</v>
      </c>
      <c r="L18" s="169" t="s">
        <v>126</v>
      </c>
      <c r="M18" s="168"/>
      <c r="N18" s="168"/>
      <c r="O18" s="168"/>
      <c r="P18" s="168"/>
      <c r="Q18" s="168"/>
      <c r="R18" s="168"/>
      <c r="S18" s="168"/>
      <c r="T18" s="168"/>
    </row>
    <row r="19" spans="2:20" ht="13.15" customHeight="1" x14ac:dyDescent="0.2">
      <c r="B19" s="203">
        <v>0.06</v>
      </c>
      <c r="C19" s="849">
        <v>0.3125</v>
      </c>
      <c r="D19" s="199">
        <v>9</v>
      </c>
      <c r="E19" s="200">
        <v>14</v>
      </c>
      <c r="F19" s="851" t="s">
        <v>116</v>
      </c>
      <c r="G19" s="200">
        <v>16.5</v>
      </c>
      <c r="H19" s="865">
        <v>0.5</v>
      </c>
      <c r="I19" s="200">
        <v>16</v>
      </c>
      <c r="J19" s="99"/>
      <c r="K19" s="100"/>
      <c r="L19" s="101"/>
      <c r="M19" s="59"/>
      <c r="N19" s="58"/>
      <c r="O19" s="58"/>
      <c r="P19" s="59"/>
      <c r="Q19" s="58"/>
    </row>
    <row r="20" spans="2:20" ht="13.15" customHeight="1" x14ac:dyDescent="0.2">
      <c r="B20" s="204">
        <v>7.4999999999999997E-2</v>
      </c>
      <c r="C20" s="850"/>
      <c r="D20" s="176">
        <v>9</v>
      </c>
      <c r="E20" s="177">
        <v>18</v>
      </c>
      <c r="F20" s="842"/>
      <c r="G20" s="177">
        <v>20.5</v>
      </c>
      <c r="H20" s="855"/>
      <c r="I20" s="177">
        <v>19.899999999999999</v>
      </c>
      <c r="J20" s="2"/>
      <c r="L20" s="3"/>
      <c r="M20" s="59"/>
      <c r="N20" s="58"/>
      <c r="O20" s="58"/>
      <c r="P20" s="59"/>
      <c r="Q20" s="58"/>
    </row>
    <row r="21" spans="2:20" ht="13.15" customHeight="1" x14ac:dyDescent="0.2">
      <c r="B21" s="204">
        <v>0.105</v>
      </c>
      <c r="C21" s="852" t="s">
        <v>116</v>
      </c>
      <c r="D21" s="176">
        <v>15.6</v>
      </c>
      <c r="E21" s="177">
        <v>31.5</v>
      </c>
      <c r="F21" s="854">
        <v>0.5</v>
      </c>
      <c r="G21" s="177">
        <v>28</v>
      </c>
      <c r="H21" s="855"/>
      <c r="I21" s="177">
        <v>27.9</v>
      </c>
      <c r="J21" s="212"/>
      <c r="K21" s="196"/>
      <c r="L21" s="181"/>
      <c r="M21" s="59"/>
      <c r="N21" s="58"/>
      <c r="O21" s="58"/>
      <c r="P21" s="59"/>
      <c r="Q21" s="58"/>
    </row>
    <row r="22" spans="2:20" ht="13.15" customHeight="1" x14ac:dyDescent="0.2">
      <c r="B22" s="204">
        <v>0.13500000000000001</v>
      </c>
      <c r="C22" s="853"/>
      <c r="D22" s="176">
        <v>16.2</v>
      </c>
      <c r="E22" s="177">
        <v>33</v>
      </c>
      <c r="F22" s="855"/>
      <c r="G22" s="177">
        <v>42</v>
      </c>
      <c r="H22" s="855"/>
      <c r="I22" s="177">
        <v>35.9</v>
      </c>
      <c r="J22" s="212"/>
      <c r="K22" s="196"/>
      <c r="L22" s="181"/>
      <c r="M22" s="59"/>
      <c r="N22" s="58"/>
      <c r="O22" s="58"/>
      <c r="P22" s="59"/>
      <c r="Q22" s="58"/>
    </row>
    <row r="23" spans="2:20" ht="13.9" customHeight="1" thickBot="1" x14ac:dyDescent="0.25">
      <c r="B23" s="205">
        <v>0.16400000000000001</v>
      </c>
      <c r="C23" s="853"/>
      <c r="D23" s="201">
        <v>16.8</v>
      </c>
      <c r="E23" s="202">
        <v>34</v>
      </c>
      <c r="F23" s="855"/>
      <c r="G23" s="202">
        <v>54.5</v>
      </c>
      <c r="H23" s="855"/>
      <c r="I23" s="202">
        <v>43.5</v>
      </c>
      <c r="J23" s="213"/>
      <c r="K23" s="214"/>
      <c r="L23" s="197"/>
    </row>
    <row r="24" spans="2:20" ht="13.15" customHeight="1" x14ac:dyDescent="0.2">
      <c r="B24" s="206">
        <v>0.1</v>
      </c>
      <c r="C24" s="90"/>
      <c r="D24" s="91"/>
      <c r="E24" s="92"/>
      <c r="F24" s="90"/>
      <c r="G24" s="92"/>
      <c r="H24" s="90"/>
      <c r="I24" s="92"/>
      <c r="J24" s="851" t="s">
        <v>114</v>
      </c>
      <c r="K24" s="199">
        <v>28</v>
      </c>
      <c r="L24" s="200">
        <v>26.4</v>
      </c>
      <c r="Q24" s="194"/>
      <c r="R24" s="58"/>
      <c r="S24" s="59"/>
      <c r="T24" s="58"/>
    </row>
    <row r="25" spans="2:20" ht="13.15" customHeight="1" x14ac:dyDescent="0.2">
      <c r="B25" s="207">
        <v>0.125</v>
      </c>
      <c r="C25" s="93"/>
      <c r="D25" s="59"/>
      <c r="E25" s="94"/>
      <c r="F25" s="93"/>
      <c r="G25" s="94"/>
      <c r="H25" s="93"/>
      <c r="I25" s="94"/>
      <c r="J25" s="838"/>
      <c r="K25" s="176">
        <v>41</v>
      </c>
      <c r="L25" s="177">
        <v>34.799999999999997</v>
      </c>
      <c r="Q25" s="194"/>
      <c r="R25" s="58"/>
      <c r="S25" s="59"/>
      <c r="T25" s="58"/>
    </row>
    <row r="26" spans="2:20" ht="13.15" customHeight="1" x14ac:dyDescent="0.2">
      <c r="B26" s="207">
        <v>0.15</v>
      </c>
      <c r="C26" s="93"/>
      <c r="D26" s="59"/>
      <c r="E26" s="94"/>
      <c r="F26" s="93"/>
      <c r="G26" s="94"/>
      <c r="H26" s="93"/>
      <c r="I26" s="94"/>
      <c r="J26" s="838"/>
      <c r="K26" s="176">
        <v>54.1</v>
      </c>
      <c r="L26" s="177">
        <v>44.4</v>
      </c>
      <c r="Q26" s="194"/>
      <c r="R26" s="58"/>
      <c r="S26" s="59"/>
      <c r="T26" s="58"/>
    </row>
    <row r="27" spans="2:20" ht="13.15" customHeight="1" x14ac:dyDescent="0.2">
      <c r="B27" s="207">
        <v>0.17499999999999999</v>
      </c>
      <c r="C27" s="93"/>
      <c r="D27" s="59"/>
      <c r="E27" s="94"/>
      <c r="F27" s="93"/>
      <c r="G27" s="94"/>
      <c r="H27" s="93"/>
      <c r="I27" s="94"/>
      <c r="J27" s="838"/>
      <c r="K27" s="176">
        <v>63.7</v>
      </c>
      <c r="L27" s="177">
        <v>52.8</v>
      </c>
      <c r="Q27" s="194"/>
      <c r="R27" s="58"/>
      <c r="S27" s="59"/>
      <c r="T27" s="58"/>
    </row>
    <row r="28" spans="2:20" ht="13.15" customHeight="1" x14ac:dyDescent="0.2">
      <c r="B28" s="207">
        <v>0.2</v>
      </c>
      <c r="C28" s="93"/>
      <c r="D28" s="59"/>
      <c r="E28" s="94"/>
      <c r="F28" s="93"/>
      <c r="G28" s="94"/>
      <c r="H28" s="93"/>
      <c r="I28" s="94"/>
      <c r="J28" s="838"/>
      <c r="K28" s="176">
        <v>73.400000000000006</v>
      </c>
      <c r="L28" s="177">
        <v>52.8</v>
      </c>
      <c r="Q28" s="194"/>
      <c r="R28" s="58"/>
      <c r="S28" s="59"/>
      <c r="T28" s="58"/>
    </row>
    <row r="29" spans="2:20" ht="13.9" customHeight="1" x14ac:dyDescent="0.2">
      <c r="B29" s="207">
        <v>0.22500000000000001</v>
      </c>
      <c r="C29" s="93"/>
      <c r="D29" s="59"/>
      <c r="E29" s="94"/>
      <c r="F29" s="93"/>
      <c r="G29" s="94"/>
      <c r="H29" s="93"/>
      <c r="I29" s="94"/>
      <c r="J29" s="838"/>
      <c r="K29" s="176">
        <v>83.2</v>
      </c>
      <c r="L29" s="177">
        <v>52.8</v>
      </c>
      <c r="Q29" s="194"/>
      <c r="R29" s="58"/>
      <c r="S29" s="59"/>
      <c r="T29" s="58"/>
    </row>
    <row r="30" spans="2:20" ht="13.5" thickBot="1" x14ac:dyDescent="0.25">
      <c r="B30" s="208">
        <v>0.25</v>
      </c>
      <c r="C30" s="209"/>
      <c r="D30" s="210"/>
      <c r="E30" s="211"/>
      <c r="F30" s="209"/>
      <c r="G30" s="211"/>
      <c r="H30" s="209"/>
      <c r="I30" s="211"/>
      <c r="J30" s="856"/>
      <c r="K30" s="215">
        <v>93.1</v>
      </c>
      <c r="L30" s="216">
        <v>52.8</v>
      </c>
      <c r="M30" s="194"/>
      <c r="N30" s="58"/>
      <c r="O30" s="59"/>
      <c r="P30" s="58"/>
    </row>
    <row r="31" spans="2:20" x14ac:dyDescent="0.2">
      <c r="C31" s="168"/>
      <c r="D31" s="168"/>
      <c r="E31" s="168"/>
      <c r="F31" s="168"/>
      <c r="G31" s="168"/>
      <c r="H31" s="170"/>
      <c r="I31" s="168"/>
      <c r="J31" s="168"/>
      <c r="K31" s="168"/>
      <c r="M31" s="58"/>
      <c r="N31" s="58"/>
      <c r="O31" s="59"/>
      <c r="P31" s="58"/>
    </row>
    <row r="32" spans="2:20" x14ac:dyDescent="0.2">
      <c r="C32" s="58"/>
      <c r="D32" s="59"/>
      <c r="E32" s="58"/>
      <c r="F32" s="58"/>
      <c r="G32" s="58"/>
      <c r="H32" s="58"/>
      <c r="I32" s="59"/>
      <c r="J32" s="58"/>
      <c r="K32" s="58"/>
      <c r="M32" s="75"/>
      <c r="N32" s="58"/>
      <c r="O32" s="59"/>
      <c r="P32" s="58"/>
    </row>
    <row r="33" spans="3:11" x14ac:dyDescent="0.2">
      <c r="C33" s="58"/>
      <c r="D33" s="59"/>
      <c r="E33" s="58"/>
      <c r="F33" s="58"/>
      <c r="G33" s="58"/>
      <c r="H33" s="58"/>
      <c r="I33" s="59"/>
      <c r="J33" s="58"/>
      <c r="K33" s="58"/>
    </row>
    <row r="34" spans="3:11" x14ac:dyDescent="0.2">
      <c r="C34" s="58"/>
      <c r="D34" s="59"/>
      <c r="E34" s="58"/>
      <c r="F34" s="58"/>
      <c r="G34" s="58"/>
      <c r="H34" s="58"/>
      <c r="I34" s="59"/>
      <c r="J34" s="58"/>
      <c r="K34" s="58"/>
    </row>
    <row r="35" spans="3:11" x14ac:dyDescent="0.2">
      <c r="C35" s="58"/>
      <c r="D35" s="59"/>
      <c r="E35" s="58"/>
      <c r="F35" s="58"/>
      <c r="G35" s="58"/>
      <c r="H35" s="58"/>
      <c r="I35" s="59"/>
      <c r="J35" s="58"/>
      <c r="K35" s="58"/>
    </row>
    <row r="36" spans="3:11" x14ac:dyDescent="0.2">
      <c r="C36" s="58"/>
      <c r="D36" s="59"/>
      <c r="E36" s="58"/>
      <c r="F36" s="58"/>
      <c r="G36" s="58"/>
      <c r="H36" s="58"/>
      <c r="I36" s="59"/>
      <c r="J36" s="58"/>
    </row>
  </sheetData>
  <mergeCells count="32">
    <mergeCell ref="J24:J30"/>
    <mergeCell ref="B17:B18"/>
    <mergeCell ref="C17:C18"/>
    <mergeCell ref="D17:D18"/>
    <mergeCell ref="E17:E18"/>
    <mergeCell ref="F17:F18"/>
    <mergeCell ref="G17:G18"/>
    <mergeCell ref="H17:H18"/>
    <mergeCell ref="I17:I18"/>
    <mergeCell ref="H19:H23"/>
    <mergeCell ref="J17:J18"/>
    <mergeCell ref="F16:G16"/>
    <mergeCell ref="C19:C20"/>
    <mergeCell ref="F19:F20"/>
    <mergeCell ref="C21:C23"/>
    <mergeCell ref="F21:F23"/>
    <mergeCell ref="A1:E1"/>
    <mergeCell ref="O16:Q16"/>
    <mergeCell ref="R16:T16"/>
    <mergeCell ref="H2:K2"/>
    <mergeCell ref="A2:B2"/>
    <mergeCell ref="C2:E2"/>
    <mergeCell ref="F2:G2"/>
    <mergeCell ref="H6:H12"/>
    <mergeCell ref="H13:H14"/>
    <mergeCell ref="C6:C8"/>
    <mergeCell ref="C4:C5"/>
    <mergeCell ref="F4:F5"/>
    <mergeCell ref="F6:F8"/>
    <mergeCell ref="J16:L16"/>
    <mergeCell ref="H16:I16"/>
    <mergeCell ref="C16:E16"/>
  </mergeCells>
  <pageMargins left="0.7" right="0.7" top="0.75" bottom="0.75" header="0.3" footer="0.3"/>
  <pageSetup paperSize="17"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J1:AS1"/>
  <sheetViews>
    <sheetView topLeftCell="AM4" zoomScaleNormal="100" workbookViewId="0">
      <selection activeCell="M1" sqref="M1"/>
    </sheetView>
  </sheetViews>
  <sheetFormatPr defaultRowHeight="12.75" x14ac:dyDescent="0.2"/>
  <cols>
    <col min="1" max="1" width="3.7109375" customWidth="1"/>
    <col min="9" max="9" width="8.42578125" customWidth="1"/>
    <col min="17" max="17" width="18.42578125" customWidth="1"/>
    <col min="18" max="18" width="19.28515625" customWidth="1"/>
    <col min="27" max="29" width="2.28515625" customWidth="1"/>
    <col min="35" max="35" width="10.28515625" customWidth="1"/>
    <col min="36" max="36" width="2.5703125" hidden="1" customWidth="1"/>
    <col min="37" max="37" width="22" customWidth="1"/>
    <col min="38" max="38" width="17.5703125" customWidth="1"/>
    <col min="45" max="45" width="2.7109375" hidden="1" customWidth="1"/>
    <col min="54" max="54" width="0.85546875" customWidth="1"/>
    <col min="63" max="63" width="2.5703125" customWidth="1"/>
    <col min="72" max="72" width="2.5703125" customWidth="1"/>
    <col min="81" max="81" width="0.42578125" customWidth="1"/>
    <col min="90" max="90" width="1.28515625" customWidth="1"/>
  </cols>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workbookViewId="0">
      <selection activeCell="I26" sqref="I26"/>
    </sheetView>
  </sheetViews>
  <sheetFormatPr defaultRowHeight="12.75" x14ac:dyDescent="0.2"/>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39"/>
  <sheetViews>
    <sheetView workbookViewId="0">
      <selection activeCell="K29" sqref="K29"/>
    </sheetView>
  </sheetViews>
  <sheetFormatPr defaultRowHeight="12.75" x14ac:dyDescent="0.2"/>
  <sheetData>
    <row r="1" spans="2:13" ht="8.4499999999999993" customHeight="1" x14ac:dyDescent="0.2"/>
    <row r="2" spans="2:13" ht="22.15" customHeight="1" x14ac:dyDescent="0.2">
      <c r="B2" s="869" t="s">
        <v>324</v>
      </c>
      <c r="C2" s="869"/>
      <c r="D2" s="869"/>
      <c r="E2" s="869"/>
      <c r="F2" s="869"/>
      <c r="G2" s="869"/>
      <c r="H2" s="869"/>
      <c r="I2" s="869"/>
      <c r="J2" s="869"/>
      <c r="K2" s="869"/>
      <c r="L2" s="869"/>
      <c r="M2" s="869"/>
    </row>
    <row r="3" spans="2:13" ht="18.600000000000001" customHeight="1" x14ac:dyDescent="0.2">
      <c r="B3" s="870" t="s">
        <v>325</v>
      </c>
      <c r="C3" s="870"/>
      <c r="D3" s="870"/>
      <c r="E3" s="870"/>
      <c r="F3" s="870"/>
      <c r="G3" s="870"/>
      <c r="H3" s="870"/>
      <c r="I3" s="870"/>
      <c r="J3" s="870"/>
      <c r="K3" s="870"/>
    </row>
    <row r="35" spans="1:10" ht="15.75" x14ac:dyDescent="0.2">
      <c r="A35" s="376" t="s">
        <v>326</v>
      </c>
      <c r="B35" s="871" t="s">
        <v>327</v>
      </c>
      <c r="C35" s="871"/>
      <c r="D35" s="871"/>
      <c r="E35" s="871"/>
      <c r="F35" s="871"/>
      <c r="G35" s="871"/>
      <c r="H35" s="871"/>
    </row>
    <row r="36" spans="1:10" ht="18.75" x14ac:dyDescent="0.2">
      <c r="A36" s="376"/>
      <c r="B36" s="871" t="s">
        <v>328</v>
      </c>
      <c r="C36" s="871"/>
      <c r="D36" s="871"/>
      <c r="E36" s="871"/>
      <c r="F36" s="871"/>
      <c r="G36" s="871"/>
      <c r="H36" s="871"/>
      <c r="I36" s="871"/>
    </row>
    <row r="37" spans="1:10" x14ac:dyDescent="0.2">
      <c r="B37" s="872" t="s">
        <v>329</v>
      </c>
      <c r="C37" s="872"/>
      <c r="D37" s="872"/>
      <c r="E37" s="872"/>
      <c r="F37" s="872"/>
      <c r="G37" s="872"/>
      <c r="H37" s="872"/>
      <c r="I37" s="872"/>
      <c r="J37" s="872"/>
    </row>
    <row r="38" spans="1:10" ht="26.45" customHeight="1" x14ac:dyDescent="0.2">
      <c r="B38" s="872"/>
      <c r="C38" s="872"/>
      <c r="D38" s="872"/>
      <c r="E38" s="872"/>
      <c r="F38" s="872"/>
      <c r="G38" s="872"/>
      <c r="H38" s="872"/>
      <c r="I38" s="872"/>
      <c r="J38" s="872"/>
    </row>
    <row r="39" spans="1:10" x14ac:dyDescent="0.2">
      <c r="C39" s="868"/>
      <c r="D39" s="868"/>
      <c r="E39" s="868"/>
      <c r="F39" s="868"/>
      <c r="G39" s="868"/>
      <c r="H39" s="868"/>
    </row>
  </sheetData>
  <mergeCells count="6">
    <mergeCell ref="C39:H39"/>
    <mergeCell ref="B2:M2"/>
    <mergeCell ref="B3:K3"/>
    <mergeCell ref="B35:H35"/>
    <mergeCell ref="B36:I36"/>
    <mergeCell ref="B37:J38"/>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13</vt:i4>
      </vt:variant>
    </vt:vector>
  </HeadingPairs>
  <TitlesOfParts>
    <vt:vector size="22" baseType="lpstr">
      <vt:lpstr>Disclaimer</vt:lpstr>
      <vt:lpstr>CMP Input</vt:lpstr>
      <vt:lpstr>CMP LRFR output</vt:lpstr>
      <vt:lpstr>Reference tables</vt:lpstr>
      <vt:lpstr>section property tables</vt:lpstr>
      <vt:lpstr>seam strength tables</vt:lpstr>
      <vt:lpstr>NCSPA Design Data Sheet No 19</vt:lpstr>
      <vt:lpstr>Ohio Legal Loads</vt:lpstr>
      <vt:lpstr>Critical Load Parameter Table</vt:lpstr>
      <vt:lpstr>aluminum_corrugation</vt:lpstr>
      <vt:lpstr>corrugation_all</vt:lpstr>
      <vt:lpstr>Gage_number</vt:lpstr>
      <vt:lpstr>metal_type</vt:lpstr>
      <vt:lpstr>'CMP Input'!Print_Area</vt:lpstr>
      <vt:lpstr>'CMP LRFR output'!Print_Area</vt:lpstr>
      <vt:lpstr>'seam strength tables'!Print_Area</vt:lpstr>
      <vt:lpstr>'CMP Input'!Print_Titles</vt:lpstr>
      <vt:lpstr>'CMP LRFR output'!Print_Titles</vt:lpstr>
      <vt:lpstr>seam_type</vt:lpstr>
      <vt:lpstr>steel_corrugation</vt:lpstr>
      <vt:lpstr>structure_category</vt:lpstr>
      <vt:lpstr>structure_type</vt:lpstr>
    </vt:vector>
  </TitlesOfParts>
  <Company>Burgess and Niple, Ltd.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Cindy Wang</dc:creator>
  <cp:lastModifiedBy>Lesh, Jim (Bridges Team)</cp:lastModifiedBy>
  <cp:lastPrinted>2017-07-17T12:27:00Z</cp:lastPrinted>
  <dcterms:created xsi:type="dcterms:W3CDTF">2001-12-12T13:10:00Z</dcterms:created>
  <dcterms:modified xsi:type="dcterms:W3CDTF">2023-03-28T14:25:43Z</dcterms:modified>
</cp:coreProperties>
</file>