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https://ingov-my.sharepoint.com/personal/jilesh_indot_in_gov/Documents/Website Files/"/>
    </mc:Choice>
  </mc:AlternateContent>
  <xr:revisionPtr revIDLastSave="8" documentId="11_9D467242293BFC6951292BF45FDCC0911F96E0A8" xr6:coauthVersionLast="47" xr6:coauthVersionMax="47" xr10:uidLastSave="{E0458276-693E-497A-86AA-13451E785BF5}"/>
  <bookViews>
    <workbookView xWindow="-120" yWindow="-120" windowWidth="29040" windowHeight="15840" xr2:uid="{00000000-000D-0000-FFFF-FFFF00000000}"/>
  </bookViews>
  <sheets>
    <sheet name="Disclaimer" sheetId="15" r:id="rId1"/>
    <sheet name="input-structure info" sheetId="8" r:id="rId2"/>
    <sheet name="input-Corrugated Metal Pipe" sheetId="9" r:id="rId3"/>
    <sheet name="Reference tables" sheetId="10" r:id="rId4"/>
    <sheet name="section property tables" sheetId="11" r:id="rId5"/>
    <sheet name="seam strength tables" sheetId="13" r:id="rId6"/>
    <sheet name="NCSPA Design Data Sheet No 19" sheetId="14" r:id="rId7"/>
  </sheets>
  <definedNames>
    <definedName name="aluminum_corrugation">'Reference tables'!$C$58:$C$65</definedName>
    <definedName name="corrugation" localSheetId="5">'Reference tables'!#REF!</definedName>
    <definedName name="corrugation">'Reference tables'!#REF!</definedName>
    <definedName name="corrugation_all">'Reference tables'!$C$51:$C$65</definedName>
    <definedName name="Gage_number">'Reference tables'!$B$39:$B$48</definedName>
    <definedName name="material_type" localSheetId="5">'Reference tables'!#REF!</definedName>
    <definedName name="material_type">'Reference tables'!#REF!</definedName>
    <definedName name="metal_type">'Reference tables'!$C$32:$C$36</definedName>
    <definedName name="MinCover" localSheetId="1">#REF!</definedName>
    <definedName name="MinCover">#REF!</definedName>
    <definedName name="_xlnm.Print_Area" localSheetId="2">'input-Corrugated Metal Pipe'!$A$1:$G$208</definedName>
    <definedName name="_xlnm.Print_Area" localSheetId="1">'input-structure info'!$A$1:$I$50</definedName>
    <definedName name="_xlnm.Print_Area" localSheetId="5">'seam strength tables'!$A$1:$R$30</definedName>
    <definedName name="_xlnm.Print_Titles" localSheetId="2">'input-Corrugated Metal Pipe'!$1:$6</definedName>
    <definedName name="seam_type">'Reference tables'!$C$8:$C$9</definedName>
    <definedName name="steel_corrugation">'Reference tables'!$C$51:$C$57</definedName>
    <definedName name="structure_category">'Reference tables'!$C$11:$C$13</definedName>
    <definedName name="structure_type">'Reference tables'!$C$2:$C$6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7" i="9" l="1"/>
  <c r="D31" i="9" l="1"/>
  <c r="C204" i="9" l="1"/>
  <c r="C203" i="9"/>
  <c r="B4" i="9"/>
  <c r="D1" i="9"/>
  <c r="B3" i="9"/>
  <c r="B2" i="9"/>
  <c r="B1" i="9"/>
  <c r="E25" i="9"/>
  <c r="E21" i="9"/>
  <c r="D30" i="9"/>
  <c r="E30" i="9" s="1"/>
  <c r="D206" i="9" l="1"/>
  <c r="D208" i="9"/>
  <c r="E134" i="9"/>
  <c r="B123" i="9"/>
  <c r="B122" i="9"/>
  <c r="E61" i="9"/>
  <c r="C27" i="9"/>
  <c r="C58" i="9"/>
  <c r="E65" i="9"/>
  <c r="F84" i="9" s="1"/>
  <c r="C57" i="9"/>
  <c r="C48" i="10"/>
  <c r="C37" i="9"/>
  <c r="E40" i="9" s="1"/>
  <c r="E6" i="11"/>
  <c r="B44" i="9"/>
  <c r="B47" i="9" s="1"/>
  <c r="D6" i="10" s="1"/>
  <c r="B43" i="9"/>
  <c r="E63" i="9"/>
  <c r="E22" i="9"/>
  <c r="E23" i="9" s="1"/>
  <c r="E59" i="9"/>
  <c r="E19" i="9"/>
  <c r="B46" i="9" l="1"/>
  <c r="B45" i="9"/>
  <c r="C20" i="10"/>
  <c r="C21" i="10" s="1"/>
  <c r="C17" i="10" s="1"/>
  <c r="D102" i="9"/>
  <c r="E133" i="9" s="1"/>
  <c r="D90" i="9"/>
  <c r="D29" i="9"/>
  <c r="E38" i="9"/>
  <c r="F82" i="9" s="1"/>
  <c r="E39" i="9"/>
  <c r="F75" i="9" s="1"/>
  <c r="F123" i="9" l="1"/>
  <c r="B143" i="9" s="1"/>
  <c r="B145" i="9" s="1"/>
  <c r="F122" i="9"/>
  <c r="B142" i="9" s="1"/>
  <c r="B144" i="9" s="1"/>
  <c r="B48" i="9"/>
  <c r="C23" i="10"/>
  <c r="C24" i="10"/>
  <c r="C28" i="10"/>
  <c r="C26" i="10"/>
  <c r="C22" i="10"/>
  <c r="C25" i="10"/>
  <c r="C27" i="10"/>
  <c r="C75" i="9"/>
  <c r="C77" i="9" s="1"/>
  <c r="F83" i="9" s="1"/>
  <c r="D4" i="10"/>
  <c r="D165" i="9"/>
  <c r="D103" i="9"/>
  <c r="D104" i="9" s="1"/>
  <c r="D89" i="9"/>
  <c r="C92" i="9" s="1"/>
  <c r="D5" i="10"/>
  <c r="D3" i="10"/>
  <c r="D2" i="10"/>
  <c r="D47" i="9" l="1"/>
  <c r="D75" i="9"/>
  <c r="E60" i="9"/>
  <c r="C166" i="9" s="1"/>
  <c r="F171" i="9"/>
  <c r="E171" i="9"/>
  <c r="D171" i="9"/>
  <c r="C171" i="9"/>
  <c r="B171" i="9"/>
  <c r="F138" i="9"/>
  <c r="F143" i="9" s="1"/>
  <c r="F145" i="9" s="1"/>
  <c r="E138" i="9"/>
  <c r="E142" i="9" s="1"/>
  <c r="E144" i="9" s="1"/>
  <c r="D138" i="9"/>
  <c r="C138" i="9"/>
  <c r="C142" i="9" s="1"/>
  <c r="C144" i="9" s="1"/>
  <c r="B138" i="9"/>
  <c r="B147" i="9" s="1"/>
  <c r="B146" i="9"/>
  <c r="C86" i="9"/>
  <c r="G193" i="9" l="1"/>
  <c r="D166" i="9"/>
  <c r="F61" i="9"/>
  <c r="F60" i="9"/>
  <c r="F142" i="9"/>
  <c r="F144" i="9" s="1"/>
  <c r="E143" i="9"/>
  <c r="E145" i="9" s="1"/>
  <c r="F174" i="9"/>
  <c r="B187" i="9"/>
  <c r="B148" i="9"/>
  <c r="B149" i="9" s="1"/>
  <c r="B172" i="9" s="1"/>
  <c r="F170" i="9"/>
  <c r="E170" i="9"/>
  <c r="D170" i="9"/>
  <c r="C170" i="9"/>
  <c r="B170" i="9"/>
  <c r="D142" i="9"/>
  <c r="D144" i="9" s="1"/>
  <c r="D143" i="9"/>
  <c r="D145" i="9" s="1"/>
  <c r="E147" i="9"/>
  <c r="C143" i="9"/>
  <c r="C145" i="9" s="1"/>
  <c r="C174" i="9" l="1"/>
  <c r="E174" i="9"/>
  <c r="D174" i="9"/>
  <c r="B174" i="9"/>
  <c r="B173" i="9"/>
  <c r="B186" i="9" s="1"/>
  <c r="B188" i="9" s="1"/>
  <c r="D193" i="9" s="1"/>
  <c r="D204" i="9" s="1"/>
  <c r="B175" i="9" l="1"/>
  <c r="D194" i="9" s="1"/>
  <c r="E193" i="9"/>
  <c r="F193" i="9"/>
  <c r="E146" i="9"/>
  <c r="E148" i="9" s="1"/>
  <c r="E149" i="9" s="1"/>
  <c r="E172" i="9" s="1"/>
  <c r="E173" i="9" s="1"/>
  <c r="E175" i="9" s="1"/>
  <c r="D146" i="9"/>
  <c r="D147" i="9"/>
  <c r="F146" i="9"/>
  <c r="F147" i="9"/>
  <c r="F148" i="9" s="1"/>
  <c r="F149" i="9" s="1"/>
  <c r="F172" i="9" s="1"/>
  <c r="F173" i="9" s="1"/>
  <c r="F175" i="9" s="1"/>
  <c r="C146" i="9"/>
  <c r="C147" i="9"/>
  <c r="C148" i="9" l="1"/>
  <c r="C149" i="9" s="1"/>
  <c r="C172" i="9" s="1"/>
  <c r="C173" i="9" s="1"/>
  <c r="C175" i="9" s="1"/>
  <c r="D195" i="9" s="1"/>
  <c r="E195" i="9" s="1"/>
  <c r="D148" i="9"/>
  <c r="D149" i="9" s="1"/>
  <c r="D172" i="9" s="1"/>
  <c r="D173" i="9" s="1"/>
  <c r="D175" i="9" s="1"/>
  <c r="D196" i="9" s="1"/>
  <c r="E196" i="9" s="1"/>
  <c r="D203" i="9"/>
  <c r="F194" i="9"/>
  <c r="E194" i="9"/>
  <c r="D198" i="9"/>
  <c r="E198" i="9" s="1"/>
  <c r="D197" i="9"/>
  <c r="E197" i="9" s="1"/>
  <c r="C199" i="9" l="1"/>
  <c r="D205" i="9" s="1"/>
</calcChain>
</file>

<file path=xl/sharedStrings.xml><?xml version="1.0" encoding="utf-8"?>
<sst xmlns="http://schemas.openxmlformats.org/spreadsheetml/2006/main" count="438" uniqueCount="312">
  <si>
    <t>2F1</t>
  </si>
  <si>
    <t>HS20</t>
  </si>
  <si>
    <t>Corrugated Metal Pipe</t>
  </si>
  <si>
    <t>Minimum Cover (ft.)</t>
  </si>
  <si>
    <t>Steel Thickness</t>
  </si>
  <si>
    <t>Date:</t>
  </si>
  <si>
    <t>r (in)</t>
  </si>
  <si>
    <t>N/A</t>
  </si>
  <si>
    <t>Bridge No:</t>
  </si>
  <si>
    <t>ABC-123-1234</t>
  </si>
  <si>
    <t>Project No:</t>
  </si>
  <si>
    <t>SFN:</t>
  </si>
  <si>
    <t>Sheet No:</t>
  </si>
  <si>
    <t>Of</t>
  </si>
  <si>
    <t>Year Built:</t>
  </si>
  <si>
    <t>Load Rated By:</t>
  </si>
  <si>
    <t>CW</t>
  </si>
  <si>
    <t>Bridge Type:</t>
  </si>
  <si>
    <t>AW</t>
  </si>
  <si>
    <t xml:space="preserve"> </t>
  </si>
  <si>
    <r>
      <t>Fill Depth at Edge of Pavement "H</t>
    </r>
    <r>
      <rPr>
        <vertAlign val="subscript"/>
        <sz val="11"/>
        <rFont val="Times New Roman"/>
        <family val="1"/>
      </rPr>
      <t>2</t>
    </r>
    <r>
      <rPr>
        <sz val="11"/>
        <rFont val="Times New Roman"/>
        <family val="1"/>
      </rPr>
      <t>" (ft) =</t>
    </r>
  </si>
  <si>
    <r>
      <t xml:space="preserve">Rise </t>
    </r>
    <r>
      <rPr>
        <sz val="11"/>
        <rFont val="Calibri"/>
        <family val="2"/>
      </rPr>
      <t>"</t>
    </r>
    <r>
      <rPr>
        <sz val="11"/>
        <rFont val="Times New Roman"/>
        <family val="1"/>
      </rPr>
      <t>R</t>
    </r>
    <r>
      <rPr>
        <sz val="11"/>
        <rFont val="Calibri"/>
        <family val="2"/>
      </rPr>
      <t>"</t>
    </r>
    <r>
      <rPr>
        <sz val="11"/>
        <rFont val="Times New Roman"/>
        <family val="1"/>
      </rPr>
      <t xml:space="preserve"> (ft) =</t>
    </r>
  </si>
  <si>
    <r>
      <t xml:space="preserve">Longitudinal Length of Structure </t>
    </r>
    <r>
      <rPr>
        <sz val="11"/>
        <rFont val="Calibri"/>
        <family val="2"/>
      </rPr>
      <t>"L"</t>
    </r>
    <r>
      <rPr>
        <sz val="11"/>
        <rFont val="Times New Roman"/>
        <family val="1"/>
      </rPr>
      <t xml:space="preserve"> (ft) =</t>
    </r>
  </si>
  <si>
    <t>Metal Corrugation &amp; Gage Information:</t>
  </si>
  <si>
    <t>c (in) =</t>
  </si>
  <si>
    <t>d (in) =</t>
  </si>
  <si>
    <t>CORRUGATED METAL STRUCTURE (CIRCULAR &amp; PIPE ARCH) &amp; ARCHES</t>
  </si>
  <si>
    <t>Checked By:</t>
  </si>
  <si>
    <t>So:</t>
  </si>
  <si>
    <t>Pipe Crown Deflection =</t>
  </si>
  <si>
    <t>Design Span = Actual Span "S" (ft) =</t>
  </si>
  <si>
    <r>
      <t xml:space="preserve">       </t>
    </r>
    <r>
      <rPr>
        <b/>
        <sz val="9"/>
        <rFont val="Calibri"/>
        <family val="2"/>
      </rPr>
      <t>a.</t>
    </r>
    <r>
      <rPr>
        <sz val="9"/>
        <rFont val="Calibri"/>
        <family val="2"/>
      </rPr>
      <t xml:space="preserve"> use 2 x the top radius (2 R</t>
    </r>
    <r>
      <rPr>
        <vertAlign val="subscript"/>
        <sz val="9"/>
        <rFont val="Calibri"/>
        <family val="2"/>
      </rPr>
      <t>t</t>
    </r>
    <r>
      <rPr>
        <sz val="9"/>
        <rFont val="Calibri"/>
        <family val="2"/>
      </rPr>
      <t>) in lieu of span for calculations.</t>
    </r>
  </si>
  <si>
    <r>
      <t xml:space="preserve">       </t>
    </r>
    <r>
      <rPr>
        <b/>
        <sz val="9"/>
        <rFont val="Calibri"/>
        <family val="2"/>
      </rPr>
      <t>b.</t>
    </r>
    <r>
      <rPr>
        <sz val="9"/>
        <rFont val="Calibri"/>
        <family val="2"/>
      </rPr>
      <t xml:space="preserve"> base critical buckling stress calculations on the theoretical design span, reducing the resulting allowable buckling </t>
    </r>
  </si>
  <si>
    <r>
      <t xml:space="preserve">           stress by the appropriate multiplier to account for deflection " f " </t>
    </r>
    <r>
      <rPr>
        <sz val="8"/>
        <rFont val="Calibri"/>
        <family val="2"/>
      </rPr>
      <t>(NCSPA Design Data Sheet No. 19, Figure B.1.1).</t>
    </r>
  </si>
  <si>
    <r>
      <t xml:space="preserve">        as well as other horizontal ellipses, use 2 x actual top radius (2R</t>
    </r>
    <r>
      <rPr>
        <vertAlign val="subscript"/>
        <sz val="9"/>
        <rFont val="Calibri"/>
        <family val="2"/>
      </rPr>
      <t>t</t>
    </r>
    <r>
      <rPr>
        <sz val="9"/>
        <rFont val="Calibri"/>
        <family val="2"/>
      </rPr>
      <t>) in all cases.</t>
    </r>
  </si>
  <si>
    <r>
      <t>Design Span (ft) = 2R</t>
    </r>
    <r>
      <rPr>
        <vertAlign val="subscript"/>
        <sz val="10"/>
        <rFont val="Calibri"/>
        <family val="2"/>
      </rPr>
      <t>t</t>
    </r>
    <r>
      <rPr>
        <sz val="10"/>
        <rFont val="Calibri"/>
        <family val="2"/>
      </rPr>
      <t xml:space="preserve"> = </t>
    </r>
  </si>
  <si>
    <r>
      <rPr>
        <sz val="10"/>
        <rFont val="Times New Roman"/>
        <family val="1"/>
      </rPr>
      <t>Gage number</t>
    </r>
    <r>
      <rPr>
        <sz val="9"/>
        <rFont val="Times New Roman"/>
        <family val="1"/>
      </rPr>
      <t xml:space="preserve"> (if known)</t>
    </r>
  </si>
  <si>
    <r>
      <t xml:space="preserve">Corrugation </t>
    </r>
    <r>
      <rPr>
        <sz val="9"/>
        <rFont val="Times New Roman"/>
        <family val="1"/>
      </rPr>
      <t>(if known)</t>
    </r>
  </si>
  <si>
    <t>Thickness (in)</t>
  </si>
  <si>
    <t>Metal Thickness (in)</t>
  </si>
  <si>
    <t>Gage Number</t>
  </si>
  <si>
    <t>Steel</t>
  </si>
  <si>
    <t>Aluminum</t>
  </si>
  <si>
    <r>
      <t>δ = Soil density (k/ft</t>
    </r>
    <r>
      <rPr>
        <vertAlign val="superscript"/>
        <sz val="10"/>
        <rFont val="Calibri"/>
        <family val="2"/>
      </rPr>
      <t>3</t>
    </r>
    <r>
      <rPr>
        <sz val="10"/>
        <rFont val="Calibri"/>
        <family val="2"/>
      </rPr>
      <t>)</t>
    </r>
  </si>
  <si>
    <t>ft</t>
  </si>
  <si>
    <t>Aluminum-corrugated metal (Grade 3004-H34)</t>
  </si>
  <si>
    <t>Aluminum-corrugated metal (Grade 3004-H32)</t>
  </si>
  <si>
    <t>Metal Type:</t>
  </si>
  <si>
    <t>E (ksi)</t>
  </si>
  <si>
    <t>ksi</t>
  </si>
  <si>
    <t>Conduits Mechanical &amp; Section Properties:</t>
  </si>
  <si>
    <t>Mechanical Properties:</t>
  </si>
  <si>
    <t>Section Properties:</t>
  </si>
  <si>
    <t>Structure Type:</t>
  </si>
  <si>
    <t>Corrugation:</t>
  </si>
  <si>
    <t>corrugation</t>
  </si>
  <si>
    <r>
      <rPr>
        <b/>
        <sz val="12"/>
        <rFont val="Calibri"/>
        <family val="2"/>
        <scheme val="minor"/>
      </rPr>
      <t xml:space="preserve">1½ x ¼ </t>
    </r>
    <r>
      <rPr>
        <vertAlign val="subscript"/>
        <sz val="12"/>
        <rFont val="Calibri"/>
        <family val="2"/>
        <scheme val="minor"/>
      </rPr>
      <t>(corrugated steel pipe)</t>
    </r>
  </si>
  <si>
    <r>
      <rPr>
        <b/>
        <sz val="12"/>
        <rFont val="Calibri"/>
        <family val="2"/>
        <scheme val="minor"/>
      </rPr>
      <t>2⅔ x ½</t>
    </r>
    <r>
      <rPr>
        <vertAlign val="subscript"/>
        <sz val="12"/>
        <rFont val="Calibri"/>
        <family val="2"/>
        <scheme val="minor"/>
      </rPr>
      <t xml:space="preserve"> (corrugated steel pipe)</t>
    </r>
  </si>
  <si>
    <r>
      <rPr>
        <b/>
        <sz val="12"/>
        <rFont val="Calibri"/>
        <family val="2"/>
        <scheme val="minor"/>
      </rPr>
      <t>3 x 1</t>
    </r>
    <r>
      <rPr>
        <vertAlign val="subscript"/>
        <sz val="12"/>
        <rFont val="Calibri"/>
        <family val="2"/>
        <scheme val="minor"/>
      </rPr>
      <t xml:space="preserve"> (corrugated steel pipe)</t>
    </r>
  </si>
  <si>
    <r>
      <rPr>
        <b/>
        <sz val="12"/>
        <rFont val="Calibri"/>
        <family val="2"/>
        <scheme val="minor"/>
      </rPr>
      <t>5 x 1</t>
    </r>
    <r>
      <rPr>
        <sz val="12"/>
        <rFont val="Calibri"/>
        <family val="2"/>
        <scheme val="minor"/>
      </rPr>
      <t xml:space="preserve"> </t>
    </r>
    <r>
      <rPr>
        <vertAlign val="subscript"/>
        <sz val="12"/>
        <rFont val="Calibri"/>
        <family val="2"/>
        <scheme val="minor"/>
      </rPr>
      <t>(corrugated steel pipe)</t>
    </r>
  </si>
  <si>
    <r>
      <rPr>
        <b/>
        <sz val="12"/>
        <rFont val="Calibri"/>
        <family val="2"/>
        <scheme val="minor"/>
      </rPr>
      <t xml:space="preserve">¾ x ¾ x 7½ </t>
    </r>
    <r>
      <rPr>
        <vertAlign val="subscript"/>
        <sz val="12"/>
        <rFont val="Calibri"/>
        <family val="2"/>
        <scheme val="minor"/>
      </rPr>
      <t>(spiral rib steel pipe)</t>
    </r>
  </si>
  <si>
    <r>
      <rPr>
        <b/>
        <sz val="12"/>
        <color rgb="FF000000"/>
        <rFont val="Calibri"/>
        <family val="2"/>
        <scheme val="minor"/>
      </rPr>
      <t>¾ x 1 x 11½</t>
    </r>
    <r>
      <rPr>
        <sz val="12"/>
        <color rgb="FF000000"/>
        <rFont val="Calibri"/>
        <family val="2"/>
        <scheme val="minor"/>
      </rPr>
      <t xml:space="preserve"> </t>
    </r>
    <r>
      <rPr>
        <vertAlign val="subscript"/>
        <sz val="12"/>
        <color rgb="FF000000"/>
        <rFont val="Calibri"/>
        <family val="2"/>
        <scheme val="minor"/>
      </rPr>
      <t>(spiral rib steel pipe)</t>
    </r>
  </si>
  <si>
    <r>
      <rPr>
        <b/>
        <sz val="12"/>
        <rFont val="Calibri"/>
        <family val="2"/>
        <scheme val="minor"/>
      </rPr>
      <t>6 x 2</t>
    </r>
    <r>
      <rPr>
        <sz val="12"/>
        <rFont val="Calibri"/>
        <family val="2"/>
        <scheme val="minor"/>
      </rPr>
      <t xml:space="preserve"> </t>
    </r>
    <r>
      <rPr>
        <vertAlign val="subscript"/>
        <sz val="12"/>
        <rFont val="Calibri"/>
        <family val="2"/>
        <scheme val="minor"/>
      </rPr>
      <t>(steel structural plate pipe)</t>
    </r>
  </si>
  <si>
    <r>
      <rPr>
        <b/>
        <sz val="12"/>
        <rFont val="Calibri"/>
        <family val="2"/>
        <scheme val="minor"/>
      </rPr>
      <t>1½ x ¼</t>
    </r>
    <r>
      <rPr>
        <sz val="12"/>
        <rFont val="Calibri"/>
        <family val="2"/>
        <scheme val="minor"/>
      </rPr>
      <t xml:space="preserve"> </t>
    </r>
    <r>
      <rPr>
        <vertAlign val="subscript"/>
        <sz val="12"/>
        <rFont val="Calibri"/>
        <family val="2"/>
        <scheme val="minor"/>
      </rPr>
      <t>(corrugated aluminum pipe)</t>
    </r>
  </si>
  <si>
    <r>
      <rPr>
        <b/>
        <sz val="12"/>
        <rFont val="Calibri"/>
        <family val="2"/>
        <scheme val="minor"/>
      </rPr>
      <t>2⅔ x ½</t>
    </r>
    <r>
      <rPr>
        <vertAlign val="subscript"/>
        <sz val="12"/>
        <rFont val="Calibri"/>
        <family val="2"/>
        <scheme val="minor"/>
      </rPr>
      <t xml:space="preserve"> (corrugated aluminum pipe)</t>
    </r>
  </si>
  <si>
    <r>
      <rPr>
        <b/>
        <sz val="12"/>
        <rFont val="Calibri"/>
        <family val="2"/>
        <scheme val="minor"/>
      </rPr>
      <t>3 x 1</t>
    </r>
    <r>
      <rPr>
        <sz val="12"/>
        <rFont val="Calibri"/>
        <family val="2"/>
        <scheme val="minor"/>
      </rPr>
      <t xml:space="preserve"> </t>
    </r>
    <r>
      <rPr>
        <vertAlign val="subscript"/>
        <sz val="12"/>
        <rFont val="Calibri"/>
        <family val="2"/>
        <scheme val="minor"/>
      </rPr>
      <t>(corrugated aluminum pipe)</t>
    </r>
  </si>
  <si>
    <r>
      <rPr>
        <b/>
        <sz val="12"/>
        <rFont val="Calibri"/>
        <family val="2"/>
        <scheme val="minor"/>
      </rPr>
      <t>6 x 1</t>
    </r>
    <r>
      <rPr>
        <sz val="12"/>
        <rFont val="Calibri"/>
        <family val="2"/>
        <scheme val="minor"/>
      </rPr>
      <t xml:space="preserve"> </t>
    </r>
    <r>
      <rPr>
        <vertAlign val="subscript"/>
        <sz val="12"/>
        <rFont val="Calibri"/>
        <family val="2"/>
        <scheme val="minor"/>
      </rPr>
      <t>(corrugated aluminum pipe)</t>
    </r>
  </si>
  <si>
    <r>
      <rPr>
        <b/>
        <sz val="12"/>
        <rFont val="Calibri"/>
        <family val="2"/>
        <scheme val="minor"/>
      </rPr>
      <t>¾ x ¾ x 7½</t>
    </r>
    <r>
      <rPr>
        <sz val="12"/>
        <rFont val="Calibri"/>
        <family val="2"/>
        <scheme val="minor"/>
      </rPr>
      <t xml:space="preserve"> </t>
    </r>
    <r>
      <rPr>
        <vertAlign val="subscript"/>
        <sz val="12"/>
        <rFont val="Calibri"/>
        <family val="2"/>
        <scheme val="minor"/>
      </rPr>
      <t>(aluminum spiral rib pipe)</t>
    </r>
  </si>
  <si>
    <r>
      <rPr>
        <b/>
        <sz val="12"/>
        <color rgb="FF000000"/>
        <rFont val="Calibri"/>
        <family val="2"/>
        <scheme val="minor"/>
      </rPr>
      <t>¾ x 1 x 11½</t>
    </r>
    <r>
      <rPr>
        <b/>
        <vertAlign val="subscript"/>
        <sz val="12"/>
        <color rgb="FF000000"/>
        <rFont val="Calibri"/>
        <family val="2"/>
        <scheme val="minor"/>
      </rPr>
      <t xml:space="preserve"> </t>
    </r>
    <r>
      <rPr>
        <vertAlign val="subscript"/>
        <sz val="12"/>
        <color rgb="FF000000"/>
        <rFont val="Calibri"/>
        <family val="2"/>
        <scheme val="minor"/>
      </rPr>
      <t>(aluminum spiral rib pipe)</t>
    </r>
  </si>
  <si>
    <r>
      <rPr>
        <b/>
        <sz val="12"/>
        <rFont val="Calibri"/>
        <family val="2"/>
        <scheme val="minor"/>
      </rPr>
      <t>9 x 2</t>
    </r>
    <r>
      <rPr>
        <b/>
        <sz val="12"/>
        <rFont val="Calibri"/>
        <family val="2"/>
      </rPr>
      <t>½</t>
    </r>
    <r>
      <rPr>
        <sz val="12"/>
        <rFont val="Calibri"/>
        <family val="2"/>
      </rPr>
      <t xml:space="preserve"> </t>
    </r>
    <r>
      <rPr>
        <vertAlign val="subscript"/>
        <sz val="12"/>
        <rFont val="Calibri"/>
        <family val="2"/>
      </rPr>
      <t>(aluminum structural plate pipe)</t>
    </r>
  </si>
  <si>
    <t>←</t>
  </si>
  <si>
    <r>
      <t>A</t>
    </r>
    <r>
      <rPr>
        <vertAlign val="subscript"/>
        <sz val="10"/>
        <rFont val="Calibri"/>
        <family val="2"/>
        <scheme val="minor"/>
      </rPr>
      <t>s</t>
    </r>
    <r>
      <rPr>
        <sz val="10"/>
        <rFont val="Calibri"/>
        <family val="2"/>
        <scheme val="minor"/>
      </rPr>
      <t xml:space="preserve"> (in</t>
    </r>
    <r>
      <rPr>
        <vertAlign val="superscript"/>
        <sz val="10"/>
        <rFont val="Calibri"/>
        <family val="2"/>
        <scheme val="minor"/>
      </rPr>
      <t>2</t>
    </r>
    <r>
      <rPr>
        <sz val="10"/>
        <rFont val="Calibri"/>
        <family val="2"/>
        <scheme val="minor"/>
      </rPr>
      <t>/ft) =</t>
    </r>
  </si>
  <si>
    <t>9 x 2½ (aluminum structural plate pipe)</t>
  </si>
  <si>
    <r>
      <rPr>
        <sz val="9"/>
        <rFont val="Calibri"/>
        <family val="2"/>
      </rPr>
      <t>←</t>
    </r>
    <r>
      <rPr>
        <sz val="9"/>
        <rFont val="Calibri"/>
        <family val="2"/>
        <scheme val="minor"/>
      </rPr>
      <t>from filed measurement</t>
    </r>
  </si>
  <si>
    <r>
      <t>A</t>
    </r>
    <r>
      <rPr>
        <vertAlign val="subscript"/>
        <sz val="8"/>
        <rFont val="Calibri"/>
        <family val="2"/>
        <scheme val="minor"/>
      </rPr>
      <t xml:space="preserve">s </t>
    </r>
    <r>
      <rPr>
        <sz val="8"/>
        <rFont val="Calibri"/>
        <family val="2"/>
        <scheme val="minor"/>
      </rPr>
      <t>(in</t>
    </r>
    <r>
      <rPr>
        <vertAlign val="superscript"/>
        <sz val="8"/>
        <rFont val="Calibri"/>
        <family val="2"/>
        <scheme val="minor"/>
      </rPr>
      <t>2</t>
    </r>
    <r>
      <rPr>
        <sz val="8"/>
        <rFont val="Calibri"/>
        <family val="2"/>
        <scheme val="minor"/>
      </rPr>
      <t>/ft)</t>
    </r>
  </si>
  <si>
    <r>
      <t>I x 10</t>
    </r>
    <r>
      <rPr>
        <vertAlign val="superscript"/>
        <sz val="8"/>
        <rFont val="Calibri"/>
        <family val="2"/>
        <scheme val="minor"/>
      </rPr>
      <t>-3</t>
    </r>
    <r>
      <rPr>
        <sz val="8"/>
        <rFont val="Calibri"/>
        <family val="2"/>
        <scheme val="minor"/>
      </rPr>
      <t>(in</t>
    </r>
    <r>
      <rPr>
        <vertAlign val="superscript"/>
        <sz val="8"/>
        <rFont val="Calibri"/>
        <family val="2"/>
        <scheme val="minor"/>
      </rPr>
      <t>4</t>
    </r>
    <r>
      <rPr>
        <sz val="8"/>
        <rFont val="Calibri"/>
        <family val="2"/>
        <scheme val="minor"/>
      </rPr>
      <t>/in)</t>
    </r>
  </si>
  <si>
    <r>
      <t>Effective A</t>
    </r>
    <r>
      <rPr>
        <vertAlign val="subscript"/>
        <sz val="8"/>
        <rFont val="Calibri"/>
        <family val="2"/>
        <scheme val="minor"/>
      </rPr>
      <t>s</t>
    </r>
  </si>
  <si>
    <t>Metal Type</t>
  </si>
  <si>
    <r>
      <t>E</t>
    </r>
    <r>
      <rPr>
        <vertAlign val="subscript"/>
        <sz val="10"/>
        <rFont val="Calibri"/>
        <family val="2"/>
        <scheme val="minor"/>
      </rPr>
      <t>m</t>
    </r>
    <r>
      <rPr>
        <sz val="10"/>
        <rFont val="Calibri"/>
        <family val="2"/>
        <scheme val="minor"/>
      </rPr>
      <t xml:space="preserve"> = Modulus of elasticity of metal</t>
    </r>
  </si>
  <si>
    <r>
      <t>F</t>
    </r>
    <r>
      <rPr>
        <vertAlign val="subscript"/>
        <sz val="10"/>
        <rFont val="Calibri"/>
        <family val="2"/>
      </rPr>
      <t>y</t>
    </r>
    <r>
      <rPr>
        <sz val="10"/>
        <rFont val="Calibri"/>
        <family val="2"/>
      </rPr>
      <t xml:space="preserve"> = Minimum Yield Point of the Metal</t>
    </r>
  </si>
  <si>
    <r>
      <t>F</t>
    </r>
    <r>
      <rPr>
        <vertAlign val="subscript"/>
        <sz val="10"/>
        <rFont val="Calibri"/>
        <family val="2"/>
      </rPr>
      <t>u</t>
    </r>
    <r>
      <rPr>
        <sz val="10"/>
        <rFont val="Calibri"/>
        <family val="2"/>
      </rPr>
      <t xml:space="preserve"> = Minimum Tensile Strength of the Metal</t>
    </r>
  </si>
  <si>
    <t>k = soil stiffness factor =</t>
  </si>
  <si>
    <r>
      <t xml:space="preserve">I </t>
    </r>
    <r>
      <rPr>
        <sz val="10"/>
        <rFont val="Calibri"/>
        <family val="2"/>
        <scheme val="minor"/>
      </rPr>
      <t>x 10</t>
    </r>
    <r>
      <rPr>
        <vertAlign val="superscript"/>
        <sz val="10"/>
        <rFont val="Calibri"/>
        <family val="2"/>
        <scheme val="minor"/>
      </rPr>
      <t>-3</t>
    </r>
    <r>
      <rPr>
        <sz val="10"/>
        <rFont val="Calibri"/>
        <family val="2"/>
        <scheme val="minor"/>
      </rPr>
      <t xml:space="preserve"> (in</t>
    </r>
    <r>
      <rPr>
        <vertAlign val="superscript"/>
        <sz val="10"/>
        <rFont val="Calibri"/>
        <family val="2"/>
        <scheme val="minor"/>
      </rPr>
      <t>4</t>
    </r>
    <r>
      <rPr>
        <sz val="10"/>
        <rFont val="Calibri"/>
        <family val="2"/>
        <scheme val="minor"/>
      </rPr>
      <t>/in) =</t>
    </r>
  </si>
  <si>
    <r>
      <t>t</t>
    </r>
    <r>
      <rPr>
        <sz val="10"/>
        <rFont val="Times New Roman"/>
        <family val="1"/>
      </rPr>
      <t xml:space="preserve"> (in) =</t>
    </r>
  </si>
  <si>
    <r>
      <t>Aluminum-structural plate (thickness 0.100</t>
    </r>
    <r>
      <rPr>
        <sz val="9"/>
        <rFont val="Calibri"/>
        <family val="2"/>
      </rPr>
      <t xml:space="preserve">" </t>
    </r>
    <r>
      <rPr>
        <sz val="9"/>
        <rFont val="Calibri"/>
        <family val="2"/>
        <scheme val="minor"/>
      </rPr>
      <t>- 0.175</t>
    </r>
    <r>
      <rPr>
        <sz val="9"/>
        <rFont val="Calibri"/>
        <family val="2"/>
      </rPr>
      <t>"</t>
    </r>
    <r>
      <rPr>
        <sz val="9"/>
        <rFont val="Calibri"/>
        <family val="2"/>
        <scheme val="minor"/>
      </rPr>
      <t>)</t>
    </r>
  </si>
  <si>
    <r>
      <t>Aluminum-structural plate (thickness 0.176</t>
    </r>
    <r>
      <rPr>
        <sz val="9"/>
        <rFont val="Calibri"/>
        <family val="2"/>
      </rPr>
      <t xml:space="preserve">" </t>
    </r>
    <r>
      <rPr>
        <sz val="9"/>
        <rFont val="Calibri"/>
        <family val="2"/>
        <scheme val="minor"/>
      </rPr>
      <t>- 0.250</t>
    </r>
    <r>
      <rPr>
        <sz val="9"/>
        <rFont val="Calibri"/>
        <family val="2"/>
      </rPr>
      <t>"</t>
    </r>
    <r>
      <rPr>
        <sz val="9"/>
        <rFont val="Calibri"/>
        <family val="2"/>
        <scheme val="minor"/>
      </rPr>
      <t>)</t>
    </r>
  </si>
  <si>
    <t>Corrugated Metal Pipe (AASHTO 12.4)</t>
  </si>
  <si>
    <t>Spiral Rib Aluminum Pipe (AASHTO 12.5)</t>
  </si>
  <si>
    <t>Spiral Rib Steel Pipe (AASHTO 12.5)</t>
  </si>
  <si>
    <t>Structural Plate Pipe (AASHTO 12.6)</t>
  </si>
  <si>
    <t>Long Span Structural Plate (AASHTO 12.7)</t>
  </si>
  <si>
    <r>
      <rPr>
        <b/>
        <sz val="11"/>
        <rFont val="Calibri"/>
        <family val="2"/>
        <scheme val="minor"/>
      </rPr>
      <t>2⅔ x ½</t>
    </r>
    <r>
      <rPr>
        <b/>
        <sz val="9"/>
        <rFont val="Calibri"/>
        <family val="2"/>
        <scheme val="minor"/>
      </rPr>
      <t xml:space="preserve"> </t>
    </r>
    <r>
      <rPr>
        <sz val="9"/>
        <rFont val="Calibri"/>
        <family val="2"/>
        <scheme val="minor"/>
      </rPr>
      <t>(corrugated steel pipe)</t>
    </r>
  </si>
  <si>
    <r>
      <rPr>
        <b/>
        <sz val="11"/>
        <rFont val="Calibri"/>
        <family val="2"/>
        <scheme val="minor"/>
      </rPr>
      <t>1½ x ¼</t>
    </r>
    <r>
      <rPr>
        <b/>
        <sz val="9"/>
        <rFont val="Calibri"/>
        <family val="2"/>
        <scheme val="minor"/>
      </rPr>
      <t xml:space="preserve"> </t>
    </r>
    <r>
      <rPr>
        <sz val="9"/>
        <rFont val="Calibri"/>
        <family val="2"/>
        <scheme val="minor"/>
      </rPr>
      <t>(corrugated steel pipe)</t>
    </r>
  </si>
  <si>
    <r>
      <rPr>
        <b/>
        <sz val="11"/>
        <rFont val="Calibri"/>
        <family val="2"/>
        <scheme val="minor"/>
      </rPr>
      <t>3 x 1</t>
    </r>
    <r>
      <rPr>
        <b/>
        <sz val="9"/>
        <rFont val="Calibri"/>
        <family val="2"/>
        <scheme val="minor"/>
      </rPr>
      <t xml:space="preserve"> </t>
    </r>
    <r>
      <rPr>
        <sz val="9"/>
        <rFont val="Calibri"/>
        <family val="2"/>
        <scheme val="minor"/>
      </rPr>
      <t>(corrugated steel pipe)</t>
    </r>
  </si>
  <si>
    <r>
      <rPr>
        <b/>
        <sz val="11"/>
        <rFont val="Calibri"/>
        <family val="2"/>
        <scheme val="minor"/>
      </rPr>
      <t>5 x 1</t>
    </r>
    <r>
      <rPr>
        <b/>
        <sz val="9"/>
        <rFont val="Calibri"/>
        <family val="2"/>
        <scheme val="minor"/>
      </rPr>
      <t xml:space="preserve"> </t>
    </r>
    <r>
      <rPr>
        <sz val="9"/>
        <rFont val="Calibri"/>
        <family val="2"/>
        <scheme val="minor"/>
      </rPr>
      <t>(corrugated steel pipe)</t>
    </r>
  </si>
  <si>
    <r>
      <rPr>
        <b/>
        <sz val="11"/>
        <rFont val="Calibri"/>
        <family val="2"/>
        <scheme val="minor"/>
      </rPr>
      <t>¾ x ¾ x 7½</t>
    </r>
    <r>
      <rPr>
        <b/>
        <sz val="9"/>
        <rFont val="Calibri"/>
        <family val="2"/>
        <scheme val="minor"/>
      </rPr>
      <t xml:space="preserve"> </t>
    </r>
    <r>
      <rPr>
        <sz val="9"/>
        <rFont val="Calibri"/>
        <family val="2"/>
        <scheme val="minor"/>
      </rPr>
      <t>(spiral rib steel pipe)</t>
    </r>
  </si>
  <si>
    <r>
      <rPr>
        <b/>
        <sz val="11"/>
        <rFont val="Calibri"/>
        <family val="2"/>
        <scheme val="minor"/>
      </rPr>
      <t>¾ x 1 x 11½</t>
    </r>
    <r>
      <rPr>
        <sz val="9"/>
        <rFont val="Calibri"/>
        <family val="2"/>
        <scheme val="minor"/>
      </rPr>
      <t xml:space="preserve"> (spiral rib steel pipe)</t>
    </r>
  </si>
  <si>
    <r>
      <rPr>
        <b/>
        <sz val="11"/>
        <rFont val="Calibri"/>
        <family val="2"/>
        <scheme val="minor"/>
      </rPr>
      <t>6 x 2</t>
    </r>
    <r>
      <rPr>
        <sz val="9"/>
        <rFont val="Calibri"/>
        <family val="2"/>
        <scheme val="minor"/>
      </rPr>
      <t xml:space="preserve"> (steel structural plate pipe)</t>
    </r>
  </si>
  <si>
    <r>
      <rPr>
        <b/>
        <sz val="11"/>
        <rFont val="Calibri"/>
        <family val="2"/>
        <scheme val="minor"/>
      </rPr>
      <t>1½ x ¼</t>
    </r>
    <r>
      <rPr>
        <b/>
        <sz val="8"/>
        <rFont val="Calibri"/>
        <family val="2"/>
        <scheme val="minor"/>
      </rPr>
      <t xml:space="preserve"> </t>
    </r>
    <r>
      <rPr>
        <sz val="8"/>
        <rFont val="Calibri"/>
        <family val="2"/>
        <scheme val="minor"/>
      </rPr>
      <t>(corrugated aluminum pipe)</t>
    </r>
  </si>
  <si>
    <r>
      <rPr>
        <b/>
        <sz val="11"/>
        <rFont val="Calibri"/>
        <family val="2"/>
        <scheme val="minor"/>
      </rPr>
      <t>2⅔ x ½</t>
    </r>
    <r>
      <rPr>
        <sz val="8"/>
        <rFont val="Calibri"/>
        <family val="2"/>
        <scheme val="minor"/>
      </rPr>
      <t xml:space="preserve"> (corrugated aluminum pipe)</t>
    </r>
  </si>
  <si>
    <r>
      <rPr>
        <b/>
        <sz val="11"/>
        <rFont val="Calibri"/>
        <family val="2"/>
        <scheme val="minor"/>
      </rPr>
      <t>3 x 1</t>
    </r>
    <r>
      <rPr>
        <b/>
        <sz val="8"/>
        <rFont val="Calibri"/>
        <family val="2"/>
        <scheme val="minor"/>
      </rPr>
      <t xml:space="preserve"> </t>
    </r>
    <r>
      <rPr>
        <sz val="8"/>
        <rFont val="Calibri"/>
        <family val="2"/>
        <scheme val="minor"/>
      </rPr>
      <t>(corrugated aluminum pipe)</t>
    </r>
  </si>
  <si>
    <r>
      <rPr>
        <b/>
        <sz val="11"/>
        <rFont val="Calibri"/>
        <family val="2"/>
        <scheme val="minor"/>
      </rPr>
      <t>¾ x ¾ x 7½</t>
    </r>
    <r>
      <rPr>
        <b/>
        <sz val="9"/>
        <rFont val="Calibri"/>
        <family val="2"/>
        <scheme val="minor"/>
      </rPr>
      <t xml:space="preserve"> </t>
    </r>
    <r>
      <rPr>
        <sz val="9"/>
        <rFont val="Calibri"/>
        <family val="2"/>
        <scheme val="minor"/>
      </rPr>
      <t>(aluminum spiral rib pipe)</t>
    </r>
  </si>
  <si>
    <r>
      <rPr>
        <b/>
        <sz val="11"/>
        <rFont val="Calibri"/>
        <family val="2"/>
        <scheme val="minor"/>
      </rPr>
      <t>¾ x 1 x 11½</t>
    </r>
    <r>
      <rPr>
        <sz val="9"/>
        <rFont val="Calibri"/>
        <family val="2"/>
        <scheme val="minor"/>
      </rPr>
      <t xml:space="preserve"> (aluminum spiral rib pipe)</t>
    </r>
  </si>
  <si>
    <r>
      <rPr>
        <b/>
        <sz val="11"/>
        <rFont val="Calibri"/>
        <family val="2"/>
        <scheme val="minor"/>
      </rPr>
      <t>9 x 2½</t>
    </r>
    <r>
      <rPr>
        <sz val="11"/>
        <rFont val="Calibri"/>
        <family val="2"/>
        <scheme val="minor"/>
      </rPr>
      <t xml:space="preserve"> </t>
    </r>
    <r>
      <rPr>
        <sz val="9"/>
        <rFont val="Calibri"/>
        <family val="2"/>
        <scheme val="minor"/>
      </rPr>
      <t>(aluminum structural plate pipe)</t>
    </r>
  </si>
  <si>
    <r>
      <rPr>
        <b/>
        <sz val="11"/>
        <rFont val="Calibri"/>
        <family val="2"/>
        <scheme val="minor"/>
      </rPr>
      <t>6 x 1</t>
    </r>
    <r>
      <rPr>
        <b/>
        <sz val="8"/>
        <rFont val="Calibri"/>
        <family val="2"/>
        <scheme val="minor"/>
      </rPr>
      <t xml:space="preserve"> </t>
    </r>
    <r>
      <rPr>
        <sz val="8"/>
        <rFont val="Calibri"/>
        <family val="2"/>
        <scheme val="minor"/>
      </rPr>
      <t>(corrugated aluminum pipe)</t>
    </r>
  </si>
  <si>
    <r>
      <rPr>
        <sz val="16"/>
        <rFont val="Arial"/>
        <family val="2"/>
      </rPr>
      <t>From</t>
    </r>
    <r>
      <rPr>
        <sz val="16"/>
        <color rgb="FFFF0000"/>
        <rFont val="Arial"/>
        <family val="2"/>
      </rPr>
      <t xml:space="preserve"> AASHTO Standard Specification for Highway Bridges, Division I, Section 12</t>
    </r>
  </si>
  <si>
    <t>Gage #</t>
  </si>
  <si>
    <r>
      <rPr>
        <sz val="10"/>
        <rFont val="Calibri"/>
        <family val="2"/>
      </rPr>
      <t>←</t>
    </r>
    <r>
      <rPr>
        <sz val="10"/>
        <rFont val="Calibri"/>
        <family val="2"/>
        <scheme val="minor"/>
      </rPr>
      <t>AASHTO DEFINED MINIMUM COVER (AASHTO 12.4.1.5, 12.5.3.3, 12.6.1.5, or 12.7.2.1)</t>
    </r>
  </si>
  <si>
    <r>
      <t>R</t>
    </r>
    <r>
      <rPr>
        <vertAlign val="subscript"/>
        <sz val="9"/>
        <rFont val="Calibri"/>
        <family val="2"/>
        <scheme val="minor"/>
      </rPr>
      <t>t</t>
    </r>
    <r>
      <rPr>
        <sz val="9"/>
        <rFont val="Calibri"/>
        <family val="2"/>
        <scheme val="minor"/>
      </rPr>
      <t xml:space="preserve"> = </t>
    </r>
  </si>
  <si>
    <r>
      <t>← R</t>
    </r>
    <r>
      <rPr>
        <b/>
        <vertAlign val="subscript"/>
        <sz val="9"/>
        <rFont val="Calibri"/>
        <family val="2"/>
      </rPr>
      <t>t</t>
    </r>
    <r>
      <rPr>
        <b/>
        <sz val="9"/>
        <rFont val="Calibri"/>
        <family val="2"/>
      </rPr>
      <t xml:space="preserve"> range</t>
    </r>
  </si>
  <si>
    <r>
      <t>F</t>
    </r>
    <r>
      <rPr>
        <b/>
        <vertAlign val="subscript"/>
        <sz val="9"/>
        <rFont val="Calibri"/>
        <family val="2"/>
        <scheme val="minor"/>
      </rPr>
      <t xml:space="preserve">u </t>
    </r>
    <r>
      <rPr>
        <b/>
        <sz val="9"/>
        <rFont val="Calibri"/>
        <family val="2"/>
        <scheme val="minor"/>
      </rPr>
      <t>(ksi)</t>
    </r>
  </si>
  <si>
    <r>
      <t>F</t>
    </r>
    <r>
      <rPr>
        <b/>
        <vertAlign val="subscript"/>
        <sz val="9"/>
        <rFont val="Calibri"/>
        <family val="2"/>
        <scheme val="minor"/>
      </rPr>
      <t xml:space="preserve">y </t>
    </r>
    <r>
      <rPr>
        <b/>
        <sz val="9"/>
        <rFont val="Calibri"/>
        <family val="2"/>
        <scheme val="minor"/>
      </rPr>
      <t>(ksi)</t>
    </r>
  </si>
  <si>
    <r>
      <rPr>
        <b/>
        <sz val="10"/>
        <color rgb="FFFF0000"/>
        <rFont val="Calibri"/>
        <family val="2"/>
        <scheme val="minor"/>
      </rPr>
      <t>Long Span Structural Plate Structures</t>
    </r>
    <r>
      <rPr>
        <b/>
        <sz val="10"/>
        <color indexed="8"/>
        <rFont val="Calibri"/>
        <family val="2"/>
        <scheme val="minor"/>
      </rPr>
      <t xml:space="preserve"> Minimum Cover Chart (ft.) (AASHTO Table 12.7.2A II)</t>
    </r>
  </si>
  <si>
    <r>
      <rPr>
        <b/>
        <sz val="10"/>
        <color rgb="FFFF0000"/>
        <rFont val="Calibri"/>
        <family val="2"/>
        <scheme val="minor"/>
      </rPr>
      <t>Long Span Structural Plate Structures</t>
    </r>
    <r>
      <rPr>
        <b/>
        <sz val="10"/>
        <color indexed="8"/>
        <rFont val="Calibri"/>
        <family val="2"/>
        <scheme val="minor"/>
      </rPr>
      <t xml:space="preserve"> Minimum Top Arc Thickness Chart (in) (AASHTO Table 12.7.2A I)</t>
    </r>
  </si>
  <si>
    <r>
      <rPr>
        <b/>
        <sz val="12"/>
        <rFont val="Calibri"/>
        <family val="2"/>
        <scheme val="minor"/>
      </rPr>
      <t>6 x 2</t>
    </r>
    <r>
      <rPr>
        <sz val="12"/>
        <rFont val="Calibri"/>
        <family val="2"/>
        <scheme val="minor"/>
      </rPr>
      <t xml:space="preserve"> corrugated steel plates</t>
    </r>
  </si>
  <si>
    <t>Min. =</t>
  </si>
  <si>
    <t>in</t>
  </si>
  <si>
    <r>
      <t xml:space="preserve">A.   Design </t>
    </r>
    <r>
      <rPr>
        <b/>
        <sz val="14"/>
        <color indexed="8"/>
        <rFont val="Calibri"/>
        <family val="2"/>
      </rPr>
      <t>Dimensions</t>
    </r>
  </si>
  <si>
    <r>
      <t xml:space="preserve">B.   Design </t>
    </r>
    <r>
      <rPr>
        <b/>
        <sz val="14"/>
        <color indexed="8"/>
        <rFont val="Calibri"/>
        <family val="2"/>
      </rPr>
      <t>Properties</t>
    </r>
  </si>
  <si>
    <t>C.   Design Calculations:</t>
  </si>
  <si>
    <t>AASHTO minimum cover, h (ft) =</t>
  </si>
  <si>
    <r>
      <rPr>
        <b/>
        <sz val="10"/>
        <color rgb="FFFF0000"/>
        <rFont val="Times New Roman"/>
        <family val="1"/>
      </rPr>
      <t>Structure Type</t>
    </r>
    <r>
      <rPr>
        <sz val="10"/>
        <rFont val="Times New Roman"/>
        <family val="1"/>
      </rPr>
      <t xml:space="preserve"> (to determine Minimum Cover):</t>
    </r>
  </si>
  <si>
    <r>
      <rPr>
        <b/>
        <sz val="10"/>
        <color rgb="FFFF0000"/>
        <rFont val="Times New Roman"/>
        <family val="1"/>
      </rPr>
      <t>Seam Type</t>
    </r>
    <r>
      <rPr>
        <sz val="10"/>
        <rFont val="Times New Roman"/>
        <family val="1"/>
      </rPr>
      <t xml:space="preserve"> (to determine Seam Strength):</t>
    </r>
  </si>
  <si>
    <t>Seam Type:</t>
  </si>
  <si>
    <t>Annular pipe w/ spot welded, riveted or bolted seam</t>
  </si>
  <si>
    <t>Helical pipe w/ lock seam or fully welded seam</t>
  </si>
  <si>
    <t>Structure Category:</t>
  </si>
  <si>
    <r>
      <rPr>
        <b/>
        <sz val="12"/>
        <rFont val="Calibri"/>
        <family val="2"/>
        <scheme val="minor"/>
      </rPr>
      <t>Structure Category</t>
    </r>
    <r>
      <rPr>
        <b/>
        <sz val="10"/>
        <rFont val="Calibri"/>
        <family val="2"/>
        <scheme val="minor"/>
      </rPr>
      <t>:</t>
    </r>
  </si>
  <si>
    <r>
      <rPr>
        <b/>
        <sz val="12"/>
        <color rgb="FFFF0000"/>
        <rFont val="Calibri"/>
        <family val="2"/>
        <scheme val="minor"/>
      </rPr>
      <t>*</t>
    </r>
    <r>
      <rPr>
        <sz val="9"/>
        <color rgb="FFFF0000"/>
        <rFont val="Calibri"/>
        <family val="2"/>
        <scheme val="minor"/>
      </rPr>
      <t xml:space="preserve"> </t>
    </r>
    <r>
      <rPr>
        <sz val="9"/>
        <rFont val="Calibri"/>
        <family val="2"/>
      </rPr>
      <t>For unsymmetrical structures, structures deflected more than 5% from design shape, or those that show localized distortions require that the actual maximum radius be determined in those distorted areas as show above. Use two times the actual maximum radius rather than the span in structural design checks. Typically this provides a conservative evaluation of the structure. Calculate maximum existing top radius by taking measurements around the upper periphery of the culvert using a ruler of length "P" to obtain values of "M". This should be done at selected stations along length of culvert, particularly at locations with noticeable sag.</t>
    </r>
  </si>
  <si>
    <r>
      <t xml:space="preserve">Structure </t>
    </r>
    <r>
      <rPr>
        <b/>
        <sz val="9"/>
        <color rgb="FFFF0000"/>
        <rFont val="Times New Roman"/>
        <family val="1"/>
      </rPr>
      <t>Category</t>
    </r>
    <r>
      <rPr>
        <sz val="10"/>
        <color rgb="FFFF0000"/>
        <rFont val="Times New Roman"/>
        <family val="1"/>
      </rPr>
      <t xml:space="preserve"> </t>
    </r>
    <r>
      <rPr>
        <sz val="8"/>
        <rFont val="Times New Roman"/>
        <family val="1"/>
      </rPr>
      <t>(based on NCSPA Design Data Sheet No. 19)</t>
    </r>
  </si>
  <si>
    <t>Typical (NCSPA design data sheet No. 19, II. A. 1.)</t>
  </si>
  <si>
    <t>Unsymmetrical  or deflect over 5% (NCSPA design data sheet No. 19, II. A. 2.)</t>
  </si>
  <si>
    <t>Long span (NCSPA design data sheet No. 19, II. A. 3.)</t>
  </si>
  <si>
    <r>
      <rPr>
        <sz val="10"/>
        <rFont val="Calibri"/>
        <family val="2"/>
      </rPr>
      <t>Longitudinal Length of Structure "L" (ft) =</t>
    </r>
  </si>
  <si>
    <t>if:</t>
  </si>
  <si>
    <t>Compare:</t>
  </si>
  <si>
    <t>S (in) =</t>
  </si>
  <si>
    <r>
      <t>T</t>
    </r>
    <r>
      <rPr>
        <vertAlign val="subscript"/>
        <sz val="10"/>
        <rFont val="Calibri"/>
        <family val="2"/>
        <scheme val="minor"/>
      </rPr>
      <t>cap</t>
    </r>
    <r>
      <rPr>
        <sz val="10"/>
        <rFont val="Calibri"/>
        <family val="2"/>
        <scheme val="minor"/>
      </rPr>
      <t xml:space="preserve"> = less of:</t>
    </r>
  </si>
  <si>
    <t>Diameter      (in)</t>
  </si>
  <si>
    <t>4 Bolts/ft (k/ft)</t>
  </si>
  <si>
    <t>6 Bolts/ft (k/ft)</t>
  </si>
  <si>
    <t>8 Bolts/ft (k/ft)</t>
  </si>
  <si>
    <t>Minimum Longitudinal Seam Strength</t>
  </si>
  <si>
    <t>(From AASHTO Standard Specification for Highway Bridges, Division I, Section 12)</t>
  </si>
  <si>
    <t>Rivet Size                   (in)</t>
  </si>
  <si>
    <t>Single Rivets (k/ft)</t>
  </si>
  <si>
    <t>Double Rivets (k/ft)</t>
  </si>
  <si>
    <t>¾</t>
  </si>
  <si>
    <t>⅞</t>
  </si>
  <si>
    <t>⅜</t>
  </si>
  <si>
    <r>
      <rPr>
        <b/>
        <sz val="11"/>
        <rFont val="Calibri"/>
        <family val="2"/>
        <scheme val="minor"/>
      </rPr>
      <t>3 x 1</t>
    </r>
    <r>
      <rPr>
        <b/>
        <sz val="9"/>
        <rFont val="Calibri"/>
        <family val="2"/>
        <scheme val="minor"/>
      </rPr>
      <t xml:space="preserve"> </t>
    </r>
    <r>
      <rPr>
        <sz val="9"/>
        <rFont val="Calibri"/>
        <family val="2"/>
        <scheme val="minor"/>
      </rPr>
      <t>(corrugated steel pipe) - Riveted or Spot Welded</t>
    </r>
  </si>
  <si>
    <r>
      <rPr>
        <b/>
        <sz val="12"/>
        <rFont val="Calibri"/>
        <family val="2"/>
        <scheme val="minor"/>
      </rPr>
      <t xml:space="preserve">2 x </t>
    </r>
    <r>
      <rPr>
        <b/>
        <sz val="12"/>
        <rFont val="Calibri"/>
        <family val="2"/>
      </rPr>
      <t>½</t>
    </r>
    <r>
      <rPr>
        <b/>
        <sz val="11"/>
        <rFont val="Calibri"/>
        <family val="2"/>
        <scheme val="minor"/>
      </rPr>
      <t xml:space="preserve"> </t>
    </r>
    <r>
      <rPr>
        <sz val="8"/>
        <rFont val="Calibri"/>
        <family val="2"/>
        <scheme val="minor"/>
      </rPr>
      <t>&amp;</t>
    </r>
    <r>
      <rPr>
        <b/>
        <sz val="12"/>
        <rFont val="Calibri"/>
        <family val="2"/>
        <scheme val="minor"/>
      </rPr>
      <t xml:space="preserve"> 2⅔ x ½</t>
    </r>
    <r>
      <rPr>
        <b/>
        <sz val="11"/>
        <rFont val="Calibri"/>
        <family val="2"/>
        <scheme val="minor"/>
      </rPr>
      <t xml:space="preserve"> </t>
    </r>
    <r>
      <rPr>
        <b/>
        <sz val="9"/>
        <rFont val="Calibri"/>
        <family val="2"/>
        <scheme val="minor"/>
      </rPr>
      <t xml:space="preserve"> </t>
    </r>
    <r>
      <rPr>
        <sz val="9"/>
        <rFont val="Calibri"/>
        <family val="2"/>
        <scheme val="minor"/>
      </rPr>
      <t>(corrugated steel pipe) - Riveted or Spot Welded</t>
    </r>
  </si>
  <si>
    <r>
      <rPr>
        <b/>
        <sz val="12"/>
        <rFont val="Calibri"/>
        <family val="2"/>
        <scheme val="minor"/>
      </rPr>
      <t xml:space="preserve">2 x </t>
    </r>
    <r>
      <rPr>
        <b/>
        <sz val="12"/>
        <rFont val="Calibri"/>
        <family val="2"/>
      </rPr>
      <t>½</t>
    </r>
    <r>
      <rPr>
        <b/>
        <sz val="11"/>
        <rFont val="Calibri"/>
        <family val="2"/>
        <scheme val="minor"/>
      </rPr>
      <t xml:space="preserve"> </t>
    </r>
    <r>
      <rPr>
        <sz val="8"/>
        <rFont val="Calibri"/>
        <family val="2"/>
        <scheme val="minor"/>
      </rPr>
      <t>&amp;</t>
    </r>
    <r>
      <rPr>
        <b/>
        <sz val="12"/>
        <rFont val="Calibri"/>
        <family val="2"/>
        <scheme val="minor"/>
      </rPr>
      <t xml:space="preserve"> 2⅔ x ½</t>
    </r>
    <r>
      <rPr>
        <b/>
        <sz val="11"/>
        <rFont val="Calibri"/>
        <family val="2"/>
        <scheme val="minor"/>
      </rPr>
      <t xml:space="preserve"> </t>
    </r>
    <r>
      <rPr>
        <b/>
        <sz val="9"/>
        <rFont val="Calibri"/>
        <family val="2"/>
        <scheme val="minor"/>
      </rPr>
      <t xml:space="preserve"> </t>
    </r>
    <r>
      <rPr>
        <sz val="9"/>
        <rFont val="Calibri"/>
        <family val="2"/>
        <scheme val="minor"/>
      </rPr>
      <t>(corrugated aluminum pipe) - Riveted</t>
    </r>
  </si>
  <si>
    <r>
      <rPr>
        <b/>
        <sz val="11"/>
        <rFont val="Calibri"/>
        <family val="2"/>
        <scheme val="minor"/>
      </rPr>
      <t>3 x 1</t>
    </r>
    <r>
      <rPr>
        <b/>
        <sz val="9"/>
        <rFont val="Calibri"/>
        <family val="2"/>
        <scheme val="minor"/>
      </rPr>
      <t xml:space="preserve"> </t>
    </r>
    <r>
      <rPr>
        <sz val="9"/>
        <rFont val="Calibri"/>
        <family val="2"/>
        <scheme val="minor"/>
      </rPr>
      <t>(corrugated aluminum pipe) - Riveted</t>
    </r>
  </si>
  <si>
    <r>
      <rPr>
        <b/>
        <sz val="11"/>
        <rFont val="Calibri"/>
        <family val="2"/>
        <scheme val="minor"/>
      </rPr>
      <t>6 x 1</t>
    </r>
    <r>
      <rPr>
        <b/>
        <sz val="9"/>
        <rFont val="Calibri"/>
        <family val="2"/>
        <scheme val="minor"/>
      </rPr>
      <t xml:space="preserve"> </t>
    </r>
    <r>
      <rPr>
        <sz val="9"/>
        <rFont val="Calibri"/>
        <family val="2"/>
        <scheme val="minor"/>
      </rPr>
      <t>(corrugated aluminum pipe) - Riveted</t>
    </r>
  </si>
  <si>
    <t>steel bolts</t>
  </si>
  <si>
    <t>aluminum bolts</t>
  </si>
  <si>
    <r>
      <rPr>
        <sz val="10"/>
        <rFont val="Calibri"/>
        <family val="2"/>
        <scheme val="minor"/>
      </rPr>
      <t>5</t>
    </r>
    <r>
      <rPr>
        <sz val="10"/>
        <rFont val="Calibri"/>
        <family val="2"/>
      </rPr>
      <t>⅓</t>
    </r>
    <r>
      <rPr>
        <sz val="8"/>
        <rFont val="Calibri"/>
        <family val="2"/>
        <scheme val="minor"/>
      </rPr>
      <t xml:space="preserve"> Bolts/ft (k/ft)</t>
    </r>
  </si>
  <si>
    <t>Diameter                    (in)</t>
  </si>
  <si>
    <r>
      <rPr>
        <sz val="10"/>
        <rFont val="Calibri"/>
        <family val="2"/>
        <scheme val="minor"/>
      </rPr>
      <t>5</t>
    </r>
    <r>
      <rPr>
        <sz val="10"/>
        <rFont val="Calibri"/>
        <family val="2"/>
      </rPr>
      <t>⅓</t>
    </r>
    <r>
      <rPr>
        <sz val="8"/>
        <rFont val="Calibri"/>
        <family val="2"/>
        <scheme val="minor"/>
      </rPr>
      <t xml:space="preserve"> Bolts/ft               (k/ft)</t>
    </r>
  </si>
  <si>
    <t>Double Rivets                (k/ft)</t>
  </si>
  <si>
    <t>Double Rivets             (k/ft)</t>
  </si>
  <si>
    <r>
      <t>φ</t>
    </r>
    <r>
      <rPr>
        <vertAlign val="subscript"/>
        <sz val="10"/>
        <rFont val="Calibri"/>
        <family val="2"/>
        <scheme val="minor"/>
      </rPr>
      <t>1</t>
    </r>
    <r>
      <rPr>
        <sz val="10"/>
        <rFont val="Calibri"/>
        <family val="2"/>
        <scheme val="minor"/>
      </rPr>
      <t xml:space="preserve"> = capacity modification factor for </t>
    </r>
    <r>
      <rPr>
        <b/>
        <sz val="10"/>
        <rFont val="Calibri"/>
        <family val="2"/>
      </rPr>
      <t>wall area and buckling</t>
    </r>
  </si>
  <si>
    <r>
      <t>φ</t>
    </r>
    <r>
      <rPr>
        <vertAlign val="subscript"/>
        <sz val="10"/>
        <rFont val="Calibri"/>
        <family val="2"/>
        <scheme val="minor"/>
      </rPr>
      <t>2</t>
    </r>
    <r>
      <rPr>
        <sz val="10"/>
        <rFont val="Calibri"/>
        <family val="2"/>
        <scheme val="minor"/>
      </rPr>
      <t xml:space="preserve"> = capacity modification factor for </t>
    </r>
    <r>
      <rPr>
        <b/>
        <sz val="10"/>
        <rFont val="Calibri"/>
        <family val="2"/>
      </rPr>
      <t>seam strength</t>
    </r>
    <r>
      <rPr>
        <sz val="10"/>
        <rFont val="Calibri"/>
        <family val="2"/>
      </rPr>
      <t/>
    </r>
  </si>
  <si>
    <r>
      <t xml:space="preserve">3.  seam strength = </t>
    </r>
    <r>
      <rPr>
        <sz val="10"/>
        <rFont val="Calibri"/>
        <family val="2"/>
      </rPr>
      <t>φ</t>
    </r>
    <r>
      <rPr>
        <vertAlign val="subscript"/>
        <sz val="10"/>
        <rFont val="Calibri"/>
        <family val="2"/>
      </rPr>
      <t>2</t>
    </r>
    <r>
      <rPr>
        <sz val="10"/>
        <rFont val="Calibri"/>
        <family val="2"/>
      </rPr>
      <t xml:space="preserve"> x (seam strength) =</t>
    </r>
  </si>
  <si>
    <t>k/ft</t>
  </si>
  <si>
    <r>
      <t>T</t>
    </r>
    <r>
      <rPr>
        <vertAlign val="subscript"/>
        <sz val="10"/>
        <rFont val="Calibri"/>
        <family val="2"/>
        <scheme val="minor"/>
      </rPr>
      <t>E</t>
    </r>
    <r>
      <rPr>
        <sz val="10"/>
        <rFont val="Calibri"/>
        <family val="2"/>
        <scheme val="minor"/>
      </rPr>
      <t xml:space="preserve"> = higher value of :</t>
    </r>
  </si>
  <si>
    <r>
      <t xml:space="preserve">1.   </t>
    </r>
    <r>
      <rPr>
        <sz val="10"/>
        <rFont val="Calibri"/>
        <family val="2"/>
      </rPr>
      <t>δ H (S/2) =</t>
    </r>
  </si>
  <si>
    <r>
      <t xml:space="preserve">2.   </t>
    </r>
    <r>
      <rPr>
        <sz val="10"/>
        <rFont val="Calibri"/>
        <family val="2"/>
      </rPr>
      <t>δ H R</t>
    </r>
    <r>
      <rPr>
        <vertAlign val="subscript"/>
        <sz val="10"/>
        <rFont val="Calibri"/>
        <family val="2"/>
      </rPr>
      <t>t</t>
    </r>
    <r>
      <rPr>
        <sz val="10"/>
        <rFont val="Calibri"/>
        <family val="2"/>
      </rPr>
      <t xml:space="preserve"> =</t>
    </r>
  </si>
  <si>
    <r>
      <t>T</t>
    </r>
    <r>
      <rPr>
        <vertAlign val="subscript"/>
        <sz val="10"/>
        <rFont val="Calibri"/>
        <family val="2"/>
        <scheme val="minor"/>
      </rPr>
      <t>(L+I)</t>
    </r>
    <r>
      <rPr>
        <sz val="10"/>
        <rFont val="Calibri"/>
        <family val="2"/>
        <scheme val="minor"/>
      </rPr>
      <t xml:space="preserve"> = higher value of :</t>
    </r>
  </si>
  <si>
    <r>
      <rPr>
        <sz val="9"/>
        <rFont val="Calibri"/>
        <family val="2"/>
      </rPr>
      <t>φ</t>
    </r>
    <r>
      <rPr>
        <vertAlign val="subscript"/>
        <sz val="9"/>
        <rFont val="Calibri"/>
        <family val="2"/>
      </rPr>
      <t>loss</t>
    </r>
    <r>
      <rPr>
        <sz val="9"/>
        <rFont val="Calibri"/>
        <family val="2"/>
      </rPr>
      <t xml:space="preserve"> = </t>
    </r>
    <r>
      <rPr>
        <sz val="9"/>
        <rFont val="Calibri"/>
        <family val="2"/>
        <scheme val="minor"/>
      </rPr>
      <t xml:space="preserve">Section Properties reduction factor on the basis of metal loss from the materials field evaluation =    </t>
    </r>
  </si>
  <si>
    <t>I =</t>
  </si>
  <si>
    <t>for  1'-1" &lt; H &lt; 2'-0"</t>
  </si>
  <si>
    <t>for  0'-0" &lt; H &lt; 1'-0"</t>
  </si>
  <si>
    <t>for  2'-1" &lt; H &lt; 2'-11"</t>
  </si>
  <si>
    <r>
      <t xml:space="preserve">Based on </t>
    </r>
    <r>
      <rPr>
        <b/>
        <sz val="10"/>
        <rFont val="Calibri"/>
        <family val="2"/>
        <scheme val="minor"/>
      </rPr>
      <t>AASHTO 3.8.2.3</t>
    </r>
    <r>
      <rPr>
        <sz val="10"/>
        <rFont val="Calibri"/>
        <family val="2"/>
        <scheme val="minor"/>
      </rPr>
      <t>:</t>
    </r>
  </si>
  <si>
    <r>
      <t xml:space="preserve">for   H </t>
    </r>
    <r>
      <rPr>
        <sz val="10"/>
        <rFont val="Calibri"/>
        <family val="2"/>
      </rPr>
      <t>≥</t>
    </r>
    <r>
      <rPr>
        <sz val="10"/>
        <rFont val="Calibri"/>
        <family val="2"/>
        <scheme val="minor"/>
      </rPr>
      <t xml:space="preserve"> 3'-0"</t>
    </r>
  </si>
  <si>
    <r>
      <t xml:space="preserve">So, for this structure: Depth of Fill, </t>
    </r>
    <r>
      <rPr>
        <b/>
        <sz val="10"/>
        <rFont val="Calibri"/>
        <family val="2"/>
        <scheme val="minor"/>
      </rPr>
      <t>H</t>
    </r>
    <r>
      <rPr>
        <sz val="10"/>
        <rFont val="Calibri"/>
        <family val="2"/>
        <scheme val="minor"/>
      </rPr>
      <t>=</t>
    </r>
  </si>
  <si>
    <r>
      <t>W</t>
    </r>
    <r>
      <rPr>
        <vertAlign val="subscript"/>
        <sz val="10"/>
        <rFont val="Calibri"/>
        <family val="2"/>
        <scheme val="minor"/>
      </rPr>
      <t>W</t>
    </r>
    <r>
      <rPr>
        <sz val="10"/>
        <rFont val="Calibri"/>
        <family val="2"/>
        <scheme val="minor"/>
      </rPr>
      <t xml:space="preserve"> = 20" =</t>
    </r>
  </si>
  <si>
    <r>
      <t>L</t>
    </r>
    <r>
      <rPr>
        <vertAlign val="subscript"/>
        <sz val="10"/>
        <rFont val="Calibri"/>
        <family val="2"/>
        <scheme val="minor"/>
      </rPr>
      <t>W</t>
    </r>
    <r>
      <rPr>
        <sz val="10"/>
        <rFont val="Calibri"/>
        <family val="2"/>
        <scheme val="minor"/>
      </rPr>
      <t xml:space="preserve"> = 10" =</t>
    </r>
  </si>
  <si>
    <r>
      <t>W</t>
    </r>
    <r>
      <rPr>
        <vertAlign val="subscript"/>
        <sz val="10"/>
        <rFont val="Calibri"/>
        <family val="2"/>
        <scheme val="minor"/>
      </rPr>
      <t>W</t>
    </r>
    <r>
      <rPr>
        <sz val="10"/>
        <rFont val="Calibri"/>
        <family val="2"/>
        <scheme val="minor"/>
      </rPr>
      <t xml:space="preserve"> =</t>
    </r>
  </si>
  <si>
    <r>
      <t>L</t>
    </r>
    <r>
      <rPr>
        <vertAlign val="subscript"/>
        <sz val="10"/>
        <rFont val="Calibri"/>
        <family val="2"/>
        <scheme val="minor"/>
      </rPr>
      <t>W</t>
    </r>
    <r>
      <rPr>
        <sz val="10"/>
        <rFont val="Calibri"/>
        <family val="2"/>
        <scheme val="minor"/>
      </rPr>
      <t xml:space="preserve"> =</t>
    </r>
  </si>
  <si>
    <r>
      <t>W</t>
    </r>
    <r>
      <rPr>
        <vertAlign val="subscript"/>
        <sz val="9"/>
        <rFont val="Calibri"/>
        <family val="2"/>
        <scheme val="minor"/>
      </rPr>
      <t>W</t>
    </r>
    <r>
      <rPr>
        <sz val="9"/>
        <rFont val="Calibri"/>
        <family val="2"/>
        <scheme val="minor"/>
      </rPr>
      <t xml:space="preserve"> = 2.5 L</t>
    </r>
    <r>
      <rPr>
        <vertAlign val="subscript"/>
        <sz val="9"/>
        <rFont val="Calibri"/>
        <family val="2"/>
        <scheme val="minor"/>
      </rPr>
      <t>W</t>
    </r>
  </si>
  <si>
    <r>
      <t>L</t>
    </r>
    <r>
      <rPr>
        <vertAlign val="subscript"/>
        <sz val="10"/>
        <rFont val="Calibri"/>
        <family val="2"/>
        <scheme val="minor"/>
      </rPr>
      <t>D</t>
    </r>
    <r>
      <rPr>
        <sz val="10"/>
        <rFont val="Calibri"/>
        <family val="2"/>
        <scheme val="minor"/>
      </rPr>
      <t xml:space="preserve"> = 0.83 + 1.75H =</t>
    </r>
  </si>
  <si>
    <r>
      <t>W</t>
    </r>
    <r>
      <rPr>
        <vertAlign val="subscript"/>
        <sz val="11"/>
        <rFont val="Calibri"/>
        <family val="2"/>
        <scheme val="minor"/>
      </rPr>
      <t>D</t>
    </r>
    <r>
      <rPr>
        <sz val="11"/>
        <rFont val="Calibri"/>
        <family val="2"/>
        <scheme val="minor"/>
      </rPr>
      <t xml:space="preserve"> = W</t>
    </r>
    <r>
      <rPr>
        <vertAlign val="subscript"/>
        <sz val="11"/>
        <rFont val="Calibri"/>
        <family val="2"/>
        <scheme val="minor"/>
      </rPr>
      <t>W</t>
    </r>
    <r>
      <rPr>
        <sz val="11"/>
        <rFont val="Calibri"/>
        <family val="2"/>
        <scheme val="minor"/>
      </rPr>
      <t xml:space="preserve"> + 1.75H</t>
    </r>
  </si>
  <si>
    <r>
      <t>L</t>
    </r>
    <r>
      <rPr>
        <vertAlign val="subscript"/>
        <sz val="11"/>
        <rFont val="Calibri"/>
        <family val="2"/>
        <scheme val="minor"/>
      </rPr>
      <t>D</t>
    </r>
    <r>
      <rPr>
        <sz val="11"/>
        <rFont val="Calibri"/>
        <family val="2"/>
        <scheme val="minor"/>
      </rPr>
      <t xml:space="preserve"> = L</t>
    </r>
    <r>
      <rPr>
        <vertAlign val="subscript"/>
        <sz val="11"/>
        <rFont val="Calibri"/>
        <family val="2"/>
        <scheme val="minor"/>
      </rPr>
      <t>W</t>
    </r>
    <r>
      <rPr>
        <sz val="11"/>
        <rFont val="Calibri"/>
        <family val="2"/>
        <scheme val="minor"/>
      </rPr>
      <t xml:space="preserve"> + 1.75H</t>
    </r>
  </si>
  <si>
    <t>Pressure on the tire contact area is distributed on the culvert through the cover depth, Dimension as:</t>
  </si>
  <si>
    <r>
      <t>L</t>
    </r>
    <r>
      <rPr>
        <vertAlign val="subscript"/>
        <sz val="10"/>
        <rFont val="Calibri"/>
        <family val="2"/>
        <scheme val="minor"/>
      </rPr>
      <t>D</t>
    </r>
    <r>
      <rPr>
        <sz val="10"/>
        <rFont val="Calibri"/>
        <family val="2"/>
        <scheme val="minor"/>
      </rPr>
      <t xml:space="preserve"> =</t>
    </r>
  </si>
  <si>
    <r>
      <t>W</t>
    </r>
    <r>
      <rPr>
        <vertAlign val="subscript"/>
        <sz val="10"/>
        <rFont val="Calibri"/>
        <family val="2"/>
        <scheme val="minor"/>
      </rPr>
      <t>D</t>
    </r>
    <r>
      <rPr>
        <sz val="10"/>
        <rFont val="Calibri"/>
        <family val="2"/>
        <scheme val="minor"/>
      </rPr>
      <t xml:space="preserve"> = 1.67+1.75H=</t>
    </r>
  </si>
  <si>
    <r>
      <t>W</t>
    </r>
    <r>
      <rPr>
        <vertAlign val="subscript"/>
        <sz val="10"/>
        <rFont val="Calibri"/>
        <family val="2"/>
        <scheme val="minor"/>
      </rPr>
      <t>D</t>
    </r>
    <r>
      <rPr>
        <sz val="10"/>
        <rFont val="Calibri"/>
        <family val="2"/>
        <scheme val="minor"/>
      </rPr>
      <t xml:space="preserve"> =</t>
    </r>
  </si>
  <si>
    <t>3F1</t>
  </si>
  <si>
    <t>4F1</t>
  </si>
  <si>
    <t>5C1</t>
  </si>
  <si>
    <t>wheel spacing on axle</t>
  </si>
  <si>
    <r>
      <t>A = W</t>
    </r>
    <r>
      <rPr>
        <vertAlign val="subscript"/>
        <sz val="9"/>
        <rFont val="Calibri"/>
        <family val="2"/>
        <scheme val="minor"/>
      </rPr>
      <t>W</t>
    </r>
    <r>
      <rPr>
        <sz val="9"/>
        <rFont val="Calibri"/>
        <family val="2"/>
        <scheme val="minor"/>
      </rPr>
      <t xml:space="preserve"> x L</t>
    </r>
    <r>
      <rPr>
        <vertAlign val="subscript"/>
        <sz val="9"/>
        <rFont val="Calibri"/>
        <family val="2"/>
        <scheme val="minor"/>
      </rPr>
      <t>W</t>
    </r>
    <r>
      <rPr>
        <sz val="9"/>
        <rFont val="Calibri"/>
        <family val="2"/>
        <scheme val="minor"/>
      </rPr>
      <t xml:space="preserve"> = 0.01 P</t>
    </r>
    <r>
      <rPr>
        <vertAlign val="subscript"/>
        <sz val="9"/>
        <rFont val="Calibri"/>
        <family val="2"/>
        <scheme val="minor"/>
      </rPr>
      <t>(1+</t>
    </r>
    <r>
      <rPr>
        <vertAlign val="subscript"/>
        <sz val="9"/>
        <rFont val="Times New Roman"/>
        <family val="1"/>
      </rPr>
      <t>I</t>
    </r>
    <r>
      <rPr>
        <vertAlign val="subscript"/>
        <sz val="9"/>
        <rFont val="Calibri"/>
        <family val="2"/>
        <scheme val="minor"/>
      </rPr>
      <t>)</t>
    </r>
  </si>
  <si>
    <r>
      <rPr>
        <sz val="10"/>
        <rFont val="Times New Roman"/>
        <family val="1"/>
      </rPr>
      <t>(1+</t>
    </r>
    <r>
      <rPr>
        <b/>
        <sz val="10"/>
        <rFont val="Times New Roman"/>
        <family val="1"/>
      </rPr>
      <t>I</t>
    </r>
    <r>
      <rPr>
        <sz val="10"/>
        <rFont val="Times New Roman"/>
        <family val="1"/>
      </rPr>
      <t>) =</t>
    </r>
  </si>
  <si>
    <r>
      <t>Heavy Axle Load</t>
    </r>
    <r>
      <rPr>
        <sz val="8"/>
        <rFont val="Calibri"/>
        <family val="2"/>
        <scheme val="minor"/>
      </rPr>
      <t xml:space="preserve"> (lbs)</t>
    </r>
  </si>
  <si>
    <r>
      <t xml:space="preserve">1.   </t>
    </r>
    <r>
      <rPr>
        <sz val="10"/>
        <rFont val="Calibri"/>
        <family val="2"/>
      </rPr>
      <t xml:space="preserve">ρ </t>
    </r>
    <r>
      <rPr>
        <vertAlign val="subscript"/>
        <sz val="10"/>
        <rFont val="Calibri"/>
        <family val="2"/>
      </rPr>
      <t>(L+I)</t>
    </r>
    <r>
      <rPr>
        <sz val="10"/>
        <rFont val="Calibri"/>
        <family val="2"/>
      </rPr>
      <t xml:space="preserve">  (S/2) =</t>
    </r>
  </si>
  <si>
    <r>
      <t xml:space="preserve">2.   </t>
    </r>
    <r>
      <rPr>
        <sz val="10"/>
        <rFont val="Calibri"/>
        <family val="2"/>
      </rPr>
      <t xml:space="preserve">ρ </t>
    </r>
    <r>
      <rPr>
        <vertAlign val="subscript"/>
        <sz val="10"/>
        <rFont val="Calibri"/>
        <family val="2"/>
      </rPr>
      <t>(L+I)</t>
    </r>
    <r>
      <rPr>
        <sz val="10"/>
        <rFont val="Calibri"/>
        <family val="2"/>
      </rPr>
      <t xml:space="preserve">  R</t>
    </r>
    <r>
      <rPr>
        <vertAlign val="subscript"/>
        <sz val="10"/>
        <rFont val="Calibri"/>
        <family val="2"/>
      </rPr>
      <t>t</t>
    </r>
    <r>
      <rPr>
        <sz val="10"/>
        <rFont val="Calibri"/>
        <family val="2"/>
      </rPr>
      <t xml:space="preserve"> =</t>
    </r>
  </si>
  <si>
    <r>
      <t xml:space="preserve">The surface tire contact area for HS20 loading </t>
    </r>
    <r>
      <rPr>
        <sz val="10"/>
        <rFont val="Calibri"/>
        <family val="2"/>
        <scheme val="minor"/>
      </rPr>
      <t>(per AASHTO 3.30)</t>
    </r>
    <r>
      <rPr>
        <b/>
        <sz val="10"/>
        <rFont val="Calibri"/>
        <family val="2"/>
        <scheme val="minor"/>
      </rPr>
      <t>:</t>
    </r>
  </si>
  <si>
    <r>
      <t xml:space="preserve">The surface tire contact area for Ohio Legal Trucks </t>
    </r>
    <r>
      <rPr>
        <sz val="10"/>
        <rFont val="Calibri"/>
        <family val="2"/>
        <scheme val="minor"/>
      </rPr>
      <t>(Per NCSPA Design Data Sheet No. 19 Appendix C. 2)</t>
    </r>
    <r>
      <rPr>
        <b/>
        <sz val="10"/>
        <rFont val="Calibri"/>
        <family val="2"/>
        <scheme val="minor"/>
      </rPr>
      <t xml:space="preserve"> :</t>
    </r>
  </si>
  <si>
    <r>
      <t>W</t>
    </r>
    <r>
      <rPr>
        <b/>
        <vertAlign val="subscript"/>
        <sz val="9"/>
        <rFont val="Calibri"/>
        <family val="2"/>
        <scheme val="minor"/>
      </rPr>
      <t xml:space="preserve">D (total) </t>
    </r>
    <r>
      <rPr>
        <b/>
        <sz val="9"/>
        <rFont val="Calibri"/>
        <family val="2"/>
        <scheme val="minor"/>
      </rPr>
      <t xml:space="preserve">= </t>
    </r>
  </si>
  <si>
    <t xml:space="preserve">ft </t>
  </si>
  <si>
    <t>Structure Total Length, L =</t>
  </si>
  <si>
    <r>
      <rPr>
        <b/>
        <sz val="10"/>
        <rFont val="Calibri"/>
        <family val="2"/>
        <scheme val="minor"/>
      </rPr>
      <t xml:space="preserve">P </t>
    </r>
    <r>
      <rPr>
        <b/>
        <vertAlign val="subscript"/>
        <sz val="10"/>
        <rFont val="Calibri"/>
        <family val="2"/>
        <scheme val="minor"/>
      </rPr>
      <t xml:space="preserve">(1+ </t>
    </r>
    <r>
      <rPr>
        <b/>
        <vertAlign val="subscript"/>
        <sz val="10"/>
        <rFont val="Times New Roman"/>
        <family val="1"/>
      </rPr>
      <t>I</t>
    </r>
    <r>
      <rPr>
        <b/>
        <vertAlign val="subscript"/>
        <sz val="10"/>
        <rFont val="Calibri"/>
        <family val="2"/>
        <scheme val="minor"/>
      </rPr>
      <t>)</t>
    </r>
    <r>
      <rPr>
        <sz val="10"/>
        <rFont val="Calibri"/>
        <family val="2"/>
        <scheme val="minor"/>
      </rPr>
      <t xml:space="preserve"> </t>
    </r>
    <r>
      <rPr>
        <sz val="8"/>
        <rFont val="Calibri"/>
        <family val="2"/>
        <scheme val="minor"/>
      </rPr>
      <t xml:space="preserve">(lbs) </t>
    </r>
    <r>
      <rPr>
        <sz val="10"/>
        <rFont val="Calibri"/>
        <family val="2"/>
        <scheme val="minor"/>
      </rPr>
      <t>=</t>
    </r>
  </si>
  <si>
    <r>
      <t>W</t>
    </r>
    <r>
      <rPr>
        <b/>
        <vertAlign val="subscript"/>
        <sz val="9"/>
        <rFont val="Calibri"/>
        <family val="2"/>
        <scheme val="minor"/>
      </rPr>
      <t xml:space="preserve">D </t>
    </r>
    <r>
      <rPr>
        <sz val="8"/>
        <rFont val="Calibri"/>
        <family val="2"/>
        <scheme val="minor"/>
      </rPr>
      <t>(ft)</t>
    </r>
    <r>
      <rPr>
        <b/>
        <vertAlign val="subscript"/>
        <sz val="9"/>
        <rFont val="Calibri"/>
        <family val="2"/>
        <scheme val="minor"/>
      </rPr>
      <t xml:space="preserve"> </t>
    </r>
    <r>
      <rPr>
        <b/>
        <sz val="9"/>
        <rFont val="Calibri"/>
        <family val="2"/>
        <scheme val="minor"/>
      </rPr>
      <t>=</t>
    </r>
  </si>
  <si>
    <r>
      <rPr>
        <b/>
        <sz val="10"/>
        <rFont val="Calibri"/>
        <family val="2"/>
        <scheme val="minor"/>
      </rPr>
      <t>L</t>
    </r>
    <r>
      <rPr>
        <b/>
        <vertAlign val="subscript"/>
        <sz val="10"/>
        <rFont val="Calibri"/>
        <family val="2"/>
        <scheme val="minor"/>
      </rPr>
      <t>D</t>
    </r>
    <r>
      <rPr>
        <b/>
        <vertAlign val="subscript"/>
        <sz val="9"/>
        <rFont val="Calibri"/>
        <family val="2"/>
        <scheme val="minor"/>
      </rPr>
      <t xml:space="preserve"> (total)</t>
    </r>
    <r>
      <rPr>
        <b/>
        <sz val="9"/>
        <rFont val="Calibri"/>
        <family val="2"/>
        <scheme val="minor"/>
      </rPr>
      <t xml:space="preserve"> =</t>
    </r>
  </si>
  <si>
    <r>
      <rPr>
        <b/>
        <sz val="10"/>
        <rFont val="Calibri"/>
        <family val="2"/>
        <scheme val="minor"/>
      </rPr>
      <t>L</t>
    </r>
    <r>
      <rPr>
        <b/>
        <vertAlign val="subscript"/>
        <sz val="10"/>
        <rFont val="Calibri"/>
        <family val="2"/>
        <scheme val="minor"/>
      </rPr>
      <t>D</t>
    </r>
    <r>
      <rPr>
        <b/>
        <sz val="8"/>
        <rFont val="Calibri"/>
        <family val="2"/>
        <scheme val="minor"/>
      </rPr>
      <t xml:space="preserve"> </t>
    </r>
    <r>
      <rPr>
        <sz val="8"/>
        <rFont val="Calibri"/>
        <family val="2"/>
        <scheme val="minor"/>
      </rPr>
      <t>(ft)</t>
    </r>
    <r>
      <rPr>
        <vertAlign val="subscript"/>
        <sz val="9"/>
        <rFont val="Calibri"/>
        <family val="2"/>
        <scheme val="minor"/>
      </rPr>
      <t xml:space="preserve"> </t>
    </r>
    <r>
      <rPr>
        <b/>
        <sz val="9"/>
        <rFont val="Calibri"/>
        <family val="2"/>
        <scheme val="minor"/>
      </rPr>
      <t>=</t>
    </r>
  </si>
  <si>
    <r>
      <rPr>
        <b/>
        <sz val="10"/>
        <color rgb="FFFF0000"/>
        <rFont val="Calibri"/>
        <family val="2"/>
        <scheme val="minor"/>
      </rPr>
      <t>*</t>
    </r>
    <r>
      <rPr>
        <b/>
        <sz val="10"/>
        <rFont val="Calibri"/>
        <family val="2"/>
        <scheme val="minor"/>
      </rPr>
      <t xml:space="preserve"> A</t>
    </r>
    <r>
      <rPr>
        <b/>
        <vertAlign val="subscript"/>
        <sz val="10"/>
        <rFont val="Calibri"/>
        <family val="2"/>
        <scheme val="minor"/>
      </rPr>
      <t>D</t>
    </r>
    <r>
      <rPr>
        <sz val="8"/>
        <rFont val="Calibri"/>
        <family val="2"/>
        <scheme val="minor"/>
      </rPr>
      <t xml:space="preserve"> (ft</t>
    </r>
    <r>
      <rPr>
        <vertAlign val="superscript"/>
        <sz val="8"/>
        <rFont val="Calibri"/>
        <family val="2"/>
        <scheme val="minor"/>
      </rPr>
      <t>2</t>
    </r>
    <r>
      <rPr>
        <sz val="8"/>
        <rFont val="Calibri"/>
        <family val="2"/>
        <scheme val="minor"/>
      </rPr>
      <t>)</t>
    </r>
    <r>
      <rPr>
        <b/>
        <sz val="10"/>
        <rFont val="Calibri"/>
        <family val="2"/>
        <scheme val="minor"/>
      </rPr>
      <t xml:space="preserve"> </t>
    </r>
    <r>
      <rPr>
        <sz val="10"/>
        <rFont val="Calibri"/>
        <family val="2"/>
        <scheme val="minor"/>
      </rPr>
      <t>=</t>
    </r>
  </si>
  <si>
    <t>D.   Load Rating Factors for Ring Compression Structures:</t>
  </si>
  <si>
    <r>
      <t xml:space="preserve">               a. </t>
    </r>
    <r>
      <rPr>
        <sz val="11"/>
        <rFont val="Calibri"/>
        <family val="2"/>
        <scheme val="minor"/>
      </rPr>
      <t>RF</t>
    </r>
    <r>
      <rPr>
        <vertAlign val="subscript"/>
        <sz val="11"/>
        <rFont val="Calibri"/>
        <family val="2"/>
        <scheme val="minor"/>
      </rPr>
      <t>O</t>
    </r>
    <r>
      <rPr>
        <sz val="11"/>
        <rFont val="Calibri"/>
        <family val="2"/>
        <scheme val="minor"/>
      </rPr>
      <t xml:space="preserve"> based on wall strength</t>
    </r>
  </si>
  <si>
    <r>
      <t>T</t>
    </r>
    <r>
      <rPr>
        <b/>
        <vertAlign val="subscript"/>
        <sz val="10"/>
        <rFont val="Calibri"/>
        <family val="2"/>
        <scheme val="minor"/>
      </rPr>
      <t>cap</t>
    </r>
  </si>
  <si>
    <r>
      <t>T</t>
    </r>
    <r>
      <rPr>
        <b/>
        <vertAlign val="subscript"/>
        <sz val="10"/>
        <rFont val="Calibri"/>
        <family val="2"/>
        <scheme val="minor"/>
      </rPr>
      <t>E</t>
    </r>
    <r>
      <rPr>
        <b/>
        <sz val="10"/>
        <rFont val="Calibri"/>
        <family val="2"/>
        <scheme val="minor"/>
      </rPr>
      <t xml:space="preserve"> </t>
    </r>
  </si>
  <si>
    <r>
      <t>T</t>
    </r>
    <r>
      <rPr>
        <b/>
        <vertAlign val="subscript"/>
        <sz val="10"/>
        <rFont val="Calibri"/>
        <family val="2"/>
        <scheme val="minor"/>
      </rPr>
      <t>(L+I)</t>
    </r>
  </si>
  <si>
    <r>
      <t>RF</t>
    </r>
    <r>
      <rPr>
        <b/>
        <vertAlign val="subscript"/>
        <sz val="10"/>
        <rFont val="Calibri"/>
        <family val="2"/>
        <scheme val="minor"/>
      </rPr>
      <t>O-W</t>
    </r>
  </si>
  <si>
    <t>Load Rating Summary:</t>
  </si>
  <si>
    <t>Load</t>
  </si>
  <si>
    <t>GVW</t>
  </si>
  <si>
    <t>Rating Factor</t>
  </si>
  <si>
    <t>Safe Load</t>
  </si>
  <si>
    <t>HS Rating</t>
  </si>
  <si>
    <t>Inventory</t>
  </si>
  <si>
    <t>Operating</t>
  </si>
  <si>
    <t>Ohio Legal %</t>
  </si>
  <si>
    <r>
      <t xml:space="preserve">               b. </t>
    </r>
    <r>
      <rPr>
        <sz val="11"/>
        <rFont val="Calibri"/>
        <family val="2"/>
        <scheme val="minor"/>
      </rPr>
      <t>RF</t>
    </r>
    <r>
      <rPr>
        <vertAlign val="subscript"/>
        <sz val="11"/>
        <rFont val="Calibri"/>
        <family val="2"/>
        <scheme val="minor"/>
      </rPr>
      <t>O</t>
    </r>
    <r>
      <rPr>
        <sz val="11"/>
        <rFont val="Calibri"/>
        <family val="2"/>
        <scheme val="minor"/>
      </rPr>
      <t xml:space="preserve"> based on minimum cover requirements</t>
    </r>
  </si>
  <si>
    <r>
      <t xml:space="preserve">      1.  Operating</t>
    </r>
    <r>
      <rPr>
        <sz val="12"/>
        <rFont val="Calibri"/>
        <family val="2"/>
        <scheme val="minor"/>
      </rPr>
      <t xml:space="preserve"> Load Rating Factor (RF</t>
    </r>
    <r>
      <rPr>
        <vertAlign val="subscript"/>
        <sz val="12"/>
        <rFont val="Calibri"/>
        <family val="2"/>
        <scheme val="minor"/>
      </rPr>
      <t>O</t>
    </r>
    <r>
      <rPr>
        <sz val="12"/>
        <rFont val="Calibri"/>
        <family val="2"/>
        <scheme val="minor"/>
      </rPr>
      <t>):</t>
    </r>
  </si>
  <si>
    <t xml:space="preserve">         Where, </t>
  </si>
  <si>
    <r>
      <t>So,   RF</t>
    </r>
    <r>
      <rPr>
        <i/>
        <vertAlign val="subscript"/>
        <sz val="10"/>
        <rFont val="Times New Roman"/>
        <family val="1"/>
      </rPr>
      <t>O-C</t>
    </r>
    <r>
      <rPr>
        <i/>
        <sz val="10"/>
        <rFont val="Times New Roman"/>
        <family val="1"/>
      </rPr>
      <t xml:space="preserve"> =</t>
    </r>
  </si>
  <si>
    <r>
      <t>RF</t>
    </r>
    <r>
      <rPr>
        <b/>
        <vertAlign val="subscript"/>
        <sz val="10"/>
        <rFont val="Calibri"/>
        <family val="2"/>
        <scheme val="minor"/>
      </rPr>
      <t>O-C</t>
    </r>
  </si>
  <si>
    <r>
      <t>RF</t>
    </r>
    <r>
      <rPr>
        <b/>
        <vertAlign val="subscript"/>
        <sz val="10"/>
        <rFont val="Calibri"/>
        <family val="2"/>
        <scheme val="minor"/>
      </rPr>
      <t>O</t>
    </r>
  </si>
  <si>
    <r>
      <t xml:space="preserve">      2.  Inventory</t>
    </r>
    <r>
      <rPr>
        <sz val="12"/>
        <rFont val="Calibri"/>
        <family val="2"/>
        <scheme val="minor"/>
      </rPr>
      <t xml:space="preserve"> Load Rating Factor (RF</t>
    </r>
    <r>
      <rPr>
        <vertAlign val="subscript"/>
        <sz val="12"/>
        <rFont val="Calibri"/>
        <family val="2"/>
        <scheme val="minor"/>
      </rPr>
      <t>i</t>
    </r>
    <r>
      <rPr>
        <sz val="12"/>
        <rFont val="Calibri"/>
        <family val="2"/>
        <scheme val="minor"/>
      </rPr>
      <t>):</t>
    </r>
  </si>
  <si>
    <r>
      <t xml:space="preserve">               a. </t>
    </r>
    <r>
      <rPr>
        <sz val="11"/>
        <rFont val="Calibri"/>
        <family val="2"/>
        <scheme val="minor"/>
      </rPr>
      <t>RF</t>
    </r>
    <r>
      <rPr>
        <vertAlign val="subscript"/>
        <sz val="11"/>
        <rFont val="Calibri"/>
        <family val="2"/>
        <scheme val="minor"/>
      </rPr>
      <t>i</t>
    </r>
    <r>
      <rPr>
        <sz val="11"/>
        <rFont val="Calibri"/>
        <family val="2"/>
        <scheme val="minor"/>
      </rPr>
      <t xml:space="preserve"> based on wall strength</t>
    </r>
  </si>
  <si>
    <r>
      <t xml:space="preserve">               b. </t>
    </r>
    <r>
      <rPr>
        <sz val="11"/>
        <rFont val="Calibri"/>
        <family val="2"/>
        <scheme val="minor"/>
      </rPr>
      <t>RF</t>
    </r>
    <r>
      <rPr>
        <vertAlign val="subscript"/>
        <sz val="11"/>
        <rFont val="Calibri"/>
        <family val="2"/>
        <scheme val="minor"/>
      </rPr>
      <t>i</t>
    </r>
    <r>
      <rPr>
        <sz val="11"/>
        <rFont val="Calibri"/>
        <family val="2"/>
        <scheme val="minor"/>
      </rPr>
      <t xml:space="preserve"> based on minimum cover requirements</t>
    </r>
  </si>
  <si>
    <r>
      <t>RF</t>
    </r>
    <r>
      <rPr>
        <b/>
        <vertAlign val="subscript"/>
        <sz val="10"/>
        <rFont val="Calibri"/>
        <family val="2"/>
        <scheme val="minor"/>
      </rPr>
      <t>i-w</t>
    </r>
  </si>
  <si>
    <r>
      <t>RF</t>
    </r>
    <r>
      <rPr>
        <b/>
        <vertAlign val="subscript"/>
        <sz val="10"/>
        <rFont val="Calibri"/>
        <family val="2"/>
        <scheme val="minor"/>
      </rPr>
      <t>i-c</t>
    </r>
  </si>
  <si>
    <r>
      <t>RF</t>
    </r>
    <r>
      <rPr>
        <b/>
        <vertAlign val="subscript"/>
        <sz val="10"/>
        <rFont val="Calibri"/>
        <family val="2"/>
        <scheme val="minor"/>
      </rPr>
      <t>i</t>
    </r>
  </si>
  <si>
    <t>ODOT BMS ENTRIES</t>
  </si>
  <si>
    <t>Rating_Type</t>
  </si>
  <si>
    <t>Percentage Legal Load</t>
  </si>
  <si>
    <t>Rating Year</t>
  </si>
  <si>
    <t>Method of Analysis</t>
  </si>
  <si>
    <t>Analyzed by</t>
  </si>
  <si>
    <r>
      <rPr>
        <b/>
        <sz val="10"/>
        <color rgb="FFFF0000"/>
        <rFont val="Calibri"/>
        <family val="2"/>
        <scheme val="minor"/>
      </rPr>
      <t>*</t>
    </r>
    <r>
      <rPr>
        <b/>
        <sz val="9"/>
        <rFont val="Calibri"/>
        <family val="2"/>
        <scheme val="minor"/>
      </rPr>
      <t xml:space="preserve"> P</t>
    </r>
    <r>
      <rPr>
        <b/>
        <vertAlign val="subscript"/>
        <sz val="9"/>
        <rFont val="Calibri"/>
        <family val="2"/>
        <scheme val="minor"/>
      </rPr>
      <t>D</t>
    </r>
    <r>
      <rPr>
        <b/>
        <sz val="9"/>
        <rFont val="Calibri"/>
        <family val="2"/>
        <scheme val="minor"/>
      </rPr>
      <t xml:space="preserve"> </t>
    </r>
    <r>
      <rPr>
        <sz val="9"/>
        <rFont val="Calibri"/>
        <family val="2"/>
        <scheme val="minor"/>
      </rPr>
      <t>(kips) =</t>
    </r>
  </si>
  <si>
    <r>
      <rPr>
        <b/>
        <sz val="10"/>
        <color rgb="FFFF0000"/>
        <rFont val="Calibri"/>
        <family val="2"/>
        <scheme val="minor"/>
      </rPr>
      <t>*</t>
    </r>
    <r>
      <rPr>
        <b/>
        <sz val="10"/>
        <rFont val="Calibri"/>
        <family val="2"/>
        <scheme val="minor"/>
      </rPr>
      <t xml:space="preserve"> S</t>
    </r>
    <r>
      <rPr>
        <b/>
        <vertAlign val="subscript"/>
        <sz val="10"/>
        <rFont val="Calibri"/>
        <family val="2"/>
        <scheme val="minor"/>
      </rPr>
      <t>axle 1</t>
    </r>
    <r>
      <rPr>
        <b/>
        <sz val="8"/>
        <rFont val="Calibri"/>
        <family val="2"/>
        <scheme val="minor"/>
      </rPr>
      <t xml:space="preserve"> </t>
    </r>
    <r>
      <rPr>
        <sz val="8"/>
        <rFont val="Calibri"/>
        <family val="2"/>
        <scheme val="minor"/>
      </rPr>
      <t>(ft)</t>
    </r>
    <r>
      <rPr>
        <b/>
        <sz val="12"/>
        <color rgb="FFFF0000"/>
        <rFont val="Calibri"/>
        <family val="2"/>
        <scheme val="minor"/>
      </rPr>
      <t xml:space="preserve"> </t>
    </r>
    <r>
      <rPr>
        <sz val="10"/>
        <rFont val="Calibri"/>
        <family val="2"/>
        <scheme val="minor"/>
      </rPr>
      <t>=</t>
    </r>
  </si>
  <si>
    <r>
      <rPr>
        <b/>
        <sz val="10"/>
        <color rgb="FFFF0000"/>
        <rFont val="Calibri"/>
        <family val="2"/>
        <scheme val="minor"/>
      </rPr>
      <t>*</t>
    </r>
    <r>
      <rPr>
        <b/>
        <sz val="10"/>
        <rFont val="Calibri"/>
        <family val="2"/>
        <scheme val="minor"/>
      </rPr>
      <t xml:space="preserve"> S</t>
    </r>
    <r>
      <rPr>
        <b/>
        <vertAlign val="subscript"/>
        <sz val="10"/>
        <rFont val="Calibri"/>
        <family val="2"/>
        <scheme val="minor"/>
      </rPr>
      <t>axle 2</t>
    </r>
    <r>
      <rPr>
        <b/>
        <sz val="8"/>
        <rFont val="Calibri"/>
        <family val="2"/>
        <scheme val="minor"/>
      </rPr>
      <t xml:space="preserve"> </t>
    </r>
    <r>
      <rPr>
        <sz val="8"/>
        <rFont val="Calibri"/>
        <family val="2"/>
        <scheme val="minor"/>
      </rPr>
      <t>(ft)</t>
    </r>
    <r>
      <rPr>
        <b/>
        <sz val="12"/>
        <color rgb="FFFF0000"/>
        <rFont val="Calibri"/>
        <family val="2"/>
        <scheme val="minor"/>
      </rPr>
      <t xml:space="preserve"> </t>
    </r>
    <r>
      <rPr>
        <sz val="10"/>
        <rFont val="Calibri"/>
        <family val="2"/>
        <scheme val="minor"/>
      </rPr>
      <t>=</t>
    </r>
  </si>
  <si>
    <r>
      <t>Transverse pressure overlaps are considered.  Longitudinal pressure overlaps are considered for two adjacent heavy axle loads when the S</t>
    </r>
    <r>
      <rPr>
        <vertAlign val="subscript"/>
        <sz val="10"/>
        <rFont val="Calibri"/>
        <family val="2"/>
        <scheme val="minor"/>
      </rPr>
      <t>axle</t>
    </r>
    <r>
      <rPr>
        <sz val="10"/>
        <rFont val="Calibri"/>
        <family val="2"/>
        <scheme val="minor"/>
      </rPr>
      <t xml:space="preserve"> is </t>
    </r>
    <r>
      <rPr>
        <sz val="10"/>
        <rFont val="Calibri"/>
        <family val="2"/>
      </rPr>
      <t>≤</t>
    </r>
    <r>
      <rPr>
        <sz val="10"/>
        <rFont val="Calibri"/>
        <family val="2"/>
        <scheme val="minor"/>
      </rPr>
      <t xml:space="preserve"> 4 feet.</t>
    </r>
  </si>
  <si>
    <r>
      <rPr>
        <b/>
        <sz val="10"/>
        <color rgb="FFFF0000"/>
        <rFont val="Calibri"/>
        <family val="2"/>
        <scheme val="minor"/>
      </rPr>
      <t xml:space="preserve">    </t>
    </r>
    <r>
      <rPr>
        <b/>
        <sz val="12"/>
        <color rgb="FFFF0000"/>
        <rFont val="Calibri"/>
        <family val="2"/>
        <scheme val="minor"/>
      </rPr>
      <t xml:space="preserve"> </t>
    </r>
    <r>
      <rPr>
        <b/>
        <sz val="10"/>
        <rFont val="Calibri"/>
        <family val="2"/>
        <scheme val="minor"/>
      </rPr>
      <t>A</t>
    </r>
    <r>
      <rPr>
        <b/>
        <vertAlign val="subscript"/>
        <sz val="10"/>
        <rFont val="Calibri"/>
        <family val="2"/>
        <scheme val="minor"/>
      </rPr>
      <t>D</t>
    </r>
    <r>
      <rPr>
        <b/>
        <sz val="10"/>
        <rFont val="Calibri"/>
        <family val="2"/>
        <scheme val="minor"/>
      </rPr>
      <t xml:space="preserve"> </t>
    </r>
    <r>
      <rPr>
        <sz val="10"/>
        <rFont val="Calibri"/>
        <family val="2"/>
        <scheme val="minor"/>
      </rPr>
      <t xml:space="preserve">= Total Load Distributed Area </t>
    </r>
  </si>
  <si>
    <r>
      <t xml:space="preserve">     P</t>
    </r>
    <r>
      <rPr>
        <b/>
        <vertAlign val="subscript"/>
        <sz val="10"/>
        <rFont val="Calibri"/>
        <family val="2"/>
        <scheme val="minor"/>
      </rPr>
      <t>D</t>
    </r>
    <r>
      <rPr>
        <b/>
        <sz val="10"/>
        <rFont val="Calibri"/>
        <family val="2"/>
        <scheme val="minor"/>
      </rPr>
      <t xml:space="preserve"> </t>
    </r>
    <r>
      <rPr>
        <sz val="10"/>
        <rFont val="Calibri"/>
        <family val="2"/>
        <scheme val="minor"/>
      </rPr>
      <t>= Total Load being Distributed</t>
    </r>
  </si>
  <si>
    <t>Inspected By:</t>
  </si>
  <si>
    <r>
      <t xml:space="preserve">Operating Load Rating Factors, </t>
    </r>
    <r>
      <rPr>
        <b/>
        <i/>
        <sz val="12"/>
        <rFont val="Calibri"/>
        <family val="2"/>
        <scheme val="minor"/>
      </rPr>
      <t>RF</t>
    </r>
    <r>
      <rPr>
        <b/>
        <i/>
        <vertAlign val="subscript"/>
        <sz val="12"/>
        <rFont val="Calibri"/>
        <family val="2"/>
        <scheme val="minor"/>
      </rPr>
      <t>O</t>
    </r>
  </si>
  <si>
    <r>
      <t xml:space="preserve">Inventory Load Rating Factor, </t>
    </r>
    <r>
      <rPr>
        <b/>
        <i/>
        <sz val="12"/>
        <rFont val="Calibri"/>
        <family val="2"/>
        <scheme val="minor"/>
      </rPr>
      <t>RF</t>
    </r>
    <r>
      <rPr>
        <b/>
        <i/>
        <vertAlign val="subscript"/>
        <sz val="12"/>
        <rFont val="Calibri"/>
        <family val="2"/>
        <scheme val="minor"/>
      </rPr>
      <t>i</t>
    </r>
  </si>
  <si>
    <r>
      <rPr>
        <sz val="8"/>
        <rFont val="Calibri"/>
        <family val="2"/>
        <scheme val="minor"/>
      </rPr>
      <t xml:space="preserve">Live load Impact Factor,  </t>
    </r>
    <r>
      <rPr>
        <sz val="10"/>
        <rFont val="Calibri"/>
        <family val="2"/>
        <scheme val="minor"/>
      </rPr>
      <t xml:space="preserve"> </t>
    </r>
    <r>
      <rPr>
        <sz val="10"/>
        <rFont val="Times New Roman"/>
        <family val="1"/>
      </rPr>
      <t xml:space="preserve"> I =</t>
    </r>
  </si>
  <si>
    <r>
      <t xml:space="preserve">Span Length </t>
    </r>
    <r>
      <rPr>
        <sz val="11"/>
        <rFont val="Calibri"/>
        <family val="2"/>
      </rPr>
      <t>"</t>
    </r>
    <r>
      <rPr>
        <sz val="11"/>
        <rFont val="Times New Roman"/>
        <family val="1"/>
      </rPr>
      <t>S</t>
    </r>
    <r>
      <rPr>
        <sz val="11"/>
        <rFont val="Calibri"/>
        <family val="2"/>
      </rPr>
      <t>"</t>
    </r>
    <r>
      <rPr>
        <sz val="11"/>
        <rFont val="Times New Roman"/>
        <family val="1"/>
      </rPr>
      <t xml:space="preserve"> (ft) =</t>
    </r>
  </si>
  <si>
    <t>yellow shaded areas are required input.</t>
  </si>
  <si>
    <r>
      <t xml:space="preserve">Metal Loss based on materials field evaluation </t>
    </r>
    <r>
      <rPr>
        <sz val="9"/>
        <rFont val="Times New Roman"/>
        <family val="1"/>
      </rPr>
      <t>(if any)</t>
    </r>
    <r>
      <rPr>
        <sz val="10"/>
        <rFont val="Times New Roman"/>
        <family val="1"/>
      </rPr>
      <t xml:space="preserve"> =</t>
    </r>
  </si>
  <si>
    <t>Cross-Section Properties</t>
  </si>
  <si>
    <t xml:space="preserve">  </t>
  </si>
  <si>
    <r>
      <t>Buckling Strength Reduction Factor,</t>
    </r>
    <r>
      <rPr>
        <sz val="11"/>
        <rFont val="Calibri"/>
        <family val="2"/>
        <scheme val="minor"/>
      </rPr>
      <t xml:space="preserve"> f </t>
    </r>
    <r>
      <rPr>
        <sz val="9"/>
        <rFont val="Calibri"/>
        <family val="2"/>
        <scheme val="minor"/>
      </rPr>
      <t>=</t>
    </r>
  </si>
  <si>
    <t>For typical structures :</t>
  </si>
  <si>
    <t>For unsymmetrical or deflect more than 5% structures:</t>
  </si>
  <si>
    <t>long span structures:</t>
  </si>
  <si>
    <r>
      <t>2.  wall buckling strength = f</t>
    </r>
    <r>
      <rPr>
        <sz val="10"/>
        <rFont val="Calibri"/>
        <family val="2"/>
        <scheme val="minor"/>
      </rPr>
      <t xml:space="preserve"> </t>
    </r>
    <r>
      <rPr>
        <sz val="10"/>
        <rFont val="Calibri"/>
        <family val="2"/>
      </rPr>
      <t>φ</t>
    </r>
    <r>
      <rPr>
        <vertAlign val="subscript"/>
        <sz val="10"/>
        <rFont val="Calibri"/>
        <family val="2"/>
      </rPr>
      <t xml:space="preserve">1 </t>
    </r>
    <r>
      <rPr>
        <sz val="10"/>
        <rFont val="Calibri"/>
        <family val="2"/>
      </rPr>
      <t>φ</t>
    </r>
    <r>
      <rPr>
        <vertAlign val="subscript"/>
        <sz val="10"/>
        <rFont val="Calibri"/>
        <family val="2"/>
      </rPr>
      <t>loss</t>
    </r>
    <r>
      <rPr>
        <sz val="10"/>
        <rFont val="Calibri"/>
        <family val="2"/>
      </rPr>
      <t xml:space="preserve"> </t>
    </r>
    <r>
      <rPr>
        <sz val="10"/>
        <rFont val="Calibri"/>
        <family val="2"/>
        <scheme val="minor"/>
      </rPr>
      <t>F</t>
    </r>
    <r>
      <rPr>
        <vertAlign val="subscript"/>
        <sz val="10"/>
        <rFont val="Calibri"/>
        <family val="2"/>
        <scheme val="minor"/>
      </rPr>
      <t>cr</t>
    </r>
    <r>
      <rPr>
        <sz val="10"/>
        <rFont val="Calibri"/>
        <family val="2"/>
        <scheme val="minor"/>
      </rPr>
      <t xml:space="preserve"> A =</t>
    </r>
  </si>
  <si>
    <r>
      <t xml:space="preserve">     </t>
    </r>
    <r>
      <rPr>
        <b/>
        <sz val="10"/>
        <rFont val="Calibri"/>
        <family val="2"/>
        <scheme val="minor"/>
      </rPr>
      <t>S</t>
    </r>
    <r>
      <rPr>
        <b/>
        <vertAlign val="subscript"/>
        <sz val="10"/>
        <rFont val="Calibri"/>
        <family val="2"/>
        <scheme val="minor"/>
      </rPr>
      <t>axle 2</t>
    </r>
    <r>
      <rPr>
        <b/>
        <sz val="12"/>
        <rFont val="Calibri"/>
        <family val="2"/>
        <scheme val="minor"/>
      </rPr>
      <t xml:space="preserve"> </t>
    </r>
    <r>
      <rPr>
        <sz val="10"/>
        <rFont val="Calibri"/>
        <family val="2"/>
        <scheme val="minor"/>
      </rPr>
      <t>= distance to the 2</t>
    </r>
    <r>
      <rPr>
        <vertAlign val="superscript"/>
        <sz val="10"/>
        <rFont val="Calibri"/>
        <family val="2"/>
        <scheme val="minor"/>
      </rPr>
      <t>nd</t>
    </r>
    <r>
      <rPr>
        <sz val="10"/>
        <rFont val="Calibri"/>
        <family val="2"/>
        <scheme val="minor"/>
      </rPr>
      <t xml:space="preserve"> adjacent heavy axle load, if the spacing is &gt; 4', S</t>
    </r>
    <r>
      <rPr>
        <vertAlign val="subscript"/>
        <sz val="10"/>
        <rFont val="Calibri"/>
        <family val="2"/>
        <scheme val="minor"/>
      </rPr>
      <t>axle2</t>
    </r>
    <r>
      <rPr>
        <sz val="10"/>
        <rFont val="Calibri"/>
        <family val="2"/>
        <scheme val="minor"/>
      </rPr>
      <t xml:space="preserve"> = 0.  </t>
    </r>
  </si>
  <si>
    <r>
      <rPr>
        <b/>
        <sz val="12"/>
        <color rgb="FFFF0000"/>
        <rFont val="Calibri"/>
        <family val="2"/>
        <scheme val="minor"/>
      </rPr>
      <t>*</t>
    </r>
    <r>
      <rPr>
        <sz val="10"/>
        <rFont val="Calibri"/>
        <family val="2"/>
        <scheme val="minor"/>
      </rPr>
      <t xml:space="preserve">   </t>
    </r>
    <r>
      <rPr>
        <b/>
        <sz val="10"/>
        <rFont val="Calibri"/>
        <family val="2"/>
        <scheme val="minor"/>
      </rPr>
      <t>S</t>
    </r>
    <r>
      <rPr>
        <b/>
        <vertAlign val="subscript"/>
        <sz val="10"/>
        <rFont val="Calibri"/>
        <family val="2"/>
        <scheme val="minor"/>
      </rPr>
      <t>axle 1</t>
    </r>
    <r>
      <rPr>
        <b/>
        <sz val="12"/>
        <rFont val="Calibri"/>
        <family val="2"/>
        <scheme val="minor"/>
      </rPr>
      <t xml:space="preserve"> </t>
    </r>
    <r>
      <rPr>
        <sz val="12"/>
        <rFont val="Calibri"/>
        <family val="2"/>
        <scheme val="minor"/>
      </rPr>
      <t>=</t>
    </r>
    <r>
      <rPr>
        <b/>
        <sz val="12"/>
        <rFont val="Calibri"/>
        <family val="2"/>
        <scheme val="minor"/>
      </rPr>
      <t xml:space="preserve"> </t>
    </r>
    <r>
      <rPr>
        <sz val="10"/>
        <rFont val="Calibri"/>
        <family val="2"/>
        <scheme val="minor"/>
      </rPr>
      <t>distance to the 1</t>
    </r>
    <r>
      <rPr>
        <vertAlign val="superscript"/>
        <sz val="10"/>
        <rFont val="Calibri"/>
        <family val="2"/>
        <scheme val="minor"/>
      </rPr>
      <t>st</t>
    </r>
    <r>
      <rPr>
        <sz val="10"/>
        <rFont val="Calibri"/>
        <family val="2"/>
        <scheme val="minor"/>
      </rPr>
      <t xml:space="preserve"> adjacent heavy axle load, if the spacing is &gt; 4', S</t>
    </r>
    <r>
      <rPr>
        <vertAlign val="subscript"/>
        <sz val="10"/>
        <rFont val="Calibri"/>
        <family val="2"/>
        <scheme val="minor"/>
      </rPr>
      <t xml:space="preserve">axle1 </t>
    </r>
    <r>
      <rPr>
        <sz val="10"/>
        <rFont val="Calibri"/>
        <family val="2"/>
        <scheme val="minor"/>
      </rPr>
      <t xml:space="preserve">= 0.  </t>
    </r>
  </si>
  <si>
    <t>input a value or choose a option from a drop-down list</t>
  </si>
  <si>
    <t xml:space="preserve"> the lowest cover over the structure in a traffic area based on field measurement </t>
  </si>
  <si>
    <t xml:space="preserve">Height of cover above crown "H" (ft) =    </t>
  </si>
  <si>
    <r>
      <rPr>
        <b/>
        <sz val="14"/>
        <rFont val="Calibri"/>
        <family val="2"/>
      </rPr>
      <t>Load Factor Load Rating of In-Service, Corrugated Metal Pipe Structures</t>
    </r>
    <r>
      <rPr>
        <b/>
        <sz val="12"/>
        <rFont val="Calibri"/>
        <family val="2"/>
      </rPr>
      <t xml:space="preserve">                                                                </t>
    </r>
    <r>
      <rPr>
        <sz val="12"/>
        <rFont val="Calibri"/>
        <family val="2"/>
      </rPr>
      <t xml:space="preserve"> </t>
    </r>
    <r>
      <rPr>
        <sz val="9"/>
        <rFont val="Calibri"/>
        <family val="2"/>
      </rPr>
      <t xml:space="preserve"> </t>
    </r>
    <r>
      <rPr>
        <i/>
        <sz val="10"/>
        <rFont val="Calibri"/>
        <family val="2"/>
      </rPr>
      <t xml:space="preserve">(based on </t>
    </r>
    <r>
      <rPr>
        <b/>
        <i/>
        <sz val="10"/>
        <rFont val="Calibri"/>
        <family val="2"/>
      </rPr>
      <t xml:space="preserve">NCSPA Design Data Sheet No. 19 &amp; AASHTO Standard </t>
    </r>
    <r>
      <rPr>
        <b/>
        <i/>
        <sz val="9"/>
        <rFont val="Calibri"/>
        <family val="2"/>
      </rPr>
      <t>Specification for Highway Bridges, Division I, Section 12</t>
    </r>
    <r>
      <rPr>
        <i/>
        <sz val="9"/>
        <rFont val="Calibri"/>
        <family val="2"/>
      </rPr>
      <t>)</t>
    </r>
  </si>
  <si>
    <r>
      <t>[ if W</t>
    </r>
    <r>
      <rPr>
        <vertAlign val="subscript"/>
        <sz val="10"/>
        <rFont val="Calibri"/>
        <family val="2"/>
        <scheme val="minor"/>
      </rPr>
      <t>D (total)</t>
    </r>
    <r>
      <rPr>
        <sz val="10"/>
        <rFont val="Calibri"/>
        <family val="2"/>
        <scheme val="minor"/>
      </rPr>
      <t xml:space="preserve"> &gt; L, use L = W</t>
    </r>
    <r>
      <rPr>
        <vertAlign val="subscript"/>
        <sz val="10"/>
        <rFont val="Calibri"/>
        <family val="2"/>
        <scheme val="minor"/>
      </rPr>
      <t xml:space="preserve">D (total) </t>
    </r>
    <r>
      <rPr>
        <sz val="10"/>
        <rFont val="Calibri"/>
        <family val="2"/>
        <scheme val="minor"/>
      </rPr>
      <t>in the calculations ]</t>
    </r>
  </si>
  <si>
    <r>
      <rPr>
        <b/>
        <sz val="10"/>
        <rFont val="Calibri"/>
        <family val="2"/>
        <scheme val="minor"/>
      </rPr>
      <t>ρ</t>
    </r>
    <r>
      <rPr>
        <b/>
        <sz val="9"/>
        <rFont val="Calibri"/>
        <family val="2"/>
        <scheme val="minor"/>
      </rPr>
      <t xml:space="preserve"> </t>
    </r>
    <r>
      <rPr>
        <b/>
        <vertAlign val="subscript"/>
        <sz val="9"/>
        <rFont val="Calibri"/>
        <family val="2"/>
        <scheme val="minor"/>
      </rPr>
      <t xml:space="preserve">(L+I) </t>
    </r>
    <r>
      <rPr>
        <b/>
        <sz val="9"/>
        <rFont val="Calibri"/>
        <family val="2"/>
        <scheme val="minor"/>
      </rPr>
      <t>= P</t>
    </r>
    <r>
      <rPr>
        <b/>
        <vertAlign val="subscript"/>
        <sz val="9"/>
        <rFont val="Calibri"/>
        <family val="2"/>
        <scheme val="minor"/>
      </rPr>
      <t>D</t>
    </r>
    <r>
      <rPr>
        <b/>
        <sz val="9"/>
        <rFont val="Calibri"/>
        <family val="2"/>
        <scheme val="minor"/>
      </rPr>
      <t>/A</t>
    </r>
    <r>
      <rPr>
        <b/>
        <vertAlign val="subscript"/>
        <sz val="9"/>
        <rFont val="Calibri"/>
        <family val="2"/>
        <scheme val="minor"/>
      </rPr>
      <t xml:space="preserve">D </t>
    </r>
    <r>
      <rPr>
        <b/>
        <sz val="9"/>
        <rFont val="Calibri"/>
        <family val="2"/>
        <scheme val="minor"/>
      </rPr>
      <t>=</t>
    </r>
  </si>
  <si>
    <r>
      <rPr>
        <b/>
        <sz val="16"/>
        <rFont val="Times New Roman"/>
        <family val="1"/>
      </rPr>
      <t>Structure Information</t>
    </r>
    <r>
      <rPr>
        <b/>
        <sz val="14"/>
        <rFont val="Times New Roman"/>
        <family val="1"/>
      </rPr>
      <t xml:space="preserve"> </t>
    </r>
    <r>
      <rPr>
        <b/>
        <sz val="12"/>
        <rFont val="Calibri"/>
        <family val="2"/>
        <scheme val="minor"/>
      </rPr>
      <t>(from existing bridge plans &amp; field measurements)</t>
    </r>
    <r>
      <rPr>
        <b/>
        <sz val="14"/>
        <rFont val="Times New Roman"/>
        <family val="1"/>
      </rPr>
      <t>:</t>
    </r>
  </si>
  <si>
    <r>
      <t xml:space="preserve">  (</t>
    </r>
    <r>
      <rPr>
        <b/>
        <sz val="10"/>
        <rFont val="Calibri"/>
        <family val="2"/>
        <scheme val="minor"/>
      </rPr>
      <t>"←" :</t>
    </r>
    <r>
      <rPr>
        <sz val="10"/>
        <rFont val="Calibri"/>
        <family val="2"/>
        <scheme val="minor"/>
      </rPr>
      <t xml:space="preserve"> choose from a drop-down list)</t>
    </r>
  </si>
  <si>
    <r>
      <rPr>
        <sz val="12"/>
        <rFont val="Calibri"/>
        <family val="2"/>
        <scheme val="minor"/>
      </rPr>
      <t>r</t>
    </r>
    <r>
      <rPr>
        <sz val="12"/>
        <color rgb="FFFF0000"/>
        <rFont val="Calibri"/>
        <family val="2"/>
        <scheme val="minor"/>
      </rPr>
      <t>*</t>
    </r>
    <r>
      <rPr>
        <sz val="12"/>
        <rFont val="Calibri"/>
        <family val="2"/>
        <scheme val="minor"/>
      </rPr>
      <t xml:space="preserve"> </t>
    </r>
    <r>
      <rPr>
        <sz val="10"/>
        <rFont val="Calibri"/>
        <family val="2"/>
        <scheme val="minor"/>
      </rPr>
      <t>(in) =</t>
    </r>
  </si>
  <si>
    <r>
      <rPr>
        <sz val="11"/>
        <color rgb="FFFF0000"/>
        <rFont val="Calibri"/>
        <family val="2"/>
        <scheme val="minor"/>
      </rPr>
      <t>*</t>
    </r>
    <r>
      <rPr>
        <sz val="11"/>
        <color indexed="8"/>
        <rFont val="Calibri"/>
        <family val="2"/>
        <scheme val="minor"/>
      </rPr>
      <t xml:space="preserve"> r =radius of gyration of corrugation (in) </t>
    </r>
  </si>
  <si>
    <t>Gage Number:</t>
  </si>
  <si>
    <r>
      <t>t</t>
    </r>
    <r>
      <rPr>
        <sz val="10"/>
        <rFont val="Calibri"/>
        <family val="2"/>
        <scheme val="minor"/>
      </rPr>
      <t xml:space="preserve"> (in) =</t>
    </r>
  </si>
  <si>
    <t xml:space="preserve">input these values based on metal type, corrugation, gage number or pipe wall thickness, see tables in worksheet "section property tables". </t>
  </si>
  <si>
    <r>
      <rPr>
        <b/>
        <sz val="9"/>
        <rFont val="Calibri"/>
        <family val="2"/>
        <scheme val="minor"/>
      </rPr>
      <t>Note</t>
    </r>
    <r>
      <rPr>
        <sz val="8"/>
        <rFont val="Calibri"/>
        <family val="2"/>
        <scheme val="minor"/>
      </rPr>
      <t xml:space="preserve">: if corrugation &amp; gage number are known, leave the input cells for "c", "d" &amp; </t>
    </r>
    <r>
      <rPr>
        <sz val="8"/>
        <rFont val="Calibri"/>
        <family val="2"/>
      </rPr>
      <t>"</t>
    </r>
    <r>
      <rPr>
        <sz val="8"/>
        <rFont val="Calibri"/>
        <family val="2"/>
        <scheme val="minor"/>
      </rPr>
      <t>t</t>
    </r>
    <r>
      <rPr>
        <sz val="8"/>
        <rFont val="Calibri"/>
        <family val="2"/>
      </rPr>
      <t>"</t>
    </r>
    <r>
      <rPr>
        <sz val="8"/>
        <rFont val="Calibri"/>
        <family val="2"/>
        <scheme val="minor"/>
      </rPr>
      <t xml:space="preserve"> blank; if corrugation &amp; gage number are unknown, field measurements of "c", "d" &amp; "t" are required.</t>
    </r>
  </si>
  <si>
    <r>
      <t>Determine Actual Top Radius "R</t>
    </r>
    <r>
      <rPr>
        <vertAlign val="subscript"/>
        <sz val="11"/>
        <rFont val="Times New Roman"/>
        <family val="1"/>
      </rPr>
      <t>t</t>
    </r>
    <r>
      <rPr>
        <sz val="11"/>
        <rFont val="Times New Roman"/>
        <family val="1"/>
      </rPr>
      <t xml:space="preserve">" (ft) =                                            </t>
    </r>
    <r>
      <rPr>
        <sz val="8"/>
        <rFont val="Times New Roman"/>
        <family val="1"/>
      </rPr>
      <t xml:space="preserve"> </t>
    </r>
    <r>
      <rPr>
        <sz val="8.5"/>
        <rFont val="Times New Roman"/>
        <family val="1"/>
      </rPr>
      <t>(can be determined by field measurements</t>
    </r>
    <r>
      <rPr>
        <b/>
        <sz val="10"/>
        <color rgb="FFFF0000"/>
        <rFont val="Times New Roman"/>
        <family val="1"/>
      </rPr>
      <t>*</t>
    </r>
    <r>
      <rPr>
        <sz val="8.5"/>
        <rFont val="Times New Roman"/>
        <family val="1"/>
      </rPr>
      <t xml:space="preserve"> or hand calculations)</t>
    </r>
  </si>
  <si>
    <r>
      <t xml:space="preserve">Pipe Crown Deflection </t>
    </r>
    <r>
      <rPr>
        <b/>
        <sz val="10"/>
        <color rgb="FFFF0000"/>
        <rFont val="Calibri"/>
        <family val="2"/>
      </rPr>
      <t>**</t>
    </r>
    <r>
      <rPr>
        <sz val="10"/>
        <rFont val="Times New Roman"/>
        <family val="1"/>
      </rPr>
      <t xml:space="preserve"> (if any) =</t>
    </r>
  </si>
  <si>
    <r>
      <rPr>
        <b/>
        <sz val="10"/>
        <color rgb="FFFF0000"/>
        <rFont val="Calibri"/>
        <family val="2"/>
      </rPr>
      <t>**</t>
    </r>
    <r>
      <rPr>
        <b/>
        <sz val="10"/>
        <color rgb="FF000000"/>
        <rFont val="Calibri"/>
        <family val="2"/>
      </rPr>
      <t xml:space="preserve"> </t>
    </r>
    <r>
      <rPr>
        <sz val="10"/>
        <color rgb="FF000000"/>
        <rFont val="Calibri"/>
        <family val="2"/>
        <scheme val="minor"/>
      </rPr>
      <t>reduction in rise divided by the span length from design shape in the unit of percentage</t>
    </r>
  </si>
  <si>
    <r>
      <t xml:space="preserve">see </t>
    </r>
    <r>
      <rPr>
        <b/>
        <sz val="12"/>
        <color rgb="FFFF0000"/>
        <rFont val="Cambria"/>
        <family val="1"/>
        <scheme val="major"/>
      </rPr>
      <t>*</t>
    </r>
    <r>
      <rPr>
        <sz val="10"/>
        <rFont val="Cambria"/>
        <family val="1"/>
        <scheme val="major"/>
      </rPr>
      <t xml:space="preserve"> above</t>
    </r>
  </si>
  <si>
    <t>Seam Strength (k/ft) =</t>
  </si>
  <si>
    <t>input the seam strength value based on metal type, corrugation, gage number or pipe wall thickness, see tables in worksheet "seam strength tables"</t>
  </si>
  <si>
    <r>
      <t xml:space="preserve">1.  wall yield strength = </t>
    </r>
    <r>
      <rPr>
        <sz val="10"/>
        <rFont val="Calibri"/>
        <family val="2"/>
      </rPr>
      <t>φ</t>
    </r>
    <r>
      <rPr>
        <vertAlign val="subscript"/>
        <sz val="10"/>
        <rFont val="Calibri"/>
        <family val="2"/>
      </rPr>
      <t xml:space="preserve">1 </t>
    </r>
    <r>
      <rPr>
        <sz val="10"/>
        <rFont val="Calibri"/>
        <family val="2"/>
      </rPr>
      <t>φ</t>
    </r>
    <r>
      <rPr>
        <vertAlign val="subscript"/>
        <sz val="10"/>
        <rFont val="Calibri"/>
        <family val="2"/>
      </rPr>
      <t>loss</t>
    </r>
    <r>
      <rPr>
        <sz val="10"/>
        <rFont val="Calibri"/>
        <family val="2"/>
      </rPr>
      <t xml:space="preserve"> </t>
    </r>
    <r>
      <rPr>
        <sz val="10"/>
        <rFont val="Calibri"/>
        <family val="2"/>
        <scheme val="minor"/>
      </rPr>
      <t>F</t>
    </r>
    <r>
      <rPr>
        <vertAlign val="subscript"/>
        <sz val="10"/>
        <rFont val="Calibri"/>
        <family val="2"/>
        <scheme val="minor"/>
      </rPr>
      <t>y</t>
    </r>
    <r>
      <rPr>
        <sz val="10"/>
        <rFont val="Calibri"/>
        <family val="2"/>
        <scheme val="minor"/>
      </rPr>
      <t xml:space="preserve"> A =</t>
    </r>
  </si>
  <si>
    <r>
      <t>Per NCSPA Design Data Sheet No. 19 Appendix C. 2, the surface tire contact area A</t>
    </r>
    <r>
      <rPr>
        <sz val="8"/>
        <rFont val="Calibri"/>
        <family val="2"/>
        <scheme val="minor"/>
      </rPr>
      <t>(in</t>
    </r>
    <r>
      <rPr>
        <vertAlign val="superscript"/>
        <sz val="8"/>
        <rFont val="Calibri"/>
        <family val="2"/>
        <scheme val="minor"/>
      </rPr>
      <t>2</t>
    </r>
    <r>
      <rPr>
        <sz val="8"/>
        <rFont val="Calibri"/>
        <family val="2"/>
        <scheme val="minor"/>
      </rPr>
      <t>)</t>
    </r>
    <r>
      <rPr>
        <sz val="9"/>
        <rFont val="Calibri"/>
        <family val="2"/>
        <scheme val="minor"/>
      </rPr>
      <t xml:space="preserve"> = 1% of the wheel load plus impact, P</t>
    </r>
    <r>
      <rPr>
        <vertAlign val="subscript"/>
        <sz val="9"/>
        <rFont val="Calibri"/>
        <family val="2"/>
        <scheme val="minor"/>
      </rPr>
      <t>(1+</t>
    </r>
    <r>
      <rPr>
        <vertAlign val="subscript"/>
        <sz val="9"/>
        <rFont val="Times New Roman"/>
        <family val="1"/>
      </rPr>
      <t>I</t>
    </r>
    <r>
      <rPr>
        <vertAlign val="subscript"/>
        <sz val="9"/>
        <rFont val="Calibri"/>
        <family val="2"/>
        <scheme val="minor"/>
      </rPr>
      <t>)</t>
    </r>
    <r>
      <rPr>
        <sz val="9"/>
        <rFont val="Calibri"/>
        <family val="2"/>
        <scheme val="minor"/>
      </rPr>
      <t xml:space="preserve"> in pounds. </t>
    </r>
    <r>
      <rPr>
        <sz val="8"/>
        <rFont val="Calibri"/>
        <family val="2"/>
        <scheme val="minor"/>
      </rPr>
      <t>And  W</t>
    </r>
    <r>
      <rPr>
        <vertAlign val="subscript"/>
        <sz val="8"/>
        <rFont val="Calibri"/>
        <family val="2"/>
        <scheme val="minor"/>
      </rPr>
      <t>w</t>
    </r>
    <r>
      <rPr>
        <sz val="8"/>
        <rFont val="Calibri"/>
        <family val="2"/>
        <scheme val="minor"/>
      </rPr>
      <t xml:space="preserve"> = 2.5 L</t>
    </r>
    <r>
      <rPr>
        <vertAlign val="subscript"/>
        <sz val="8"/>
        <rFont val="Calibri"/>
        <family val="2"/>
        <scheme val="minor"/>
      </rPr>
      <t>W</t>
    </r>
  </si>
  <si>
    <t>Fill depth, H =</t>
  </si>
  <si>
    <r>
      <t xml:space="preserve">Fill Depth at Centerline of Roadway </t>
    </r>
    <r>
      <rPr>
        <sz val="11"/>
        <rFont val="Calibri"/>
        <family val="2"/>
      </rPr>
      <t>"</t>
    </r>
    <r>
      <rPr>
        <sz val="11"/>
        <rFont val="Times New Roman"/>
        <family val="1"/>
      </rPr>
      <t>H</t>
    </r>
    <r>
      <rPr>
        <vertAlign val="subscript"/>
        <sz val="11"/>
        <rFont val="Times New Roman"/>
        <family val="1"/>
      </rPr>
      <t>1</t>
    </r>
    <r>
      <rPr>
        <sz val="11"/>
        <rFont val="Calibri"/>
        <family val="2"/>
      </rPr>
      <t>"</t>
    </r>
    <r>
      <rPr>
        <sz val="11"/>
        <rFont val="Times New Roman"/>
        <family val="1"/>
      </rPr>
      <t xml:space="preserve"> (ft) =</t>
    </r>
  </si>
  <si>
    <t>RM</t>
  </si>
  <si>
    <t>EW</t>
  </si>
  <si>
    <t>(* do not use this spreadsheet to load rate Structural Plate Box Culverts)</t>
  </si>
  <si>
    <t>Type of Load</t>
  </si>
  <si>
    <t>BMS LOADR_Screen</t>
  </si>
  <si>
    <t>6 x 2 (steel structural plate pipe)</t>
  </si>
  <si>
    <r>
      <rPr>
        <b/>
        <sz val="10"/>
        <rFont val="Calibri"/>
        <family val="2"/>
        <scheme val="minor"/>
      </rPr>
      <t>R</t>
    </r>
    <r>
      <rPr>
        <vertAlign val="subscript"/>
        <sz val="10"/>
        <rFont val="Calibri"/>
        <family val="2"/>
        <scheme val="minor"/>
      </rPr>
      <t>t (max)</t>
    </r>
    <r>
      <rPr>
        <sz val="10"/>
        <rFont val="Calibri"/>
        <family val="2"/>
        <scheme val="minor"/>
      </rPr>
      <t xml:space="preserve"> </t>
    </r>
    <r>
      <rPr>
        <sz val="10"/>
        <color rgb="FFFF0000"/>
        <rFont val="Calibri"/>
        <family val="2"/>
        <scheme val="minor"/>
      </rPr>
      <t>*</t>
    </r>
    <r>
      <rPr>
        <sz val="10"/>
        <rFont val="Calibri"/>
        <family val="2"/>
        <scheme val="minor"/>
      </rPr>
      <t xml:space="preserve"> (ft) =</t>
    </r>
  </si>
  <si>
    <r>
      <rPr>
        <sz val="10"/>
        <color rgb="FFFF0000"/>
        <rFont val="Calibri"/>
        <family val="2"/>
        <scheme val="minor"/>
      </rPr>
      <t>*</t>
    </r>
    <r>
      <rPr>
        <sz val="10"/>
        <rFont val="Calibri"/>
        <family val="2"/>
        <scheme val="minor"/>
      </rPr>
      <t xml:space="preserve"> Maximum Plate Radius allowed if Long Span Structural Plate Structures Selected</t>
    </r>
  </si>
  <si>
    <r>
      <t xml:space="preserve">Then, </t>
    </r>
    <r>
      <rPr>
        <b/>
        <sz val="10"/>
        <rFont val="Calibri"/>
        <family val="2"/>
        <scheme val="minor"/>
      </rPr>
      <t>R</t>
    </r>
    <r>
      <rPr>
        <b/>
        <vertAlign val="subscript"/>
        <sz val="10"/>
        <rFont val="Calibri"/>
        <family val="2"/>
        <scheme val="minor"/>
      </rPr>
      <t>t</t>
    </r>
    <r>
      <rPr>
        <sz val="10"/>
        <rFont val="Calibri"/>
        <family val="2"/>
        <scheme val="minor"/>
      </rPr>
      <t xml:space="preserve"> used in Load Rating Calculation (ft) =</t>
    </r>
  </si>
  <si>
    <r>
      <t xml:space="preserve">Then, </t>
    </r>
    <r>
      <rPr>
        <b/>
        <sz val="10"/>
        <rFont val="Calibri"/>
        <family val="2"/>
        <scheme val="minor"/>
      </rPr>
      <t>Span Length</t>
    </r>
    <r>
      <rPr>
        <sz val="10"/>
        <rFont val="Calibri"/>
        <family val="2"/>
        <scheme val="minor"/>
      </rPr>
      <t xml:space="preserve"> used in Load Rating Calculation(ft) =</t>
    </r>
  </si>
  <si>
    <r>
      <t xml:space="preserve">t </t>
    </r>
    <r>
      <rPr>
        <vertAlign val="subscript"/>
        <sz val="10"/>
        <rFont val="Calibri"/>
        <family val="2"/>
        <scheme val="minor"/>
      </rPr>
      <t>(min)</t>
    </r>
    <r>
      <rPr>
        <sz val="10"/>
        <color rgb="FFFF0000"/>
        <rFont val="Calibri"/>
        <family val="2"/>
        <scheme val="minor"/>
      </rPr>
      <t>**</t>
    </r>
    <r>
      <rPr>
        <sz val="10"/>
        <rFont val="Calibri"/>
        <family val="2"/>
        <scheme val="minor"/>
      </rPr>
      <t xml:space="preserve"> (in) =</t>
    </r>
  </si>
  <si>
    <r>
      <rPr>
        <sz val="10"/>
        <color rgb="FFFF0000"/>
        <rFont val="Calibri"/>
        <family val="2"/>
        <scheme val="minor"/>
      </rPr>
      <t>**</t>
    </r>
    <r>
      <rPr>
        <sz val="10"/>
        <rFont val="Calibri"/>
        <family val="2"/>
        <scheme val="minor"/>
      </rPr>
      <t xml:space="preserve"> Required Minimum Top Arc Thickness if Long Span Structural Plate Structures Selected</t>
    </r>
  </si>
  <si>
    <r>
      <rPr>
        <b/>
        <sz val="9"/>
        <rFont val="Calibri"/>
        <family val="2"/>
      </rPr>
      <t xml:space="preserve">   1.</t>
    </r>
    <r>
      <rPr>
        <sz val="9"/>
        <rFont val="Calibri"/>
        <family val="2"/>
      </rPr>
      <t xml:space="preserve">  For</t>
    </r>
    <r>
      <rPr>
        <b/>
        <sz val="9"/>
        <rFont val="Calibri"/>
        <family val="2"/>
      </rPr>
      <t xml:space="preserve"> typical structures</t>
    </r>
    <r>
      <rPr>
        <sz val="9"/>
        <rFont val="Calibri"/>
        <family val="2"/>
      </rPr>
      <t>, use the actual field measured span for calculations.</t>
    </r>
  </si>
  <si>
    <r>
      <t xml:space="preserve">   </t>
    </r>
    <r>
      <rPr>
        <b/>
        <sz val="9"/>
        <rFont val="Calibri"/>
        <family val="2"/>
      </rPr>
      <t>2.</t>
    </r>
    <r>
      <rPr>
        <sz val="9"/>
        <rFont val="Calibri"/>
        <family val="2"/>
      </rPr>
      <t xml:space="preserve">  For </t>
    </r>
    <r>
      <rPr>
        <b/>
        <sz val="9"/>
        <rFont val="Calibri"/>
        <family val="2"/>
      </rPr>
      <t>unsymmetrical structures or those deflected over 5%</t>
    </r>
    <r>
      <rPr>
        <sz val="9"/>
        <rFont val="Calibri"/>
        <family val="2"/>
      </rPr>
      <t>:</t>
    </r>
  </si>
  <si>
    <r>
      <t xml:space="preserve">   </t>
    </r>
    <r>
      <rPr>
        <b/>
        <sz val="9"/>
        <rFont val="Calibri"/>
        <family val="2"/>
      </rPr>
      <t>3.</t>
    </r>
    <r>
      <rPr>
        <sz val="9"/>
        <rFont val="Calibri"/>
        <family val="2"/>
      </rPr>
      <t xml:space="preserve">  For all</t>
    </r>
    <r>
      <rPr>
        <b/>
        <sz val="9"/>
        <rFont val="Calibri"/>
        <family val="2"/>
      </rPr>
      <t xml:space="preserve"> long span structures </t>
    </r>
    <r>
      <rPr>
        <sz val="9"/>
        <rFont val="Calibri"/>
        <family val="2"/>
      </rPr>
      <t xml:space="preserve">(horizontal ellipse, low and high profile arches, inverted pear shapes and pear arches), </t>
    </r>
  </si>
  <si>
    <r>
      <t>Calculate the F</t>
    </r>
    <r>
      <rPr>
        <b/>
        <vertAlign val="subscript"/>
        <sz val="11"/>
        <rFont val="Calibri"/>
        <family val="2"/>
        <scheme val="minor"/>
      </rPr>
      <t>cr</t>
    </r>
    <r>
      <rPr>
        <b/>
        <sz val="11"/>
        <rFont val="Calibri"/>
        <family val="2"/>
        <scheme val="minor"/>
      </rPr>
      <t xml:space="preserve"> (critical buckling stress) :</t>
    </r>
  </si>
  <si>
    <r>
      <t>F</t>
    </r>
    <r>
      <rPr>
        <b/>
        <vertAlign val="subscript"/>
        <sz val="12"/>
        <rFont val="Calibri"/>
        <family val="2"/>
        <scheme val="minor"/>
      </rPr>
      <t>cr</t>
    </r>
    <r>
      <rPr>
        <b/>
        <sz val="12"/>
        <rFont val="Calibri"/>
        <family val="2"/>
        <scheme val="minor"/>
      </rPr>
      <t xml:space="preserve"> </t>
    </r>
    <r>
      <rPr>
        <sz val="10"/>
        <rFont val="Calibri"/>
        <family val="2"/>
        <scheme val="minor"/>
      </rPr>
      <t>=</t>
    </r>
  </si>
  <si>
    <r>
      <t>Calculate the T</t>
    </r>
    <r>
      <rPr>
        <b/>
        <vertAlign val="subscript"/>
        <sz val="11"/>
        <rFont val="Calibri"/>
        <family val="2"/>
        <scheme val="minor"/>
      </rPr>
      <t>cap</t>
    </r>
    <r>
      <rPr>
        <b/>
        <sz val="11"/>
        <rFont val="Calibri"/>
        <family val="2"/>
        <scheme val="minor"/>
      </rPr>
      <t xml:space="preserve"> (thrust capacity of the wall) :</t>
    </r>
  </si>
  <si>
    <r>
      <rPr>
        <b/>
        <sz val="12"/>
        <rFont val="Calibri"/>
        <family val="2"/>
        <scheme val="minor"/>
      </rPr>
      <t>T</t>
    </r>
    <r>
      <rPr>
        <b/>
        <vertAlign val="subscript"/>
        <sz val="12"/>
        <rFont val="Calibri"/>
        <family val="2"/>
        <scheme val="minor"/>
      </rPr>
      <t>cap</t>
    </r>
    <r>
      <rPr>
        <sz val="12"/>
        <rFont val="Calibri"/>
        <family val="2"/>
        <scheme val="minor"/>
      </rPr>
      <t xml:space="preserve"> = </t>
    </r>
  </si>
  <si>
    <r>
      <t>Calculate the T</t>
    </r>
    <r>
      <rPr>
        <b/>
        <vertAlign val="subscript"/>
        <sz val="11"/>
        <rFont val="Calibri"/>
        <family val="2"/>
        <scheme val="minor"/>
      </rPr>
      <t>E</t>
    </r>
    <r>
      <rPr>
        <b/>
        <sz val="11"/>
        <rFont val="Calibri"/>
        <family val="2"/>
        <scheme val="minor"/>
      </rPr>
      <t xml:space="preserve"> (pipe wall thrust due to earth cover) :</t>
    </r>
  </si>
  <si>
    <r>
      <rPr>
        <b/>
        <sz val="12"/>
        <rFont val="Calibri"/>
        <family val="2"/>
        <scheme val="minor"/>
      </rPr>
      <t>T</t>
    </r>
    <r>
      <rPr>
        <b/>
        <vertAlign val="subscript"/>
        <sz val="12"/>
        <rFont val="Calibri"/>
        <family val="2"/>
        <scheme val="minor"/>
      </rPr>
      <t>E</t>
    </r>
    <r>
      <rPr>
        <sz val="12"/>
        <rFont val="Calibri"/>
        <family val="2"/>
        <scheme val="minor"/>
      </rPr>
      <t xml:space="preserve"> = </t>
    </r>
  </si>
  <si>
    <r>
      <t>Calculate the T</t>
    </r>
    <r>
      <rPr>
        <b/>
        <vertAlign val="subscript"/>
        <sz val="11"/>
        <rFont val="Calibri"/>
        <family val="2"/>
        <scheme val="minor"/>
      </rPr>
      <t>(L+I)</t>
    </r>
    <r>
      <rPr>
        <b/>
        <sz val="11"/>
        <rFont val="Calibri"/>
        <family val="2"/>
        <scheme val="minor"/>
      </rPr>
      <t xml:space="preserve"> (pipe wall thrust due to live load plus impact) :</t>
    </r>
  </si>
  <si>
    <r>
      <rPr>
        <b/>
        <sz val="12"/>
        <rFont val="Calibri"/>
        <family val="2"/>
        <scheme val="minor"/>
      </rPr>
      <t>T</t>
    </r>
    <r>
      <rPr>
        <b/>
        <vertAlign val="subscript"/>
        <sz val="12"/>
        <rFont val="Calibri"/>
        <family val="2"/>
        <scheme val="minor"/>
      </rPr>
      <t>(L+I)</t>
    </r>
    <r>
      <rPr>
        <b/>
        <vertAlign val="subscript"/>
        <sz val="10"/>
        <rFont val="Calibri"/>
        <family val="2"/>
        <scheme val="minor"/>
      </rPr>
      <t xml:space="preserve"> </t>
    </r>
    <r>
      <rPr>
        <sz val="8"/>
        <rFont val="Calibri"/>
        <family val="2"/>
        <scheme val="minor"/>
      </rPr>
      <t>(k/ft)</t>
    </r>
    <r>
      <rPr>
        <sz val="9"/>
        <rFont val="Calibri"/>
        <family val="2"/>
        <scheme val="minor"/>
      </rPr>
      <t xml:space="preserve"> </t>
    </r>
    <r>
      <rPr>
        <b/>
        <sz val="9"/>
        <rFont val="Calibri"/>
        <family val="2"/>
        <scheme val="minor"/>
      </rPr>
      <t>=</t>
    </r>
  </si>
  <si>
    <t>This spreadsheet was provided by Ohio Department of Transportation on March 17, 2023.  End user is responsible for input values and for verifying results obtained from the use of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</si>
</sst>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
    <numFmt numFmtId="166" formatCode="0000000"/>
    <numFmt numFmtId="167" formatCode="0.0000"/>
    <numFmt numFmtId="168" formatCode="&quot;#&quot;0"/>
    <numFmt numFmtId="169" formatCode="#\ ??/16"/>
    <numFmt numFmtId="170" formatCode="#\ ?/2"/>
    <numFmt numFmtId="171" formatCode="0\ &quot;Tons&quot;"/>
    <numFmt numFmtId="172" formatCode="&quot;RF=&quot;0.00"/>
    <numFmt numFmtId="173" formatCode="0.0\ &quot;Tons&quot;"/>
    <numFmt numFmtId="174" formatCode="&quot;HS&quot;0.0"/>
    <numFmt numFmtId="175" formatCode="yyyy"/>
    <numFmt numFmtId="176" formatCode="000"/>
  </numFmts>
  <fonts count="113" x14ac:knownFonts="1">
    <font>
      <sz val="10"/>
      <name val="Arial"/>
      <family val="2"/>
    </font>
    <font>
      <sz val="10"/>
      <name val="Arial"/>
      <family val="2"/>
    </font>
    <font>
      <sz val="8"/>
      <name val="Arial"/>
      <family val="2"/>
    </font>
    <font>
      <sz val="14"/>
      <name val="Arial"/>
      <family val="2"/>
    </font>
    <font>
      <sz val="10"/>
      <color indexed="8"/>
      <name val="Arial"/>
      <family val="2"/>
    </font>
    <font>
      <sz val="12"/>
      <name val="Times New Roman"/>
      <family val="1"/>
    </font>
    <font>
      <sz val="11"/>
      <name val="Times New Roman"/>
      <family val="1"/>
    </font>
    <font>
      <sz val="10"/>
      <name val="Times New Roman"/>
      <family val="1"/>
    </font>
    <font>
      <sz val="14"/>
      <name val="Times New Roman"/>
      <family val="1"/>
    </font>
    <font>
      <i/>
      <sz val="10"/>
      <name val="Times New Roman"/>
      <family val="1"/>
    </font>
    <font>
      <b/>
      <sz val="14"/>
      <color indexed="12"/>
      <name val="Arial"/>
      <family val="2"/>
    </font>
    <font>
      <b/>
      <i/>
      <sz val="10"/>
      <name val="Times New Roman"/>
      <family val="1"/>
    </font>
    <font>
      <b/>
      <sz val="14"/>
      <name val="Times New Roman"/>
      <family val="1"/>
    </font>
    <font>
      <sz val="9"/>
      <name val="Times New Roman"/>
      <family val="1"/>
    </font>
    <font>
      <sz val="11"/>
      <name val="Calibri"/>
      <family val="2"/>
    </font>
    <font>
      <vertAlign val="subscript"/>
      <sz val="11"/>
      <name val="Times New Roman"/>
      <family val="1"/>
    </font>
    <font>
      <sz val="10"/>
      <name val="Arial"/>
      <family val="2"/>
    </font>
    <font>
      <sz val="9"/>
      <name val="Calibri"/>
      <family val="2"/>
    </font>
    <font>
      <sz val="10"/>
      <name val="Calibri"/>
      <family val="2"/>
    </font>
    <font>
      <b/>
      <sz val="12"/>
      <name val="Calibri"/>
      <family val="2"/>
    </font>
    <font>
      <b/>
      <sz val="14"/>
      <name val="Calibri"/>
      <family val="2"/>
    </font>
    <font>
      <sz val="12"/>
      <name val="Calibri"/>
      <family val="2"/>
    </font>
    <font>
      <i/>
      <sz val="9"/>
      <name val="Calibri"/>
      <family val="2"/>
    </font>
    <font>
      <b/>
      <sz val="9"/>
      <name val="Calibri"/>
      <family val="2"/>
    </font>
    <font>
      <vertAlign val="subscript"/>
      <sz val="9"/>
      <name val="Calibri"/>
      <family val="2"/>
    </font>
    <font>
      <sz val="8"/>
      <name val="Calibri"/>
      <family val="2"/>
    </font>
    <font>
      <b/>
      <sz val="10"/>
      <name val="Calibri"/>
      <family val="2"/>
    </font>
    <font>
      <vertAlign val="subscript"/>
      <sz val="10"/>
      <name val="Calibri"/>
      <family val="2"/>
    </font>
    <font>
      <vertAlign val="superscript"/>
      <sz val="10"/>
      <name val="Calibri"/>
      <family val="2"/>
    </font>
    <font>
      <sz val="12"/>
      <color rgb="FF000000"/>
      <name val="Times New Roman"/>
      <family val="1"/>
    </font>
    <font>
      <i/>
      <sz val="12"/>
      <color rgb="FF000000"/>
      <name val="Times New Roman"/>
      <family val="1"/>
    </font>
    <font>
      <b/>
      <sz val="14"/>
      <color rgb="FF0000FF"/>
      <name val="Times New Roman"/>
      <family val="1"/>
    </font>
    <font>
      <i/>
      <sz val="10"/>
      <color rgb="FF2E08B8"/>
      <name val="Times New Roman"/>
      <family val="1"/>
    </font>
    <font>
      <b/>
      <u/>
      <sz val="20"/>
      <color rgb="FFC00000"/>
      <name val="Arial"/>
      <family val="2"/>
    </font>
    <font>
      <b/>
      <u/>
      <sz val="10"/>
      <color rgb="FFC00000"/>
      <name val="Times New Roman"/>
      <family val="1"/>
    </font>
    <font>
      <sz val="9"/>
      <name val="Calibri"/>
      <family val="2"/>
      <scheme val="minor"/>
    </font>
    <font>
      <sz val="9"/>
      <color rgb="FFFF0000"/>
      <name val="Calibri"/>
      <family val="2"/>
      <scheme val="minor"/>
    </font>
    <font>
      <b/>
      <sz val="14"/>
      <color indexed="8"/>
      <name val="Calibri"/>
      <family val="2"/>
      <scheme val="minor"/>
    </font>
    <font>
      <sz val="10"/>
      <name val="Calibri"/>
      <family val="2"/>
      <scheme val="minor"/>
    </font>
    <font>
      <i/>
      <sz val="10"/>
      <color rgb="FF2E08B8"/>
      <name val="Calibri"/>
      <family val="2"/>
      <scheme val="minor"/>
    </font>
    <font>
      <i/>
      <sz val="10"/>
      <name val="Calibri"/>
      <family val="2"/>
      <scheme val="minor"/>
    </font>
    <font>
      <b/>
      <i/>
      <sz val="10"/>
      <name val="Calibri"/>
      <family val="2"/>
      <scheme val="minor"/>
    </font>
    <font>
      <b/>
      <sz val="12"/>
      <name val="Calibri"/>
      <family val="2"/>
      <scheme val="minor"/>
    </font>
    <font>
      <b/>
      <sz val="10"/>
      <name val="Calibri"/>
      <family val="2"/>
      <scheme val="minor"/>
    </font>
    <font>
      <b/>
      <sz val="9"/>
      <name val="Calibri"/>
      <family val="2"/>
      <scheme val="minor"/>
    </font>
    <font>
      <sz val="8"/>
      <name val="Calibri"/>
      <family val="2"/>
      <scheme val="minor"/>
    </font>
    <font>
      <sz val="10"/>
      <color rgb="FF000000"/>
      <name val="Times New Roman"/>
      <family val="1"/>
    </font>
    <font>
      <b/>
      <sz val="12"/>
      <color indexed="8"/>
      <name val="Calibri"/>
      <family val="2"/>
      <scheme val="minor"/>
    </font>
    <font>
      <vertAlign val="subscript"/>
      <sz val="9"/>
      <name val="Calibri"/>
      <family val="2"/>
      <scheme val="minor"/>
    </font>
    <font>
      <b/>
      <sz val="11"/>
      <name val="Calibri"/>
      <family val="2"/>
      <scheme val="minor"/>
    </font>
    <font>
      <vertAlign val="subscript"/>
      <sz val="10"/>
      <name val="Calibri"/>
      <family val="2"/>
      <scheme val="minor"/>
    </font>
    <font>
      <sz val="12"/>
      <name val="Calibri"/>
      <family val="2"/>
      <scheme val="minor"/>
    </font>
    <font>
      <vertAlign val="subscript"/>
      <sz val="12"/>
      <name val="Calibri"/>
      <family val="2"/>
      <scheme val="minor"/>
    </font>
    <font>
      <sz val="12"/>
      <color rgb="FF000000"/>
      <name val="Calibri"/>
      <family val="2"/>
      <scheme val="minor"/>
    </font>
    <font>
      <b/>
      <sz val="12"/>
      <color rgb="FF000000"/>
      <name val="Calibri"/>
      <family val="2"/>
      <scheme val="minor"/>
    </font>
    <font>
      <vertAlign val="subscript"/>
      <sz val="12"/>
      <color rgb="FF000000"/>
      <name val="Calibri"/>
      <family val="2"/>
      <scheme val="minor"/>
    </font>
    <font>
      <b/>
      <vertAlign val="subscript"/>
      <sz val="12"/>
      <color rgb="FF000000"/>
      <name val="Calibri"/>
      <family val="2"/>
      <scheme val="minor"/>
    </font>
    <font>
      <vertAlign val="subscript"/>
      <sz val="12"/>
      <name val="Calibri"/>
      <family val="2"/>
    </font>
    <font>
      <vertAlign val="superscript"/>
      <sz val="10"/>
      <name val="Calibri"/>
      <family val="2"/>
      <scheme val="minor"/>
    </font>
    <font>
      <b/>
      <sz val="8"/>
      <name val="Calibri"/>
      <family val="2"/>
      <scheme val="minor"/>
    </font>
    <font>
      <b/>
      <sz val="10"/>
      <color rgb="FFFF0000"/>
      <name val="Calibri"/>
      <family val="2"/>
    </font>
    <font>
      <sz val="8"/>
      <color rgb="FFFF0000"/>
      <name val="Calibri"/>
      <family val="2"/>
    </font>
    <font>
      <vertAlign val="subscript"/>
      <sz val="8"/>
      <name val="Calibri"/>
      <family val="2"/>
      <scheme val="minor"/>
    </font>
    <font>
      <vertAlign val="superscript"/>
      <sz val="8"/>
      <name val="Calibri"/>
      <family val="2"/>
      <scheme val="minor"/>
    </font>
    <font>
      <b/>
      <sz val="8"/>
      <name val="Arial"/>
      <family val="2"/>
    </font>
    <font>
      <b/>
      <i/>
      <sz val="8"/>
      <name val="Arial"/>
      <family val="2"/>
    </font>
    <font>
      <b/>
      <i/>
      <sz val="9"/>
      <name val="Calibri"/>
      <family val="2"/>
      <scheme val="minor"/>
    </font>
    <font>
      <sz val="11"/>
      <name val="Calibri"/>
      <family val="2"/>
      <scheme val="minor"/>
    </font>
    <font>
      <sz val="16"/>
      <name val="Arial"/>
      <family val="2"/>
    </font>
    <font>
      <sz val="16"/>
      <color rgb="FFFF0000"/>
      <name val="Arial"/>
      <family val="2"/>
    </font>
    <font>
      <b/>
      <sz val="10"/>
      <color rgb="FFFF0000"/>
      <name val="Calibri"/>
      <family val="2"/>
      <scheme val="minor"/>
    </font>
    <font>
      <sz val="10"/>
      <color rgb="FFFF0000"/>
      <name val="Times New Roman"/>
      <family val="1"/>
    </font>
    <font>
      <b/>
      <vertAlign val="subscript"/>
      <sz val="10"/>
      <name val="Calibri"/>
      <family val="2"/>
      <scheme val="minor"/>
    </font>
    <font>
      <b/>
      <sz val="10"/>
      <color indexed="8"/>
      <name val="Calibri"/>
      <family val="2"/>
      <scheme val="minor"/>
    </font>
    <font>
      <b/>
      <vertAlign val="subscript"/>
      <sz val="9"/>
      <name val="Calibri"/>
      <family val="2"/>
    </font>
    <font>
      <b/>
      <vertAlign val="subscript"/>
      <sz val="9"/>
      <name val="Calibri"/>
      <family val="2"/>
      <scheme val="minor"/>
    </font>
    <font>
      <b/>
      <sz val="14"/>
      <color indexed="8"/>
      <name val="Calibri"/>
      <family val="2"/>
    </font>
    <font>
      <sz val="10"/>
      <color indexed="8"/>
      <name val="Calibri"/>
      <family val="2"/>
      <scheme val="minor"/>
    </font>
    <font>
      <b/>
      <sz val="10"/>
      <color rgb="FFFF0000"/>
      <name val="Times New Roman"/>
      <family val="1"/>
    </font>
    <font>
      <b/>
      <sz val="12"/>
      <color rgb="FFFF0000"/>
      <name val="Calibri"/>
      <family val="2"/>
      <scheme val="minor"/>
    </font>
    <font>
      <b/>
      <sz val="9"/>
      <color rgb="FFFF0000"/>
      <name val="Times New Roman"/>
      <family val="1"/>
    </font>
    <font>
      <sz val="8"/>
      <name val="Times New Roman"/>
      <family val="1"/>
    </font>
    <font>
      <sz val="14"/>
      <name val="Calibri"/>
      <family val="2"/>
    </font>
    <font>
      <sz val="16"/>
      <name val="Calibri"/>
      <family val="2"/>
      <scheme val="minor"/>
    </font>
    <font>
      <b/>
      <sz val="10"/>
      <name val="Times New Roman"/>
      <family val="1"/>
    </font>
    <font>
      <vertAlign val="subscript"/>
      <sz val="11"/>
      <name val="Calibri"/>
      <family val="2"/>
      <scheme val="minor"/>
    </font>
    <font>
      <vertAlign val="subscript"/>
      <sz val="9"/>
      <name val="Times New Roman"/>
      <family val="1"/>
    </font>
    <font>
      <b/>
      <vertAlign val="subscript"/>
      <sz val="10"/>
      <name val="Times New Roman"/>
      <family val="1"/>
    </font>
    <font>
      <b/>
      <i/>
      <sz val="8"/>
      <name val="Times New Roman"/>
      <family val="1"/>
    </font>
    <font>
      <b/>
      <i/>
      <sz val="9"/>
      <name val="Times New Roman"/>
      <family val="1"/>
    </font>
    <font>
      <i/>
      <sz val="9"/>
      <name val="Times New Roman"/>
      <family val="1"/>
    </font>
    <font>
      <i/>
      <vertAlign val="subscript"/>
      <sz val="10"/>
      <name val="Times New Roman"/>
      <family val="1"/>
    </font>
    <font>
      <b/>
      <i/>
      <sz val="14"/>
      <name val="Times New Roman"/>
      <family val="1"/>
    </font>
    <font>
      <b/>
      <i/>
      <sz val="12"/>
      <name val="Calibri"/>
      <family val="2"/>
      <scheme val="minor"/>
    </font>
    <font>
      <b/>
      <i/>
      <vertAlign val="subscript"/>
      <sz val="12"/>
      <name val="Calibri"/>
      <family val="2"/>
      <scheme val="minor"/>
    </font>
    <font>
      <sz val="11"/>
      <name val="Arial"/>
      <family val="2"/>
    </font>
    <font>
      <sz val="8.5"/>
      <name val="Times New Roman"/>
      <family val="1"/>
    </font>
    <font>
      <i/>
      <sz val="10"/>
      <name val="Calibri"/>
      <family val="2"/>
    </font>
    <font>
      <b/>
      <i/>
      <sz val="10"/>
      <name val="Calibri"/>
      <family val="2"/>
    </font>
    <font>
      <b/>
      <i/>
      <sz val="9"/>
      <name val="Calibri"/>
      <family val="2"/>
    </font>
    <font>
      <sz val="11"/>
      <color rgb="FFFF0000"/>
      <name val="Calibri"/>
      <family val="2"/>
      <scheme val="minor"/>
    </font>
    <font>
      <b/>
      <sz val="16"/>
      <name val="Times New Roman"/>
      <family val="1"/>
    </font>
    <font>
      <sz val="8"/>
      <color rgb="FF000000"/>
      <name val="Calibri"/>
      <family val="2"/>
      <scheme val="minor"/>
    </font>
    <font>
      <sz val="10"/>
      <color rgb="FF000000"/>
      <name val="Calibri"/>
      <family val="2"/>
      <scheme val="minor"/>
    </font>
    <font>
      <i/>
      <sz val="8"/>
      <color rgb="FFFF0000"/>
      <name val="Calibri"/>
      <family val="2"/>
      <scheme val="minor"/>
    </font>
    <font>
      <sz val="12"/>
      <color rgb="FFFF0000"/>
      <name val="Calibri"/>
      <family val="2"/>
      <scheme val="minor"/>
    </font>
    <font>
      <sz val="11"/>
      <color indexed="8"/>
      <name val="Calibri"/>
      <family val="2"/>
      <scheme val="minor"/>
    </font>
    <font>
      <sz val="10"/>
      <color rgb="FFFF0000"/>
      <name val="Calibri"/>
      <family val="2"/>
      <scheme val="minor"/>
    </font>
    <font>
      <b/>
      <sz val="10"/>
      <color rgb="FF000000"/>
      <name val="Calibri"/>
      <family val="2"/>
    </font>
    <font>
      <b/>
      <sz val="12"/>
      <color rgb="FFFF0000"/>
      <name val="Cambria"/>
      <family val="1"/>
      <scheme val="major"/>
    </font>
    <font>
      <sz val="10"/>
      <name val="Cambria"/>
      <family val="1"/>
      <scheme val="major"/>
    </font>
    <font>
      <b/>
      <vertAlign val="subscript"/>
      <sz val="11"/>
      <name val="Calibri"/>
      <family val="2"/>
      <scheme val="minor"/>
    </font>
    <font>
      <b/>
      <vertAlign val="subscript"/>
      <sz val="12"/>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0000"/>
        <bgColor indexed="64"/>
      </patternFill>
    </fill>
  </fills>
  <borders count="124">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right/>
      <top style="thin">
        <color indexed="64"/>
      </top>
      <bottom style="thin">
        <color indexed="64"/>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double">
        <color indexed="64"/>
      </right>
      <top style="double">
        <color indexed="64"/>
      </top>
      <bottom style="double">
        <color indexed="64"/>
      </bottom>
      <diagonal/>
    </border>
    <border diagonalDown="1">
      <left style="double">
        <color indexed="64"/>
      </left>
      <right style="thin">
        <color indexed="64"/>
      </right>
      <top style="double">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diagonalDown="1">
      <left style="double">
        <color indexed="64"/>
      </left>
      <right style="double">
        <color indexed="64"/>
      </right>
      <top style="double">
        <color indexed="64"/>
      </top>
      <bottom style="double">
        <color indexed="64"/>
      </bottom>
      <diagonal style="thin">
        <color indexed="64"/>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6" fillId="0" borderId="0"/>
  </cellStyleXfs>
  <cellXfs count="627">
    <xf numFmtId="0" fontId="0" fillId="0" borderId="0" xfId="0"/>
    <xf numFmtId="0" fontId="0" fillId="0" borderId="4" xfId="0" applyBorder="1"/>
    <xf numFmtId="0" fontId="0" fillId="0" borderId="8" xfId="0" applyBorder="1"/>
    <xf numFmtId="0" fontId="0" fillId="0" borderId="9" xfId="0" applyBorder="1"/>
    <xf numFmtId="0" fontId="0" fillId="0" borderId="17" xfId="0" applyBorder="1"/>
    <xf numFmtId="0" fontId="16" fillId="0" borderId="0" xfId="1"/>
    <xf numFmtId="0" fontId="5" fillId="0" borderId="0" xfId="1" applyFont="1"/>
    <xf numFmtId="0" fontId="29" fillId="0" borderId="0" xfId="1" applyFont="1"/>
    <xf numFmtId="0" fontId="29" fillId="0" borderId="0" xfId="1" applyFont="1" applyAlignment="1">
      <alignment horizontal="right"/>
    </xf>
    <xf numFmtId="0" fontId="30" fillId="0" borderId="0" xfId="1" applyFont="1" applyAlignment="1">
      <alignment horizontal="right"/>
    </xf>
    <xf numFmtId="0" fontId="8" fillId="0" borderId="0" xfId="1" applyFont="1"/>
    <xf numFmtId="0" fontId="7" fillId="0" borderId="0" xfId="1" applyFont="1" applyAlignment="1">
      <alignment vertical="center" wrapText="1"/>
    </xf>
    <xf numFmtId="165" fontId="5" fillId="0" borderId="0" xfId="1" applyNumberFormat="1" applyFont="1" applyAlignment="1">
      <alignment horizontal="left" vertical="center"/>
    </xf>
    <xf numFmtId="165" fontId="9" fillId="0" borderId="0" xfId="1" applyNumberFormat="1" applyFont="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right" vertical="center" wrapText="1"/>
    </xf>
    <xf numFmtId="0" fontId="1" fillId="0" borderId="0" xfId="1" applyFont="1" applyAlignment="1">
      <alignment vertical="center" wrapText="1"/>
    </xf>
    <xf numFmtId="167" fontId="8" fillId="0" borderId="0" xfId="1" applyNumberFormat="1" applyFont="1"/>
    <xf numFmtId="2" fontId="8" fillId="0" borderId="0" xfId="1" applyNumberFormat="1" applyFont="1"/>
    <xf numFmtId="167" fontId="7" fillId="0" borderId="0" xfId="1" applyNumberFormat="1" applyFont="1"/>
    <xf numFmtId="2" fontId="31" fillId="0" borderId="0" xfId="1" applyNumberFormat="1" applyFont="1"/>
    <xf numFmtId="0" fontId="10" fillId="0" borderId="0" xfId="1" applyFont="1" applyProtection="1">
      <protection locked="0"/>
    </xf>
    <xf numFmtId="168" fontId="10" fillId="0" borderId="0" xfId="1" applyNumberFormat="1" applyFont="1" applyProtection="1">
      <protection locked="0"/>
    </xf>
    <xf numFmtId="0" fontId="12" fillId="0" borderId="0" xfId="1" applyFont="1" applyAlignment="1">
      <alignment wrapText="1"/>
    </xf>
    <xf numFmtId="0" fontId="12" fillId="0" borderId="0" xfId="1" applyFont="1"/>
    <xf numFmtId="1" fontId="10" fillId="0" borderId="0" xfId="1" applyNumberFormat="1" applyFont="1" applyProtection="1">
      <protection locked="0"/>
    </xf>
    <xf numFmtId="166" fontId="10" fillId="0" borderId="0" xfId="1" applyNumberFormat="1" applyFont="1" applyProtection="1">
      <protection locked="0"/>
    </xf>
    <xf numFmtId="0" fontId="7" fillId="0" borderId="0" xfId="1" applyFont="1" applyAlignment="1">
      <alignment horizontal="center" vertical="center"/>
    </xf>
    <xf numFmtId="14" fontId="7" fillId="0" borderId="0" xfId="1" applyNumberFormat="1" applyFont="1" applyAlignment="1">
      <alignment horizontal="center" vertical="center"/>
    </xf>
    <xf numFmtId="0" fontId="11" fillId="0" borderId="0" xfId="1" applyFont="1" applyAlignment="1">
      <alignment horizontal="left" vertical="center" wrapText="1"/>
    </xf>
    <xf numFmtId="0" fontId="7" fillId="0" borderId="38" xfId="1" applyFont="1" applyBorder="1" applyAlignment="1">
      <alignment horizontal="center" vertical="center"/>
    </xf>
    <xf numFmtId="14" fontId="7" fillId="0" borderId="39" xfId="1" applyNumberFormat="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32" fillId="2" borderId="42" xfId="1" applyFont="1" applyFill="1" applyBorder="1" applyAlignment="1">
      <alignment horizontal="center" vertical="center"/>
    </xf>
    <xf numFmtId="0" fontId="7" fillId="0" borderId="0" xfId="1" applyFont="1" applyAlignment="1">
      <alignment horizontal="right" vertical="center"/>
    </xf>
    <xf numFmtId="0" fontId="7" fillId="0" borderId="43" xfId="1" applyFont="1" applyBorder="1" applyAlignment="1">
      <alignment horizontal="right" vertical="center"/>
    </xf>
    <xf numFmtId="0" fontId="32" fillId="2" borderId="0" xfId="1" applyFont="1" applyFill="1" applyAlignment="1">
      <alignment horizontal="left" vertical="center"/>
    </xf>
    <xf numFmtId="0" fontId="32" fillId="2" borderId="42" xfId="1" applyFont="1" applyFill="1" applyBorder="1" applyAlignment="1">
      <alignment horizontal="left" vertical="center"/>
    </xf>
    <xf numFmtId="0" fontId="33" fillId="0" borderId="0" xfId="1" applyFont="1"/>
    <xf numFmtId="0" fontId="34" fillId="0" borderId="44" xfId="1" applyFont="1" applyBorder="1" applyAlignment="1">
      <alignment horizontal="center" vertical="center"/>
    </xf>
    <xf numFmtId="0" fontId="7" fillId="0" borderId="45" xfId="1" applyFont="1" applyBorder="1" applyAlignment="1">
      <alignment horizontal="right" vertical="center"/>
    </xf>
    <xf numFmtId="0" fontId="32" fillId="2" borderId="45" xfId="1" applyFont="1" applyFill="1" applyBorder="1" applyAlignment="1">
      <alignment horizontal="left" vertical="center"/>
    </xf>
    <xf numFmtId="0" fontId="7" fillId="0" borderId="46" xfId="1" applyFont="1" applyBorder="1" applyAlignment="1">
      <alignment horizontal="right" vertical="center"/>
    </xf>
    <xf numFmtId="0" fontId="7" fillId="0" borderId="6" xfId="1" applyFont="1" applyBorder="1" applyAlignment="1">
      <alignment horizontal="center" vertical="center" wrapText="1"/>
    </xf>
    <xf numFmtId="0" fontId="35" fillId="0" borderId="0" xfId="1" applyFont="1" applyAlignment="1">
      <alignment horizontal="left" vertical="center" wrapText="1"/>
    </xf>
    <xf numFmtId="0" fontId="11" fillId="0" borderId="39" xfId="1" applyFont="1" applyBorder="1" applyAlignment="1">
      <alignment vertical="top" wrapText="1"/>
    </xf>
    <xf numFmtId="0" fontId="11" fillId="0" borderId="42" xfId="1" applyFont="1" applyBorder="1" applyAlignment="1">
      <alignment vertical="top" wrapText="1"/>
    </xf>
    <xf numFmtId="0" fontId="32" fillId="0" borderId="48" xfId="1" applyFont="1" applyBorder="1" applyAlignment="1">
      <alignment horizontal="center" vertical="center"/>
    </xf>
    <xf numFmtId="0" fontId="37" fillId="0" borderId="0" xfId="0" applyFont="1" applyAlignment="1">
      <alignment horizontal="left" vertical="center"/>
    </xf>
    <xf numFmtId="0" fontId="38" fillId="0" borderId="46" xfId="1" applyFont="1" applyBorder="1" applyAlignment="1">
      <alignment horizontal="right" vertical="center"/>
    </xf>
    <xf numFmtId="0" fontId="38" fillId="0" borderId="45" xfId="1" applyFont="1" applyBorder="1" applyAlignment="1">
      <alignment horizontal="right" vertical="center"/>
    </xf>
    <xf numFmtId="0" fontId="38" fillId="0" borderId="0" xfId="0" applyFont="1" applyAlignment="1">
      <alignment vertical="center"/>
    </xf>
    <xf numFmtId="0" fontId="38" fillId="0" borderId="43" xfId="1" applyFont="1" applyBorder="1" applyAlignment="1">
      <alignment horizontal="right" vertical="center"/>
    </xf>
    <xf numFmtId="0" fontId="38" fillId="0" borderId="0" xfId="1" applyFont="1" applyAlignment="1">
      <alignment horizontal="right" vertical="center"/>
    </xf>
    <xf numFmtId="0" fontId="39" fillId="0" borderId="48" xfId="1" applyFont="1" applyBorder="1" applyAlignment="1">
      <alignment horizontal="center" vertical="center"/>
    </xf>
    <xf numFmtId="0" fontId="38" fillId="0" borderId="0" xfId="1" applyFont="1" applyAlignment="1">
      <alignment horizontal="center" vertical="center"/>
    </xf>
    <xf numFmtId="0" fontId="39" fillId="2" borderId="42" xfId="1" applyFont="1" applyFill="1" applyBorder="1" applyAlignment="1">
      <alignment horizontal="center" vertical="center"/>
    </xf>
    <xf numFmtId="0" fontId="41" fillId="0" borderId="42" xfId="1" applyFont="1" applyBorder="1" applyAlignment="1">
      <alignment vertical="center" wrapText="1"/>
    </xf>
    <xf numFmtId="0" fontId="38" fillId="0" borderId="40" xfId="1" applyFont="1" applyBorder="1" applyAlignment="1">
      <alignment horizontal="center" vertical="center"/>
    </xf>
    <xf numFmtId="0" fontId="41" fillId="0" borderId="39" xfId="1" applyFont="1" applyBorder="1" applyAlignment="1">
      <alignment vertical="center" wrapText="1"/>
    </xf>
    <xf numFmtId="0" fontId="38" fillId="0" borderId="39" xfId="1" applyFont="1" applyBorder="1" applyAlignment="1">
      <alignment horizontal="center" vertical="center"/>
    </xf>
    <xf numFmtId="14" fontId="38" fillId="0" borderId="39" xfId="1" applyNumberFormat="1" applyFont="1" applyBorder="1" applyAlignment="1">
      <alignment horizontal="center" vertical="center"/>
    </xf>
    <xf numFmtId="14" fontId="38" fillId="0" borderId="38" xfId="1" applyNumberFormat="1" applyFont="1" applyBorder="1" applyAlignment="1">
      <alignment horizontal="center" vertical="center"/>
    </xf>
    <xf numFmtId="0" fontId="42" fillId="0" borderId="0" xfId="0" applyFont="1" applyAlignment="1">
      <alignment vertical="center" wrapText="1"/>
    </xf>
    <xf numFmtId="0" fontId="35" fillId="0" borderId="0" xfId="0" applyFont="1" applyAlignment="1">
      <alignment horizontal="left" vertical="center"/>
    </xf>
    <xf numFmtId="0" fontId="35" fillId="0" borderId="34" xfId="0" applyFont="1" applyBorder="1" applyAlignment="1">
      <alignment horizontal="left" vertical="center"/>
    </xf>
    <xf numFmtId="0" fontId="43" fillId="0" borderId="0" xfId="0" applyFont="1" applyAlignment="1">
      <alignment horizontal="center" vertical="center"/>
    </xf>
    <xf numFmtId="0" fontId="43" fillId="0" borderId="6" xfId="0" applyFont="1" applyBorder="1" applyAlignment="1">
      <alignment horizontal="right" vertical="center" wrapText="1"/>
    </xf>
    <xf numFmtId="2" fontId="38" fillId="0" borderId="6" xfId="0" applyNumberFormat="1" applyFont="1" applyBorder="1" applyAlignment="1">
      <alignment horizontal="center" vertical="center"/>
    </xf>
    <xf numFmtId="9" fontId="38" fillId="0" borderId="6" xfId="0" applyNumberFormat="1" applyFont="1" applyBorder="1" applyAlignment="1">
      <alignment horizontal="center" vertical="center"/>
    </xf>
    <xf numFmtId="0" fontId="44" fillId="0" borderId="67" xfId="0" applyFont="1" applyBorder="1" applyAlignment="1">
      <alignment vertical="center" wrapText="1"/>
    </xf>
    <xf numFmtId="2" fontId="38" fillId="0" borderId="33" xfId="0" applyNumberFormat="1" applyFont="1" applyBorder="1" applyAlignment="1">
      <alignment horizontal="center" vertical="center"/>
    </xf>
    <xf numFmtId="164" fontId="38" fillId="0" borderId="6" xfId="0" applyNumberFormat="1" applyFont="1" applyBorder="1" applyAlignment="1">
      <alignment horizontal="center" vertical="center"/>
    </xf>
    <xf numFmtId="0" fontId="13" fillId="0" borderId="6" xfId="1" applyFont="1" applyBorder="1" applyAlignment="1">
      <alignment horizontal="center" vertical="center"/>
    </xf>
    <xf numFmtId="165" fontId="35" fillId="0" borderId="6" xfId="1" applyNumberFormat="1" applyFont="1" applyBorder="1" applyAlignment="1">
      <alignment horizontal="center" vertical="center"/>
    </xf>
    <xf numFmtId="0" fontId="38" fillId="0" borderId="6" xfId="1" applyFont="1" applyBorder="1" applyAlignment="1">
      <alignment horizontal="center"/>
    </xf>
    <xf numFmtId="0" fontId="43" fillId="0" borderId="6" xfId="1" applyFont="1" applyBorder="1" applyAlignment="1">
      <alignment horizontal="center" vertical="center"/>
    </xf>
    <xf numFmtId="165" fontId="7" fillId="2" borderId="47" xfId="1" applyNumberFormat="1" applyFont="1" applyFill="1" applyBorder="1" applyAlignment="1">
      <alignment horizontal="center" vertical="center"/>
    </xf>
    <xf numFmtId="2" fontId="7" fillId="2" borderId="47" xfId="1" applyNumberFormat="1" applyFont="1" applyFill="1" applyBorder="1" applyAlignment="1">
      <alignment horizontal="center" vertical="center"/>
    </xf>
    <xf numFmtId="0" fontId="1" fillId="0" borderId="6" xfId="1" applyFont="1" applyBorder="1" applyAlignment="1">
      <alignment horizontal="center"/>
    </xf>
    <xf numFmtId="167" fontId="2" fillId="0" borderId="6" xfId="0" applyNumberFormat="1" applyFont="1" applyBorder="1" applyAlignment="1">
      <alignment horizontal="center" vertical="center"/>
    </xf>
    <xf numFmtId="165" fontId="2" fillId="0" borderId="22" xfId="0" applyNumberFormat="1" applyFont="1" applyBorder="1" applyAlignment="1">
      <alignment horizontal="center" vertical="center"/>
    </xf>
    <xf numFmtId="165" fontId="2" fillId="0" borderId="23" xfId="0" applyNumberFormat="1" applyFont="1" applyBorder="1" applyAlignment="1">
      <alignment horizontal="center" vertical="center"/>
    </xf>
    <xf numFmtId="165" fontId="2" fillId="0" borderId="17" xfId="0" applyNumberFormat="1" applyFont="1" applyBorder="1" applyAlignment="1">
      <alignment horizontal="center" vertical="center"/>
    </xf>
    <xf numFmtId="167" fontId="2" fillId="0" borderId="18" xfId="0" applyNumberFormat="1" applyFont="1" applyBorder="1" applyAlignment="1">
      <alignment horizontal="center" vertical="center"/>
    </xf>
    <xf numFmtId="165" fontId="2" fillId="0" borderId="19" xfId="0" applyNumberFormat="1" applyFont="1" applyBorder="1" applyAlignment="1">
      <alignment horizontal="center" vertical="center"/>
    </xf>
    <xf numFmtId="165" fontId="2" fillId="0" borderId="20" xfId="0" applyNumberFormat="1" applyFont="1" applyBorder="1" applyAlignment="1">
      <alignment horizontal="center" vertical="center"/>
    </xf>
    <xf numFmtId="167" fontId="2" fillId="0" borderId="13" xfId="0" applyNumberFormat="1" applyFont="1" applyBorder="1" applyAlignment="1">
      <alignment horizontal="center" vertical="center"/>
    </xf>
    <xf numFmtId="165" fontId="2" fillId="0" borderId="21" xfId="0" applyNumberFormat="1" applyFont="1" applyBorder="1" applyAlignment="1">
      <alignment horizontal="center" vertical="center"/>
    </xf>
    <xf numFmtId="165" fontId="2" fillId="0" borderId="0" xfId="0" applyNumberFormat="1" applyFont="1" applyAlignment="1">
      <alignment horizontal="center" vertical="center"/>
    </xf>
    <xf numFmtId="167" fontId="2" fillId="0" borderId="0" xfId="0" applyNumberFormat="1" applyFont="1" applyAlignment="1">
      <alignment horizontal="center" vertical="center"/>
    </xf>
    <xf numFmtId="0" fontId="0" fillId="0" borderId="0" xfId="0" applyAlignment="1">
      <alignment horizontal="left" vertical="center"/>
    </xf>
    <xf numFmtId="0" fontId="0" fillId="0" borderId="0" xfId="0" applyAlignment="1">
      <alignment vertical="center"/>
    </xf>
    <xf numFmtId="2" fontId="38" fillId="0" borderId="0" xfId="0" applyNumberFormat="1" applyFont="1" applyAlignment="1">
      <alignment horizontal="center" vertical="center"/>
    </xf>
    <xf numFmtId="1" fontId="38" fillId="0" borderId="6" xfId="0" applyNumberFormat="1" applyFont="1" applyBorder="1" applyAlignment="1">
      <alignment horizontal="center" vertical="center"/>
    </xf>
    <xf numFmtId="0" fontId="38" fillId="0" borderId="0" xfId="0" applyFont="1" applyAlignment="1">
      <alignment horizontal="left"/>
    </xf>
    <xf numFmtId="0" fontId="35" fillId="0" borderId="0" xfId="0" applyFont="1" applyAlignment="1">
      <alignment horizontal="center" vertical="center"/>
    </xf>
    <xf numFmtId="0" fontId="35" fillId="0" borderId="6" xfId="0" applyFont="1" applyBorder="1" applyAlignment="1">
      <alignment horizontal="center" vertical="center"/>
    </xf>
    <xf numFmtId="0" fontId="35" fillId="0" borderId="34" xfId="1" applyFont="1" applyBorder="1" applyAlignment="1">
      <alignment horizontal="left" vertical="center"/>
    </xf>
    <xf numFmtId="0" fontId="47" fillId="0" borderId="0" xfId="0" applyFont="1" applyAlignment="1">
      <alignment vertical="center"/>
    </xf>
    <xf numFmtId="0" fontId="38" fillId="0" borderId="0" xfId="0" applyFont="1" applyAlignment="1">
      <alignment horizontal="right" vertical="center"/>
    </xf>
    <xf numFmtId="1" fontId="38" fillId="0" borderId="0" xfId="0" applyNumberFormat="1" applyFont="1" applyAlignment="1">
      <alignment horizontal="center" vertical="center"/>
    </xf>
    <xf numFmtId="0" fontId="49" fillId="0" borderId="0" xfId="0" applyFont="1" applyAlignment="1">
      <alignment horizontal="center" vertical="center"/>
    </xf>
    <xf numFmtId="0" fontId="45" fillId="0" borderId="0" xfId="0" applyFont="1"/>
    <xf numFmtId="0" fontId="35" fillId="0" borderId="0" xfId="0" applyFont="1"/>
    <xf numFmtId="0" fontId="35" fillId="0" borderId="6" xfId="0" applyFont="1" applyBorder="1" applyAlignment="1">
      <alignment horizontal="left" vertical="center"/>
    </xf>
    <xf numFmtId="0" fontId="2" fillId="0" borderId="0" xfId="0" applyFont="1" applyAlignment="1">
      <alignment horizontal="center" vertical="center"/>
    </xf>
    <xf numFmtId="0" fontId="1" fillId="0" borderId="0" xfId="1" applyFont="1" applyAlignment="1">
      <alignment horizontal="center"/>
    </xf>
    <xf numFmtId="0" fontId="38" fillId="0" borderId="0" xfId="1" applyFont="1" applyAlignment="1">
      <alignment horizontal="left" vertical="center"/>
    </xf>
    <xf numFmtId="0" fontId="51" fillId="0" borderId="6" xfId="1" applyFont="1" applyBorder="1" applyAlignment="1">
      <alignment horizontal="left" vertical="center"/>
    </xf>
    <xf numFmtId="0" fontId="53" fillId="0" borderId="6" xfId="1" applyFont="1" applyBorder="1" applyAlignment="1">
      <alignment horizontal="left" vertical="center"/>
    </xf>
    <xf numFmtId="0" fontId="26" fillId="0" borderId="0" xfId="0" applyFont="1" applyAlignment="1">
      <alignment vertical="center"/>
    </xf>
    <xf numFmtId="0" fontId="26" fillId="0" borderId="0" xfId="1" applyFont="1" applyAlignment="1">
      <alignment vertical="center"/>
    </xf>
    <xf numFmtId="0" fontId="45" fillId="0" borderId="6" xfId="0" applyFont="1" applyBorder="1" applyAlignment="1">
      <alignment horizontal="left" vertical="center"/>
    </xf>
    <xf numFmtId="0" fontId="45" fillId="0" borderId="6" xfId="0" applyFont="1" applyBorder="1" applyAlignment="1">
      <alignment vertical="center"/>
    </xf>
    <xf numFmtId="0" fontId="16" fillId="0" borderId="46" xfId="1" applyBorder="1"/>
    <xf numFmtId="0" fontId="16" fillId="0" borderId="45" xfId="1" applyBorder="1"/>
    <xf numFmtId="0" fontId="36" fillId="0" borderId="0" xfId="1" applyFont="1" applyAlignment="1">
      <alignment horizontal="left" vertical="center" wrapText="1"/>
    </xf>
    <xf numFmtId="0" fontId="45" fillId="0" borderId="30" xfId="0" applyFont="1" applyBorder="1" applyAlignment="1">
      <alignment horizontal="center" vertical="center"/>
    </xf>
    <xf numFmtId="0" fontId="45" fillId="0" borderId="29" xfId="0" applyFont="1" applyBorder="1" applyAlignment="1">
      <alignment horizontal="center" vertical="center"/>
    </xf>
    <xf numFmtId="0" fontId="45" fillId="0" borderId="28" xfId="0" applyFont="1" applyBorder="1" applyAlignment="1">
      <alignment horizontal="center" vertical="center"/>
    </xf>
    <xf numFmtId="0" fontId="45" fillId="0" borderId="86" xfId="0" applyFont="1" applyBorder="1" applyAlignment="1">
      <alignment horizontal="center" vertical="center"/>
    </xf>
    <xf numFmtId="0" fontId="45" fillId="0" borderId="77" xfId="0" applyFont="1" applyBorder="1" applyAlignment="1">
      <alignment horizontal="center" vertical="center"/>
    </xf>
    <xf numFmtId="0" fontId="45" fillId="0" borderId="78" xfId="0" applyFont="1" applyBorder="1" applyAlignment="1">
      <alignment horizontal="center" vertical="center"/>
    </xf>
    <xf numFmtId="0" fontId="45" fillId="0" borderId="0" xfId="0" applyFont="1" applyAlignment="1">
      <alignment vertical="center"/>
    </xf>
    <xf numFmtId="165" fontId="2" fillId="0" borderId="11" xfId="0" applyNumberFormat="1" applyFont="1" applyBorder="1" applyAlignment="1">
      <alignment horizontal="center" vertical="center"/>
    </xf>
    <xf numFmtId="167" fontId="2" fillId="0" borderId="7" xfId="0" applyNumberFormat="1" applyFont="1" applyBorder="1" applyAlignment="1">
      <alignment horizontal="center" vertical="center"/>
    </xf>
    <xf numFmtId="165" fontId="2" fillId="0" borderId="37"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0" borderId="9" xfId="0" applyNumberFormat="1" applyFont="1" applyBorder="1" applyAlignment="1">
      <alignment horizontal="center" vertical="center"/>
    </xf>
    <xf numFmtId="165" fontId="2" fillId="0" borderId="12" xfId="0" applyNumberFormat="1" applyFont="1" applyBorder="1" applyAlignment="1">
      <alignment horizontal="center" vertical="center"/>
    </xf>
    <xf numFmtId="167" fontId="2" fillId="0" borderId="4" xfId="0" applyNumberFormat="1" applyFont="1" applyBorder="1" applyAlignment="1">
      <alignment horizontal="center" vertical="center"/>
    </xf>
    <xf numFmtId="165" fontId="2" fillId="0" borderId="10" xfId="0" applyNumberFormat="1" applyFont="1" applyBorder="1" applyAlignment="1">
      <alignment horizontal="center" vertical="center"/>
    </xf>
    <xf numFmtId="165" fontId="2" fillId="0" borderId="87" xfId="0" applyNumberFormat="1" applyFont="1" applyBorder="1" applyAlignment="1">
      <alignment horizontal="center" vertical="center"/>
    </xf>
    <xf numFmtId="0" fontId="0" fillId="0" borderId="11" xfId="0" applyBorder="1"/>
    <xf numFmtId="0" fontId="0" fillId="0" borderId="7" xfId="0" applyBorder="1"/>
    <xf numFmtId="0" fontId="0" fillId="0" borderId="37" xfId="0" applyBorder="1"/>
    <xf numFmtId="0" fontId="0" fillId="0" borderId="12" xfId="0" applyBorder="1"/>
    <xf numFmtId="0" fontId="0" fillId="0" borderId="10" xfId="0" applyBorder="1"/>
    <xf numFmtId="167" fontId="2" fillId="0" borderId="75" xfId="0" applyNumberFormat="1" applyFont="1" applyBorder="1" applyAlignment="1">
      <alignment horizontal="center" vertical="center"/>
    </xf>
    <xf numFmtId="167" fontId="2" fillId="0" borderId="72" xfId="0" applyNumberFormat="1" applyFont="1" applyBorder="1" applyAlignment="1">
      <alignment horizontal="center" vertical="center"/>
    </xf>
    <xf numFmtId="165" fontId="2" fillId="0" borderId="73" xfId="0" applyNumberFormat="1" applyFont="1" applyBorder="1" applyAlignment="1">
      <alignment horizontal="center" vertical="center"/>
    </xf>
    <xf numFmtId="167" fontId="2" fillId="0" borderId="48" xfId="0" applyNumberFormat="1" applyFont="1" applyBorder="1" applyAlignment="1">
      <alignment horizontal="center" vertical="center"/>
    </xf>
    <xf numFmtId="165" fontId="2" fillId="0" borderId="76" xfId="0" applyNumberFormat="1" applyFont="1" applyBorder="1" applyAlignment="1">
      <alignment horizontal="center" vertical="center"/>
    </xf>
    <xf numFmtId="0" fontId="64" fillId="0" borderId="0" xfId="0" applyFont="1" applyAlignment="1">
      <alignment horizontal="center" vertical="center"/>
    </xf>
    <xf numFmtId="0" fontId="0" fillId="0" borderId="48" xfId="0" applyBorder="1"/>
    <xf numFmtId="0" fontId="0" fillId="0" borderId="18" xfId="0" applyBorder="1"/>
    <xf numFmtId="0" fontId="0" fillId="0" borderId="19" xfId="0" applyBorder="1"/>
    <xf numFmtId="165" fontId="65" fillId="4" borderId="24" xfId="0" applyNumberFormat="1" applyFont="1" applyFill="1" applyBorder="1" applyAlignment="1">
      <alignment horizontal="center" vertical="center"/>
    </xf>
    <xf numFmtId="165" fontId="65" fillId="4" borderId="26" xfId="0" applyNumberFormat="1" applyFont="1" applyFill="1" applyBorder="1" applyAlignment="1">
      <alignment horizontal="center" vertical="center"/>
    </xf>
    <xf numFmtId="0" fontId="65" fillId="4" borderId="26" xfId="0" applyFont="1" applyFill="1" applyBorder="1" applyAlignment="1">
      <alignment horizontal="center" vertical="center"/>
    </xf>
    <xf numFmtId="165" fontId="66" fillId="4" borderId="26" xfId="1" applyNumberFormat="1" applyFont="1" applyFill="1" applyBorder="1" applyAlignment="1">
      <alignment horizontal="center" vertical="center"/>
    </xf>
    <xf numFmtId="165" fontId="65" fillId="4" borderId="25" xfId="0" applyNumberFormat="1" applyFont="1" applyFill="1" applyBorder="1" applyAlignment="1">
      <alignment horizontal="center" vertical="center"/>
    </xf>
    <xf numFmtId="165" fontId="2" fillId="0" borderId="80" xfId="0" applyNumberFormat="1" applyFont="1" applyBorder="1" applyAlignment="1">
      <alignment horizontal="center" vertical="center"/>
    </xf>
    <xf numFmtId="167" fontId="2" fillId="0" borderId="67" xfId="0" applyNumberFormat="1" applyFont="1" applyBorder="1" applyAlignment="1">
      <alignment horizontal="center" vertical="center"/>
    </xf>
    <xf numFmtId="0" fontId="0" fillId="0" borderId="73" xfId="0" applyBorder="1"/>
    <xf numFmtId="0" fontId="0" fillId="0" borderId="87" xfId="0" applyBorder="1"/>
    <xf numFmtId="0" fontId="0" fillId="0" borderId="80" xfId="0" applyBorder="1"/>
    <xf numFmtId="0" fontId="0" fillId="0" borderId="67" xfId="0" applyBorder="1"/>
    <xf numFmtId="0" fontId="0" fillId="0" borderId="76" xfId="0" applyBorder="1"/>
    <xf numFmtId="0" fontId="65" fillId="4" borderId="25" xfId="0" applyFont="1" applyFill="1" applyBorder="1" applyAlignment="1">
      <alignment horizontal="center" vertical="center"/>
    </xf>
    <xf numFmtId="165" fontId="65" fillId="5" borderId="24" xfId="0" applyNumberFormat="1" applyFont="1" applyFill="1" applyBorder="1" applyAlignment="1">
      <alignment horizontal="center" vertical="center"/>
    </xf>
    <xf numFmtId="165" fontId="65" fillId="5" borderId="26" xfId="0" applyNumberFormat="1" applyFont="1" applyFill="1" applyBorder="1" applyAlignment="1">
      <alignment horizontal="center" vertical="center"/>
    </xf>
    <xf numFmtId="165" fontId="65" fillId="5" borderId="25" xfId="0" applyNumberFormat="1" applyFont="1" applyFill="1" applyBorder="1" applyAlignment="1">
      <alignment horizontal="center" vertical="center"/>
    </xf>
    <xf numFmtId="0" fontId="45" fillId="0" borderId="55" xfId="0" applyFont="1" applyBorder="1" applyAlignment="1">
      <alignment horizontal="center" vertical="center"/>
    </xf>
    <xf numFmtId="0" fontId="45" fillId="4" borderId="28" xfId="0" applyFont="1" applyFill="1" applyBorder="1" applyAlignment="1">
      <alignment horizontal="center" vertical="center" wrapText="1"/>
    </xf>
    <xf numFmtId="165" fontId="35" fillId="0" borderId="37" xfId="1" applyNumberFormat="1" applyFont="1" applyBorder="1" applyAlignment="1">
      <alignment horizontal="center" vertical="center"/>
    </xf>
    <xf numFmtId="165" fontId="35" fillId="0" borderId="9" xfId="1" applyNumberFormat="1" applyFont="1" applyBorder="1" applyAlignment="1">
      <alignment horizontal="center" vertical="center"/>
    </xf>
    <xf numFmtId="165" fontId="35" fillId="0" borderId="10" xfId="1" applyNumberFormat="1" applyFont="1" applyBorder="1" applyAlignment="1">
      <alignment horizontal="center" vertical="center"/>
    </xf>
    <xf numFmtId="0" fontId="0" fillId="0" borderId="24" xfId="0" applyBorder="1"/>
    <xf numFmtId="0" fontId="0" fillId="0" borderId="88" xfId="0" applyBorder="1"/>
    <xf numFmtId="0" fontId="0" fillId="0" borderId="89" xfId="0" applyBorder="1"/>
    <xf numFmtId="165" fontId="2" fillId="0" borderId="24" xfId="0" applyNumberFormat="1" applyFont="1" applyBorder="1" applyAlignment="1">
      <alignment horizontal="center" vertical="center"/>
    </xf>
    <xf numFmtId="167" fontId="2" fillId="0" borderId="88" xfId="0" applyNumberFormat="1" applyFont="1" applyBorder="1" applyAlignment="1">
      <alignment horizontal="center" vertical="center"/>
    </xf>
    <xf numFmtId="165" fontId="2" fillId="0" borderId="89" xfId="0" applyNumberFormat="1" applyFont="1" applyBorder="1" applyAlignment="1">
      <alignment horizontal="center" vertical="center"/>
    </xf>
    <xf numFmtId="0" fontId="42" fillId="2" borderId="55" xfId="0" applyFont="1" applyFill="1" applyBorder="1" applyAlignment="1">
      <alignment horizontal="center" vertical="center"/>
    </xf>
    <xf numFmtId="0" fontId="35" fillId="6" borderId="6" xfId="0" applyFont="1" applyFill="1" applyBorder="1" applyAlignment="1">
      <alignment horizontal="center" vertical="center"/>
    </xf>
    <xf numFmtId="2" fontId="38" fillId="0" borderId="56" xfId="0" applyNumberFormat="1" applyFont="1" applyBorder="1" applyAlignment="1">
      <alignment horizontal="center" vertical="center"/>
    </xf>
    <xf numFmtId="0" fontId="4" fillId="0" borderId="0" xfId="0" applyFont="1"/>
    <xf numFmtId="0" fontId="45" fillId="0" borderId="37" xfId="0" applyFont="1" applyBorder="1" applyAlignment="1">
      <alignment horizontal="center" vertical="center"/>
    </xf>
    <xf numFmtId="0" fontId="45" fillId="0" borderId="1" xfId="0" applyFont="1" applyBorder="1" applyAlignment="1">
      <alignment horizontal="center" vertical="center"/>
    </xf>
    <xf numFmtId="0" fontId="0" fillId="0" borderId="3" xfId="0" applyBorder="1"/>
    <xf numFmtId="0" fontId="0" fillId="0" borderId="54" xfId="0" applyBorder="1"/>
    <xf numFmtId="0" fontId="0" fillId="0" borderId="36" xfId="0" applyBorder="1"/>
    <xf numFmtId="0" fontId="59" fillId="0" borderId="27" xfId="1" applyFont="1" applyBorder="1" applyAlignment="1">
      <alignment horizontal="center"/>
    </xf>
    <xf numFmtId="0" fontId="43" fillId="0" borderId="6" xfId="0" applyFont="1" applyBorder="1" applyAlignment="1">
      <alignment horizontal="center" vertical="center"/>
    </xf>
    <xf numFmtId="0" fontId="38" fillId="0" borderId="0" xfId="0" applyFont="1" applyAlignment="1">
      <alignment horizontal="left" vertical="center"/>
    </xf>
    <xf numFmtId="2" fontId="35" fillId="0" borderId="6" xfId="0" applyNumberFormat="1" applyFont="1" applyBorder="1" applyAlignment="1">
      <alignment horizontal="center" vertical="center"/>
    </xf>
    <xf numFmtId="0" fontId="73" fillId="0" borderId="0" xfId="0" applyFont="1"/>
    <xf numFmtId="0" fontId="35" fillId="0" borderId="0" xfId="0" applyFont="1" applyAlignment="1">
      <alignment horizontal="right" vertical="center"/>
    </xf>
    <xf numFmtId="2" fontId="35" fillId="0" borderId="56" xfId="0" applyNumberFormat="1" applyFont="1" applyBorder="1" applyAlignment="1">
      <alignment horizontal="center" vertical="center"/>
    </xf>
    <xf numFmtId="0" fontId="44" fillId="0" borderId="6" xfId="0" applyFont="1" applyBorder="1" applyAlignment="1">
      <alignment horizontal="center" vertical="center"/>
    </xf>
    <xf numFmtId="165" fontId="35" fillId="0" borderId="6" xfId="0" applyNumberFormat="1" applyFont="1" applyBorder="1" applyAlignment="1">
      <alignment horizontal="center"/>
    </xf>
    <xf numFmtId="0" fontId="49" fillId="0" borderId="0" xfId="0" applyFont="1" applyAlignment="1">
      <alignment horizontal="right" vertical="center"/>
    </xf>
    <xf numFmtId="0" fontId="38" fillId="0" borderId="0" xfId="0" applyFont="1"/>
    <xf numFmtId="0" fontId="44" fillId="0" borderId="6" xfId="1" applyFont="1" applyBorder="1" applyAlignment="1">
      <alignment horizontal="center" vertical="center"/>
    </xf>
    <xf numFmtId="0" fontId="38" fillId="0" borderId="6" xfId="0" applyFont="1" applyBorder="1" applyAlignment="1">
      <alignment horizontal="center" vertical="center"/>
    </xf>
    <xf numFmtId="0" fontId="51" fillId="0" borderId="6" xfId="1" applyFont="1" applyBorder="1" applyAlignment="1">
      <alignment horizontal="center" vertical="center"/>
    </xf>
    <xf numFmtId="0" fontId="38" fillId="0" borderId="6" xfId="0" applyFont="1" applyBorder="1" applyAlignment="1">
      <alignment vertical="center"/>
    </xf>
    <xf numFmtId="0" fontId="73" fillId="0" borderId="0" xfId="0" applyFont="1" applyAlignment="1">
      <alignment horizontal="right" vertical="center"/>
    </xf>
    <xf numFmtId="2" fontId="35" fillId="0" borderId="0" xfId="0" applyNumberFormat="1" applyFont="1" applyAlignment="1">
      <alignment horizontal="center" vertical="center"/>
    </xf>
    <xf numFmtId="0" fontId="42" fillId="0" borderId="0" xfId="0" applyFont="1" applyAlignment="1">
      <alignment horizontal="right" vertical="center"/>
    </xf>
    <xf numFmtId="0" fontId="49" fillId="0" borderId="0" xfId="0" applyFont="1" applyAlignment="1">
      <alignment vertical="center"/>
    </xf>
    <xf numFmtId="0" fontId="38" fillId="0" borderId="0" xfId="0" applyFont="1" applyAlignment="1">
      <alignment horizontal="left" vertical="center" wrapText="1"/>
    </xf>
    <xf numFmtId="0" fontId="38" fillId="0" borderId="48" xfId="0" applyFont="1" applyBorder="1" applyAlignment="1">
      <alignment horizontal="left" vertical="center" wrapText="1"/>
    </xf>
    <xf numFmtId="0" fontId="38" fillId="0" borderId="42" xfId="0" applyFont="1" applyBorder="1" applyAlignment="1">
      <alignment vertical="center"/>
    </xf>
    <xf numFmtId="0" fontId="45" fillId="0" borderId="0" xfId="0" applyFont="1" applyAlignment="1">
      <alignment horizontal="center" vertical="center"/>
    </xf>
    <xf numFmtId="0" fontId="45" fillId="0" borderId="1" xfId="0" applyFont="1" applyBorder="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44" fillId="0" borderId="0" xfId="0" applyFont="1" applyAlignment="1">
      <alignment vertical="center"/>
    </xf>
    <xf numFmtId="0" fontId="45" fillId="0" borderId="28"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29" xfId="0" applyFont="1" applyBorder="1" applyAlignment="1">
      <alignment horizontal="center" vertical="center" wrapText="1"/>
    </xf>
    <xf numFmtId="164" fontId="2" fillId="0" borderId="6" xfId="0" applyNumberFormat="1" applyFont="1" applyBorder="1" applyAlignment="1">
      <alignment horizontal="center" vertical="center"/>
    </xf>
    <xf numFmtId="164" fontId="2" fillId="0" borderId="23" xfId="0" applyNumberFormat="1" applyFont="1" applyBorder="1" applyAlignment="1">
      <alignment horizontal="center" vertical="center"/>
    </xf>
    <xf numFmtId="164" fontId="2" fillId="0" borderId="19" xfId="0" applyNumberFormat="1" applyFont="1" applyBorder="1" applyAlignment="1">
      <alignment horizontal="center" vertical="center"/>
    </xf>
    <xf numFmtId="164" fontId="2" fillId="0" borderId="70" xfId="0" applyNumberFormat="1" applyFont="1" applyBorder="1" applyAlignment="1">
      <alignment horizontal="center" vertical="center"/>
    </xf>
    <xf numFmtId="164" fontId="2" fillId="0" borderId="71"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72" xfId="0" applyNumberFormat="1" applyFont="1" applyBorder="1" applyAlignment="1">
      <alignment horizontal="center" vertical="center"/>
    </xf>
    <xf numFmtId="164" fontId="2" fillId="0" borderId="87" xfId="0" applyNumberFormat="1" applyFont="1" applyBorder="1" applyAlignment="1">
      <alignment horizontal="center" vertical="center"/>
    </xf>
    <xf numFmtId="164" fontId="2" fillId="0" borderId="50" xfId="0" applyNumberFormat="1" applyFont="1" applyBorder="1" applyAlignment="1">
      <alignment horizontal="center" vertical="center"/>
    </xf>
    <xf numFmtId="164" fontId="2" fillId="0" borderId="91" xfId="0" applyNumberFormat="1" applyFont="1" applyBorder="1" applyAlignment="1">
      <alignment horizontal="center" vertical="center"/>
    </xf>
    <xf numFmtId="164" fontId="2" fillId="0" borderId="92" xfId="0" applyNumberFormat="1" applyFont="1" applyBorder="1" applyAlignment="1">
      <alignment horizontal="center" vertical="center"/>
    </xf>
    <xf numFmtId="0" fontId="69" fillId="0" borderId="0" xfId="0" applyFont="1"/>
    <xf numFmtId="0" fontId="68" fillId="0" borderId="8" xfId="0" applyFont="1" applyBorder="1"/>
    <xf numFmtId="0" fontId="59" fillId="0" borderId="74" xfId="1" applyFont="1" applyBorder="1" applyAlignment="1">
      <alignment horizontal="center"/>
    </xf>
    <xf numFmtId="165" fontId="65" fillId="4" borderId="73" xfId="0" applyNumberFormat="1" applyFont="1" applyFill="1" applyBorder="1" applyAlignment="1">
      <alignment horizontal="center" vertical="center"/>
    </xf>
    <xf numFmtId="164" fontId="2" fillId="0" borderId="33" xfId="0" applyNumberFormat="1" applyFont="1" applyBorder="1" applyAlignment="1">
      <alignment horizontal="center" vertical="center"/>
    </xf>
    <xf numFmtId="164" fontId="2" fillId="0" borderId="32" xfId="0" applyNumberFormat="1" applyFont="1" applyBorder="1" applyAlignment="1">
      <alignment horizontal="center" vertical="center"/>
    </xf>
    <xf numFmtId="0" fontId="45" fillId="0" borderId="5" xfId="0" applyFont="1" applyBorder="1" applyAlignment="1">
      <alignment horizontal="center" vertical="center" wrapText="1"/>
    </xf>
    <xf numFmtId="165" fontId="35" fillId="0" borderId="0" xfId="1" applyNumberFormat="1" applyFont="1" applyAlignment="1">
      <alignment horizontal="center" vertical="center"/>
    </xf>
    <xf numFmtId="0" fontId="44" fillId="0" borderId="0" xfId="0" applyFont="1" applyAlignment="1">
      <alignment horizontal="center" vertical="center"/>
    </xf>
    <xf numFmtId="164" fontId="2" fillId="0" borderId="0" xfId="0" applyNumberFormat="1" applyFont="1" applyAlignment="1">
      <alignment horizontal="center" vertical="center"/>
    </xf>
    <xf numFmtId="164" fontId="2" fillId="0" borderId="10" xfId="0" applyNumberFormat="1" applyFont="1" applyBorder="1" applyAlignment="1">
      <alignment horizontal="center" vertical="center"/>
    </xf>
    <xf numFmtId="0" fontId="45" fillId="0" borderId="55" xfId="0" applyFont="1" applyBorder="1" applyAlignment="1">
      <alignment horizontal="center" vertical="center" wrapText="1"/>
    </xf>
    <xf numFmtId="164" fontId="2" fillId="0" borderId="13"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56" xfId="0" applyNumberFormat="1" applyFont="1" applyBorder="1" applyAlignment="1">
      <alignment horizontal="center" vertical="center"/>
    </xf>
    <xf numFmtId="164" fontId="2" fillId="0" borderId="82" xfId="0" applyNumberFormat="1" applyFont="1" applyBorder="1" applyAlignment="1">
      <alignment horizontal="center" vertical="center"/>
    </xf>
    <xf numFmtId="165" fontId="65" fillId="4" borderId="15" xfId="0" applyNumberFormat="1" applyFont="1" applyFill="1" applyBorder="1" applyAlignment="1">
      <alignment horizontal="center" vertical="center"/>
    </xf>
    <xf numFmtId="165" fontId="65" fillId="4" borderId="27" xfId="0" applyNumberFormat="1" applyFont="1" applyFill="1" applyBorder="1" applyAlignment="1">
      <alignment horizontal="center" vertical="center"/>
    </xf>
    <xf numFmtId="0" fontId="65" fillId="4" borderId="81" xfId="0" applyFont="1" applyFill="1" applyBorder="1" applyAlignment="1">
      <alignment horizontal="center" vertical="center"/>
    </xf>
    <xf numFmtId="165" fontId="65" fillId="5" borderId="15" xfId="0" applyNumberFormat="1" applyFont="1" applyFill="1" applyBorder="1" applyAlignment="1">
      <alignment horizontal="center" vertical="center"/>
    </xf>
    <xf numFmtId="165" fontId="65" fillId="5" borderId="27" xfId="0" applyNumberFormat="1" applyFont="1" applyFill="1" applyBorder="1" applyAlignment="1">
      <alignment horizontal="center" vertical="center"/>
    </xf>
    <xf numFmtId="165" fontId="65" fillId="5" borderId="16" xfId="0" applyNumberFormat="1" applyFont="1" applyFill="1" applyBorder="1" applyAlignment="1">
      <alignment horizontal="center" vertical="center"/>
    </xf>
    <xf numFmtId="0" fontId="59" fillId="0" borderId="12" xfId="0" applyFont="1" applyBorder="1" applyAlignment="1">
      <alignment vertical="center"/>
    </xf>
    <xf numFmtId="0" fontId="59" fillId="0" borderId="4" xfId="0" applyFont="1" applyBorder="1" applyAlignment="1">
      <alignment vertical="center"/>
    </xf>
    <xf numFmtId="0" fontId="59" fillId="0" borderId="10" xfId="0" applyFont="1" applyBorder="1" applyAlignment="1">
      <alignment vertical="center"/>
    </xf>
    <xf numFmtId="165" fontId="82" fillId="0" borderId="8" xfId="0" applyNumberFormat="1" applyFont="1" applyBorder="1" applyAlignment="1">
      <alignment vertical="center"/>
    </xf>
    <xf numFmtId="165" fontId="82" fillId="0" borderId="12" xfId="0" applyNumberFormat="1" applyFont="1" applyBorder="1" applyAlignment="1">
      <alignment vertical="center"/>
    </xf>
    <xf numFmtId="164" fontId="2" fillId="0" borderId="4" xfId="0" applyNumberFormat="1" applyFont="1" applyBorder="1" applyAlignment="1">
      <alignment horizontal="center" vertical="center"/>
    </xf>
    <xf numFmtId="164" fontId="35" fillId="0" borderId="18" xfId="0" applyNumberFormat="1" applyFont="1" applyBorder="1" applyAlignment="1">
      <alignment horizontal="center" vertical="center"/>
    </xf>
    <xf numFmtId="164" fontId="35" fillId="0" borderId="19" xfId="0" applyNumberFormat="1" applyFont="1" applyBorder="1" applyAlignment="1">
      <alignment horizontal="center"/>
    </xf>
    <xf numFmtId="0" fontId="35" fillId="0" borderId="55" xfId="0" applyFont="1" applyBorder="1" applyAlignment="1">
      <alignment horizontal="center"/>
    </xf>
    <xf numFmtId="0" fontId="35" fillId="0" borderId="1" xfId="0" applyFont="1" applyBorder="1" applyAlignment="1">
      <alignment horizontal="center"/>
    </xf>
    <xf numFmtId="0" fontId="51" fillId="0" borderId="0" xfId="0" applyFont="1" applyAlignment="1">
      <alignment horizontal="right" vertical="center"/>
    </xf>
    <xf numFmtId="0" fontId="84" fillId="0" borderId="0" xfId="0" applyFont="1" applyAlignment="1">
      <alignment horizontal="right" vertical="center"/>
    </xf>
    <xf numFmtId="2" fontId="38" fillId="0" borderId="0" xfId="0" applyNumberFormat="1" applyFont="1" applyAlignment="1">
      <alignment horizontal="right" vertical="center"/>
    </xf>
    <xf numFmtId="2" fontId="43" fillId="0" borderId="0" xfId="0" applyNumberFormat="1" applyFont="1" applyAlignment="1">
      <alignment vertical="center"/>
    </xf>
    <xf numFmtId="2" fontId="35" fillId="0" borderId="0" xfId="0" applyNumberFormat="1" applyFont="1" applyAlignment="1">
      <alignment horizontal="left" vertical="center" wrapText="1"/>
    </xf>
    <xf numFmtId="2" fontId="35" fillId="0" borderId="67" xfId="0" applyNumberFormat="1" applyFont="1" applyBorder="1" applyAlignment="1">
      <alignment horizontal="left" vertical="center" wrapText="1"/>
    </xf>
    <xf numFmtId="2" fontId="38" fillId="0" borderId="0" xfId="0" applyNumberFormat="1" applyFont="1" applyAlignment="1">
      <alignment horizontal="left"/>
    </xf>
    <xf numFmtId="2" fontId="38" fillId="0" borderId="0" xfId="0" applyNumberFormat="1" applyFont="1"/>
    <xf numFmtId="0" fontId="67" fillId="0" borderId="0" xfId="0" applyFont="1" applyAlignment="1">
      <alignment horizontal="left" vertical="center"/>
    </xf>
    <xf numFmtId="2" fontId="38" fillId="0" borderId="48" xfId="0" applyNumberFormat="1" applyFont="1" applyBorder="1" applyAlignment="1">
      <alignment horizontal="right" vertical="center"/>
    </xf>
    <xf numFmtId="2" fontId="38" fillId="0" borderId="48" xfId="0" applyNumberFormat="1" applyFont="1" applyBorder="1" applyAlignment="1">
      <alignment horizontal="center" vertical="center"/>
    </xf>
    <xf numFmtId="3" fontId="38" fillId="0" borderId="6" xfId="0" applyNumberFormat="1" applyFont="1" applyBorder="1" applyAlignment="1">
      <alignment horizontal="center" vertical="center"/>
    </xf>
    <xf numFmtId="2" fontId="43" fillId="0" borderId="0" xfId="0" applyNumberFormat="1" applyFont="1" applyAlignment="1">
      <alignment horizontal="center" vertical="center" wrapText="1"/>
    </xf>
    <xf numFmtId="2" fontId="38" fillId="0" borderId="0" xfId="0" applyNumberFormat="1" applyFont="1" applyAlignment="1">
      <alignment horizontal="left" vertical="center"/>
    </xf>
    <xf numFmtId="2" fontId="38" fillId="0" borderId="6" xfId="0" applyNumberFormat="1" applyFont="1" applyBorder="1" applyAlignment="1">
      <alignment horizontal="center"/>
    </xf>
    <xf numFmtId="0" fontId="43" fillId="0" borderId="0" xfId="0" applyFont="1" applyAlignment="1">
      <alignment horizontal="left" vertical="center"/>
    </xf>
    <xf numFmtId="0" fontId="42" fillId="0" borderId="0" xfId="0" applyFont="1" applyAlignment="1">
      <alignment vertical="center"/>
    </xf>
    <xf numFmtId="0" fontId="7" fillId="0" borderId="63" xfId="0" applyFont="1" applyBorder="1" applyAlignment="1">
      <alignment horizontal="center" vertical="center"/>
    </xf>
    <xf numFmtId="0" fontId="11" fillId="0" borderId="64" xfId="0" applyFont="1" applyBorder="1" applyAlignment="1">
      <alignment horizontal="center" vertical="center"/>
    </xf>
    <xf numFmtId="0" fontId="88" fillId="0" borderId="64" xfId="0" applyFont="1" applyBorder="1" applyAlignment="1">
      <alignment horizontal="center" vertical="center"/>
    </xf>
    <xf numFmtId="0" fontId="89" fillId="0" borderId="64" xfId="0" applyFont="1" applyBorder="1" applyAlignment="1">
      <alignment horizontal="center" vertical="center"/>
    </xf>
    <xf numFmtId="0" fontId="89"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99" xfId="0" applyFont="1" applyBorder="1" applyAlignment="1">
      <alignment horizontal="center" vertical="center"/>
    </xf>
    <xf numFmtId="171" fontId="90" fillId="0" borderId="99" xfId="0" applyNumberFormat="1" applyFont="1" applyBorder="1" applyAlignment="1">
      <alignment horizontal="center" vertical="center"/>
    </xf>
    <xf numFmtId="172" fontId="9" fillId="0" borderId="100" xfId="0" applyNumberFormat="1" applyFont="1" applyBorder="1" applyAlignment="1">
      <alignment horizontal="center" vertical="center"/>
    </xf>
    <xf numFmtId="173" fontId="90" fillId="0" borderId="99" xfId="0" applyNumberFormat="1" applyFont="1" applyBorder="1" applyAlignment="1">
      <alignment horizontal="center" vertical="center"/>
    </xf>
    <xf numFmtId="174" fontId="9" fillId="0" borderId="101" xfId="0" applyNumberFormat="1" applyFont="1" applyBorder="1" applyAlignment="1">
      <alignment horizontal="center" vertical="center"/>
    </xf>
    <xf numFmtId="0" fontId="11" fillId="0" borderId="33" xfId="0" applyFont="1" applyBorder="1" applyAlignment="1">
      <alignment horizontal="center" vertical="center"/>
    </xf>
    <xf numFmtId="171" fontId="90" fillId="0" borderId="33" xfId="0" applyNumberFormat="1" applyFont="1" applyBorder="1" applyAlignment="1">
      <alignment horizontal="center" vertical="center"/>
    </xf>
    <xf numFmtId="172" fontId="9" fillId="0" borderId="77" xfId="0" applyNumberFormat="1" applyFont="1" applyBorder="1" applyAlignment="1">
      <alignment horizontal="center" vertical="center"/>
    </xf>
    <xf numFmtId="173" fontId="90" fillId="0" borderId="33" xfId="0" applyNumberFormat="1" applyFont="1" applyBorder="1" applyAlignment="1">
      <alignment horizontal="center" vertical="center"/>
    </xf>
    <xf numFmtId="174" fontId="9" fillId="0" borderId="103" xfId="0" applyNumberFormat="1" applyFont="1" applyBorder="1" applyAlignment="1">
      <alignment horizontal="center" vertical="center"/>
    </xf>
    <xf numFmtId="0" fontId="11" fillId="0" borderId="6" xfId="0" applyFont="1" applyBorder="1" applyAlignment="1">
      <alignment horizontal="center" vertical="center"/>
    </xf>
    <xf numFmtId="171" fontId="90" fillId="0" borderId="6" xfId="0" applyNumberFormat="1" applyFont="1" applyBorder="1" applyAlignment="1">
      <alignment horizontal="center" vertical="center"/>
    </xf>
    <xf numFmtId="172" fontId="9" fillId="0" borderId="6" xfId="0" applyNumberFormat="1" applyFont="1" applyBorder="1" applyAlignment="1">
      <alignment horizontal="center" vertical="center"/>
    </xf>
    <xf numFmtId="173" fontId="90" fillId="0" borderId="34" xfId="0" applyNumberFormat="1" applyFont="1" applyBorder="1" applyAlignment="1">
      <alignment horizontal="center" vertical="center"/>
    </xf>
    <xf numFmtId="0" fontId="9" fillId="0" borderId="0" xfId="0" applyFont="1" applyAlignment="1">
      <alignment horizontal="right" vertical="center"/>
    </xf>
    <xf numFmtId="0" fontId="43" fillId="0" borderId="0" xfId="0" applyFont="1" applyAlignment="1">
      <alignment horizontal="right" vertical="center"/>
    </xf>
    <xf numFmtId="2" fontId="43" fillId="0" borderId="0" xfId="0" applyNumberFormat="1" applyFont="1" applyAlignment="1">
      <alignment horizontal="center" vertical="center"/>
    </xf>
    <xf numFmtId="0" fontId="11" fillId="0" borderId="22" xfId="0" applyFont="1" applyBorder="1" applyAlignment="1">
      <alignment horizontal="center" vertical="center"/>
    </xf>
    <xf numFmtId="0" fontId="11" fillId="0" borderId="6" xfId="0" applyFont="1" applyBorder="1" applyAlignment="1">
      <alignment horizontal="center" vertical="center" wrapText="1"/>
    </xf>
    <xf numFmtId="0" fontId="9" fillId="7" borderId="22" xfId="0" applyFont="1" applyFill="1" applyBorder="1" applyAlignment="1">
      <alignment horizontal="center" vertical="center"/>
    </xf>
    <xf numFmtId="1" fontId="9" fillId="7" borderId="6"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23" xfId="0" applyFont="1" applyFill="1" applyBorder="1" applyAlignment="1">
      <alignment horizontal="center" vertical="center"/>
    </xf>
    <xf numFmtId="0" fontId="9" fillId="7" borderId="6" xfId="0" applyFont="1" applyFill="1" applyBorder="1" applyAlignment="1">
      <alignment horizontal="center" vertical="center"/>
    </xf>
    <xf numFmtId="175" fontId="9" fillId="7" borderId="23" xfId="0" applyNumberFormat="1" applyFont="1" applyFill="1" applyBorder="1" applyAlignment="1">
      <alignment horizontal="center"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xf numFmtId="165" fontId="35" fillId="0" borderId="0" xfId="0" applyNumberFormat="1" applyFont="1" applyAlignment="1">
      <alignment horizontal="center"/>
    </xf>
    <xf numFmtId="0" fontId="23" fillId="0" borderId="0" xfId="0" applyFont="1" applyAlignment="1">
      <alignment horizontal="left" vertical="center"/>
    </xf>
    <xf numFmtId="0" fontId="42" fillId="0" borderId="0" xfId="0" applyFont="1" applyAlignment="1">
      <alignment horizontal="center" vertical="center"/>
    </xf>
    <xf numFmtId="2" fontId="38" fillId="0" borderId="108" xfId="0" applyNumberFormat="1" applyFont="1" applyBorder="1" applyAlignment="1">
      <alignment horizontal="center" vertical="center"/>
    </xf>
    <xf numFmtId="2" fontId="43" fillId="0" borderId="62" xfId="0" applyNumberFormat="1" applyFont="1" applyBorder="1" applyAlignment="1">
      <alignment horizontal="center" vertical="center"/>
    </xf>
    <xf numFmtId="0" fontId="43" fillId="0" borderId="62" xfId="0" applyFont="1" applyBorder="1" applyAlignment="1">
      <alignment horizontal="center" vertical="center"/>
    </xf>
    <xf numFmtId="0" fontId="43" fillId="0" borderId="109" xfId="0" applyFont="1" applyBorder="1" applyAlignment="1">
      <alignment horizontal="center" vertical="center"/>
    </xf>
    <xf numFmtId="2" fontId="59" fillId="0" borderId="52" xfId="0" applyNumberFormat="1" applyFont="1" applyBorder="1" applyAlignment="1">
      <alignment horizontal="center" vertical="center"/>
    </xf>
    <xf numFmtId="3" fontId="38" fillId="0" borderId="47" xfId="0" applyNumberFormat="1" applyFont="1" applyBorder="1" applyAlignment="1">
      <alignment horizontal="center" vertical="center"/>
    </xf>
    <xf numFmtId="2" fontId="59" fillId="0" borderId="52" xfId="0" applyNumberFormat="1" applyFont="1" applyBorder="1" applyAlignment="1">
      <alignment horizontal="right" vertical="center"/>
    </xf>
    <xf numFmtId="2" fontId="38" fillId="0" borderId="47" xfId="0" applyNumberFormat="1" applyFont="1" applyBorder="1" applyAlignment="1">
      <alignment horizontal="center" vertical="center"/>
    </xf>
    <xf numFmtId="2" fontId="59" fillId="0" borderId="52" xfId="0" applyNumberFormat="1" applyFont="1" applyBorder="1" applyAlignment="1">
      <alignment horizontal="center" vertical="center" wrapText="1"/>
    </xf>
    <xf numFmtId="2" fontId="44" fillId="0" borderId="52" xfId="0" applyNumberFormat="1" applyFont="1" applyBorder="1" applyAlignment="1">
      <alignment horizontal="right" vertical="center" wrapText="1"/>
    </xf>
    <xf numFmtId="2" fontId="38" fillId="0" borderId="47" xfId="0" applyNumberFormat="1" applyFont="1" applyBorder="1" applyAlignment="1">
      <alignment horizontal="center"/>
    </xf>
    <xf numFmtId="2" fontId="43" fillId="0" borderId="52" xfId="0" applyNumberFormat="1" applyFont="1" applyBorder="1" applyAlignment="1">
      <alignment horizontal="right" vertical="center" wrapText="1"/>
    </xf>
    <xf numFmtId="2" fontId="38" fillId="7" borderId="64" xfId="0" applyNumberFormat="1" applyFont="1" applyFill="1" applyBorder="1" applyAlignment="1">
      <alignment horizontal="center" vertical="center"/>
    </xf>
    <xf numFmtId="2" fontId="38" fillId="7" borderId="97" xfId="0" applyNumberFormat="1" applyFont="1" applyFill="1" applyBorder="1" applyAlignment="1">
      <alignment horizontal="center" vertical="center"/>
    </xf>
    <xf numFmtId="2" fontId="43" fillId="0" borderId="111" xfId="0" applyNumberFormat="1" applyFont="1" applyBorder="1" applyAlignment="1">
      <alignment horizontal="center" vertical="center"/>
    </xf>
    <xf numFmtId="0" fontId="43" fillId="0" borderId="111" xfId="0" applyFont="1" applyBorder="1" applyAlignment="1">
      <alignment horizontal="center" vertical="center"/>
    </xf>
    <xf numFmtId="0" fontId="43" fillId="0" borderId="112" xfId="0" applyFont="1" applyBorder="1" applyAlignment="1">
      <alignment horizontal="center" vertical="center"/>
    </xf>
    <xf numFmtId="2" fontId="43" fillId="0" borderId="113" xfId="0" applyNumberFormat="1" applyFont="1" applyBorder="1" applyAlignment="1">
      <alignment horizontal="center" vertical="center"/>
    </xf>
    <xf numFmtId="0" fontId="38" fillId="0" borderId="114" xfId="0" applyFont="1" applyBorder="1" applyAlignment="1">
      <alignment vertical="center"/>
    </xf>
    <xf numFmtId="0" fontId="43" fillId="0" borderId="115" xfId="0" applyFont="1" applyBorder="1" applyAlignment="1">
      <alignment horizontal="center" vertical="center"/>
    </xf>
    <xf numFmtId="0" fontId="43" fillId="0" borderId="116" xfId="0" applyFont="1" applyBorder="1" applyAlignment="1">
      <alignment horizontal="center" vertical="center"/>
    </xf>
    <xf numFmtId="0" fontId="43" fillId="7" borderId="117" xfId="0" applyFont="1" applyFill="1" applyBorder="1" applyAlignment="1">
      <alignment horizontal="center" vertical="center"/>
    </xf>
    <xf numFmtId="2" fontId="43" fillId="0" borderId="107" xfId="0" applyNumberFormat="1" applyFont="1" applyBorder="1" applyAlignment="1">
      <alignment horizontal="center" vertical="center"/>
    </xf>
    <xf numFmtId="2" fontId="38" fillId="0" borderId="119" xfId="0" applyNumberFormat="1" applyFont="1" applyBorder="1" applyAlignment="1">
      <alignment horizontal="center" vertical="center"/>
    </xf>
    <xf numFmtId="2" fontId="38" fillId="0" borderId="116" xfId="0" applyNumberFormat="1" applyFont="1" applyBorder="1" applyAlignment="1">
      <alignment horizontal="center" vertical="center"/>
    </xf>
    <xf numFmtId="2" fontId="38" fillId="7" borderId="117" xfId="0" applyNumberFormat="1" applyFont="1" applyFill="1" applyBorder="1" applyAlignment="1">
      <alignment horizontal="center" vertical="center"/>
    </xf>
    <xf numFmtId="0" fontId="38" fillId="0" borderId="45" xfId="1" applyFont="1" applyBorder="1" applyAlignment="1">
      <alignment horizontal="center" vertical="center"/>
    </xf>
    <xf numFmtId="0" fontId="41" fillId="0" borderId="45" xfId="1" applyFont="1" applyBorder="1" applyAlignment="1">
      <alignment vertical="center" wrapText="1"/>
    </xf>
    <xf numFmtId="14" fontId="38" fillId="0" borderId="45" xfId="1" applyNumberFormat="1" applyFont="1" applyBorder="1" applyAlignment="1">
      <alignment horizontal="center" vertical="center"/>
    </xf>
    <xf numFmtId="0" fontId="8" fillId="2" borderId="6" xfId="1" applyFont="1" applyFill="1" applyBorder="1"/>
    <xf numFmtId="0" fontId="59" fillId="0" borderId="0" xfId="0" applyFont="1" applyAlignment="1">
      <alignment horizontal="center" vertical="center"/>
    </xf>
    <xf numFmtId="0" fontId="59" fillId="0" borderId="42" xfId="0" applyFont="1" applyBorder="1" applyAlignment="1">
      <alignment horizontal="center" vertical="center"/>
    </xf>
    <xf numFmtId="164" fontId="41" fillId="2" borderId="6" xfId="0" applyNumberFormat="1" applyFont="1" applyFill="1" applyBorder="1" applyAlignment="1">
      <alignment horizontal="center" vertical="center"/>
    </xf>
    <xf numFmtId="165" fontId="41" fillId="2" borderId="6" xfId="0" applyNumberFormat="1" applyFont="1" applyFill="1" applyBorder="1" applyAlignment="1">
      <alignment horizontal="center" vertical="center"/>
    </xf>
    <xf numFmtId="0" fontId="16" fillId="0" borderId="39" xfId="1" applyBorder="1"/>
    <xf numFmtId="2" fontId="38" fillId="0" borderId="42" xfId="0" applyNumberFormat="1" applyFont="1" applyBorder="1" applyAlignment="1">
      <alignment horizontal="center" vertical="center"/>
    </xf>
    <xf numFmtId="0" fontId="44" fillId="0" borderId="0" xfId="0" applyFont="1" applyAlignment="1">
      <alignment vertical="center" wrapText="1"/>
    </xf>
    <xf numFmtId="0" fontId="43" fillId="0" borderId="6" xfId="0" applyFont="1" applyBorder="1" applyAlignment="1">
      <alignment horizontal="center" vertical="center" wrapText="1"/>
    </xf>
    <xf numFmtId="2" fontId="44" fillId="7" borderId="63" xfId="0" applyNumberFormat="1" applyFont="1" applyFill="1" applyBorder="1" applyAlignment="1">
      <alignment horizontal="right" vertical="center" wrapText="1"/>
    </xf>
    <xf numFmtId="2" fontId="38" fillId="0" borderId="61" xfId="0" applyNumberFormat="1" applyFont="1" applyBorder="1" applyAlignment="1">
      <alignment horizontal="center" vertical="center"/>
    </xf>
    <xf numFmtId="2" fontId="38" fillId="0" borderId="62" xfId="0" applyNumberFormat="1" applyFont="1" applyBorder="1" applyAlignment="1">
      <alignment horizontal="center" vertical="center"/>
    </xf>
    <xf numFmtId="2" fontId="38" fillId="0" borderId="109" xfId="0" applyNumberFormat="1" applyFont="1" applyBorder="1" applyAlignment="1">
      <alignment horizontal="center" vertical="center"/>
    </xf>
    <xf numFmtId="2" fontId="38" fillId="0" borderId="52" xfId="0" applyNumberFormat="1" applyFont="1" applyBorder="1" applyAlignment="1">
      <alignment horizontal="center" vertical="center"/>
    </xf>
    <xf numFmtId="2" fontId="38" fillId="0" borderId="33" xfId="0" applyNumberFormat="1" applyFont="1" applyBorder="1" applyAlignment="1">
      <alignment vertical="center"/>
    </xf>
    <xf numFmtId="0" fontId="0" fillId="0" borderId="0" xfId="1" applyFont="1"/>
    <xf numFmtId="0" fontId="40" fillId="0" borderId="45" xfId="1" applyFont="1" applyBorder="1" applyAlignment="1">
      <alignment horizontal="left" vertical="center"/>
    </xf>
    <xf numFmtId="0" fontId="40" fillId="0" borderId="42" xfId="1" applyFont="1" applyBorder="1" applyAlignment="1">
      <alignment horizontal="left" vertical="center"/>
    </xf>
    <xf numFmtId="0" fontId="40" fillId="0" borderId="0" xfId="1" applyFont="1" applyAlignment="1">
      <alignment horizontal="left" vertical="center"/>
    </xf>
    <xf numFmtId="2" fontId="38" fillId="0" borderId="90" xfId="0" applyNumberFormat="1" applyFont="1" applyBorder="1" applyAlignment="1">
      <alignment horizontal="center" vertical="center"/>
    </xf>
    <xf numFmtId="0" fontId="12" fillId="0" borderId="40" xfId="1" applyFont="1" applyBorder="1" applyAlignment="1">
      <alignment horizontal="center" vertical="center"/>
    </xf>
    <xf numFmtId="0" fontId="12" fillId="0" borderId="39" xfId="1" applyFont="1" applyBorder="1" applyAlignment="1">
      <alignment horizontal="center" vertical="center"/>
    </xf>
    <xf numFmtId="0" fontId="7" fillId="0" borderId="38" xfId="1" applyFont="1" applyBorder="1" applyAlignment="1">
      <alignment vertical="center"/>
    </xf>
    <xf numFmtId="0" fontId="61" fillId="0" borderId="43" xfId="1" applyFont="1" applyBorder="1" applyAlignment="1">
      <alignment vertical="center" wrapText="1"/>
    </xf>
    <xf numFmtId="0" fontId="61" fillId="0" borderId="0" xfId="1" applyFont="1" applyAlignment="1">
      <alignment vertical="center" wrapText="1"/>
    </xf>
    <xf numFmtId="0" fontId="102" fillId="0" borderId="0" xfId="1" applyFont="1"/>
    <xf numFmtId="0" fontId="103" fillId="0" borderId="0" xfId="1" applyFont="1"/>
    <xf numFmtId="0" fontId="7" fillId="0" borderId="0" xfId="0" applyFont="1" applyAlignment="1">
      <alignment horizontal="right" vertical="center"/>
    </xf>
    <xf numFmtId="0" fontId="104" fillId="0" borderId="0" xfId="0" applyFont="1" applyAlignment="1">
      <alignment horizontal="center" vertical="center" wrapText="1"/>
    </xf>
    <xf numFmtId="0" fontId="26" fillId="0" borderId="0" xfId="0" applyFont="1" applyAlignment="1">
      <alignment horizontal="left"/>
    </xf>
    <xf numFmtId="165" fontId="38" fillId="0" borderId="0" xfId="0" applyNumberFormat="1" applyFont="1" applyAlignment="1">
      <alignment vertical="center"/>
    </xf>
    <xf numFmtId="165" fontId="41" fillId="0" borderId="0" xfId="0" applyNumberFormat="1" applyFont="1" applyAlignment="1">
      <alignment horizontal="center" vertical="center"/>
    </xf>
    <xf numFmtId="0" fontId="38" fillId="0" borderId="14" xfId="0" applyFont="1" applyBorder="1" applyAlignment="1">
      <alignment horizontal="right" vertical="center" wrapText="1"/>
    </xf>
    <xf numFmtId="0" fontId="106" fillId="0" borderId="0" xfId="0" applyFont="1" applyAlignment="1">
      <alignment horizontal="left" vertical="center"/>
    </xf>
    <xf numFmtId="167" fontId="41" fillId="2" borderId="56" xfId="0" applyNumberFormat="1" applyFont="1" applyFill="1" applyBorder="1" applyAlignment="1">
      <alignment horizontal="center" vertical="center"/>
    </xf>
    <xf numFmtId="0" fontId="38" fillId="0" borderId="0" xfId="0" applyFont="1" applyAlignment="1">
      <alignment horizontal="right" vertical="center" wrapText="1"/>
    </xf>
    <xf numFmtId="0" fontId="47" fillId="0" borderId="0" xfId="0" applyFont="1" applyAlignment="1">
      <alignment horizontal="left" vertical="center"/>
    </xf>
    <xf numFmtId="165" fontId="38" fillId="0" borderId="48" xfId="0" applyNumberFormat="1" applyFont="1" applyBorder="1" applyAlignment="1">
      <alignment horizontal="center" vertical="center"/>
    </xf>
    <xf numFmtId="2" fontId="110" fillId="0" borderId="40" xfId="1" applyNumberFormat="1" applyFont="1" applyBorder="1" applyAlignment="1">
      <alignment horizontal="left" vertical="center" wrapText="1"/>
    </xf>
    <xf numFmtId="0" fontId="69" fillId="0" borderId="4" xfId="0" applyFont="1" applyBorder="1"/>
    <xf numFmtId="0" fontId="89" fillId="0" borderId="23" xfId="0" applyFont="1" applyBorder="1" applyAlignment="1">
      <alignment horizontal="center" vertical="center" wrapText="1"/>
    </xf>
    <xf numFmtId="176" fontId="9" fillId="7" borderId="23" xfId="0" applyNumberFormat="1" applyFont="1" applyFill="1" applyBorder="1" applyAlignment="1">
      <alignment horizontal="center" vertical="center"/>
    </xf>
    <xf numFmtId="2" fontId="38" fillId="7" borderId="122" xfId="0" applyNumberFormat="1" applyFont="1" applyFill="1" applyBorder="1" applyAlignment="1">
      <alignment horizontal="center" vertical="center"/>
    </xf>
    <xf numFmtId="2" fontId="38" fillId="7" borderId="123" xfId="0" applyNumberFormat="1" applyFont="1" applyFill="1" applyBorder="1" applyAlignment="1">
      <alignment horizontal="center" vertical="center"/>
    </xf>
    <xf numFmtId="2" fontId="38" fillId="7" borderId="68" xfId="0" applyNumberFormat="1" applyFont="1" applyFill="1" applyBorder="1" applyAlignment="1">
      <alignment horizontal="center" vertical="center"/>
    </xf>
    <xf numFmtId="165" fontId="38" fillId="0" borderId="0" xfId="0" applyNumberFormat="1" applyFont="1" applyAlignment="1">
      <alignment vertical="center" wrapText="1"/>
    </xf>
    <xf numFmtId="0" fontId="70" fillId="0" borderId="0" xfId="0" applyFont="1" applyAlignment="1">
      <alignment vertical="center"/>
    </xf>
    <xf numFmtId="0" fontId="7" fillId="2" borderId="34" xfId="1" applyFont="1" applyFill="1" applyBorder="1" applyAlignment="1">
      <alignment horizontal="center" vertical="center"/>
    </xf>
    <xf numFmtId="0" fontId="7" fillId="2" borderId="67" xfId="1" applyFont="1" applyFill="1" applyBorder="1" applyAlignment="1">
      <alignment horizontal="center" vertical="center"/>
    </xf>
    <xf numFmtId="0" fontId="7" fillId="2" borderId="85"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6" fillId="0" borderId="52" xfId="1" applyFont="1" applyBorder="1" applyAlignment="1">
      <alignment horizontal="right"/>
    </xf>
    <xf numFmtId="0" fontId="6" fillId="0" borderId="6" xfId="1" applyFont="1" applyBorder="1" applyAlignment="1">
      <alignment horizontal="right"/>
    </xf>
    <xf numFmtId="9" fontId="7" fillId="2" borderId="68" xfId="1" applyNumberFormat="1" applyFont="1" applyFill="1" applyBorder="1" applyAlignment="1">
      <alignment horizontal="center"/>
    </xf>
    <xf numFmtId="9" fontId="7" fillId="2" borderId="69" xfId="1" applyNumberFormat="1" applyFont="1" applyFill="1" applyBorder="1" applyAlignment="1">
      <alignment horizontal="center"/>
    </xf>
    <xf numFmtId="0" fontId="6" fillId="0" borderId="49" xfId="1" applyFont="1" applyBorder="1" applyAlignment="1">
      <alignment horizontal="right" vertical="center"/>
    </xf>
    <xf numFmtId="0" fontId="0" fillId="0" borderId="50" xfId="0" applyBorder="1"/>
    <xf numFmtId="0" fontId="0" fillId="0" borderId="43" xfId="0" applyBorder="1"/>
    <xf numFmtId="0" fontId="0" fillId="0" borderId="14" xfId="0" applyBorder="1"/>
    <xf numFmtId="0" fontId="7" fillId="0" borderId="63" xfId="1" applyFont="1" applyBorder="1" applyAlignment="1">
      <alignment horizontal="right" vertical="center"/>
    </xf>
    <xf numFmtId="0" fontId="7" fillId="0" borderId="64" xfId="1" applyFont="1" applyBorder="1" applyAlignment="1">
      <alignment horizontal="right" vertical="center"/>
    </xf>
    <xf numFmtId="9" fontId="46" fillId="2" borderId="6" xfId="1" applyNumberFormat="1" applyFont="1" applyFill="1" applyBorder="1" applyAlignment="1">
      <alignment horizontal="center" vertical="center"/>
    </xf>
    <xf numFmtId="9" fontId="46" fillId="2" borderId="47" xfId="1" applyNumberFormat="1" applyFont="1" applyFill="1" applyBorder="1" applyAlignment="1">
      <alignment horizontal="center" vertical="center"/>
    </xf>
    <xf numFmtId="0" fontId="7" fillId="0" borderId="52" xfId="1" applyFont="1" applyBorder="1" applyAlignment="1">
      <alignment horizontal="right" vertical="center"/>
    </xf>
    <xf numFmtId="0" fontId="7" fillId="0" borderId="6" xfId="1" applyFont="1" applyBorder="1" applyAlignment="1">
      <alignment horizontal="right" vertical="center"/>
    </xf>
    <xf numFmtId="0" fontId="78" fillId="0" borderId="90" xfId="0" applyFont="1" applyBorder="1" applyAlignment="1">
      <alignment horizontal="right" vertical="center"/>
    </xf>
    <xf numFmtId="0" fontId="78" fillId="0" borderId="35" xfId="0" applyFont="1" applyBorder="1" applyAlignment="1">
      <alignment horizontal="right" vertical="center"/>
    </xf>
    <xf numFmtId="0" fontId="13" fillId="2" borderId="70" xfId="1" applyFont="1" applyFill="1" applyBorder="1" applyAlignment="1">
      <alignment horizontal="center" vertical="center"/>
    </xf>
    <xf numFmtId="0" fontId="13" fillId="2" borderId="67" xfId="1" applyFont="1" applyFill="1" applyBorder="1" applyAlignment="1">
      <alignment horizontal="center" vertical="center"/>
    </xf>
    <xf numFmtId="0" fontId="13" fillId="2" borderId="85" xfId="1" applyFont="1" applyFill="1" applyBorder="1" applyAlignment="1">
      <alignment horizontal="center" vertical="center"/>
    </xf>
    <xf numFmtId="0" fontId="7" fillId="2" borderId="70" xfId="1" applyFont="1" applyFill="1" applyBorder="1" applyAlignment="1">
      <alignment horizontal="center" vertical="center"/>
    </xf>
    <xf numFmtId="2" fontId="7" fillId="2" borderId="34" xfId="1" applyNumberFormat="1" applyFont="1" applyFill="1" applyBorder="1" applyAlignment="1">
      <alignment horizontal="center" vertical="center" wrapText="1"/>
    </xf>
    <xf numFmtId="2" fontId="7" fillId="2" borderId="66" xfId="1" applyNumberFormat="1" applyFont="1" applyFill="1" applyBorder="1" applyAlignment="1">
      <alignment horizontal="center" vertical="center" wrapText="1"/>
    </xf>
    <xf numFmtId="0" fontId="45" fillId="0" borderId="46" xfId="1" applyFont="1" applyBorder="1" applyAlignment="1">
      <alignment horizontal="left" vertical="center" wrapText="1"/>
    </xf>
    <xf numFmtId="0" fontId="45" fillId="0" borderId="45" xfId="1" applyFont="1" applyBorder="1" applyAlignment="1">
      <alignment horizontal="left" vertical="center" wrapText="1"/>
    </xf>
    <xf numFmtId="0" fontId="45" fillId="0" borderId="44" xfId="1" applyFont="1" applyBorder="1" applyAlignment="1">
      <alignment horizontal="left" vertical="center" wrapText="1"/>
    </xf>
    <xf numFmtId="0" fontId="45" fillId="0" borderId="43" xfId="1" applyFont="1" applyBorder="1" applyAlignment="1">
      <alignment horizontal="left" vertical="center" wrapText="1"/>
    </xf>
    <xf numFmtId="0" fontId="45" fillId="0" borderId="0" xfId="1" applyFont="1" applyAlignment="1">
      <alignment horizontal="left" vertical="center" wrapText="1"/>
    </xf>
    <xf numFmtId="0" fontId="45" fillId="0" borderId="41" xfId="1" applyFont="1" applyBorder="1" applyAlignment="1">
      <alignment horizontal="left" vertical="center" wrapText="1"/>
    </xf>
    <xf numFmtId="0" fontId="45" fillId="0" borderId="40" xfId="1" applyFont="1" applyBorder="1" applyAlignment="1">
      <alignment horizontal="left" vertical="center" wrapText="1"/>
    </xf>
    <xf numFmtId="0" fontId="45" fillId="0" borderId="39" xfId="1" applyFont="1" applyBorder="1" applyAlignment="1">
      <alignment horizontal="left" vertical="center" wrapText="1"/>
    </xf>
    <xf numFmtId="0" fontId="45" fillId="0" borderId="38" xfId="1" applyFont="1" applyBorder="1" applyAlignment="1">
      <alignment horizontal="left" vertical="center" wrapText="1"/>
    </xf>
    <xf numFmtId="0" fontId="6" fillId="0" borderId="90" xfId="1" applyFont="1" applyBorder="1" applyAlignment="1">
      <alignment horizontal="right" vertical="center" wrapText="1"/>
    </xf>
    <xf numFmtId="0" fontId="6" fillId="0" borderId="35" xfId="1" applyFont="1" applyBorder="1" applyAlignment="1">
      <alignment horizontal="right" vertical="center" wrapText="1"/>
    </xf>
    <xf numFmtId="0" fontId="38" fillId="2" borderId="34" xfId="1" applyFont="1" applyFill="1" applyBorder="1" applyAlignment="1">
      <alignment horizontal="center" vertical="center"/>
    </xf>
    <xf numFmtId="0" fontId="38" fillId="2" borderId="42" xfId="1" applyFont="1" applyFill="1" applyBorder="1" applyAlignment="1">
      <alignment horizontal="center" vertical="center"/>
    </xf>
    <xf numFmtId="0" fontId="38" fillId="2" borderId="66" xfId="1" applyFont="1" applyFill="1" applyBorder="1" applyAlignment="1">
      <alignment horizontal="center" vertical="center"/>
    </xf>
    <xf numFmtId="0" fontId="38" fillId="0" borderId="39" xfId="1" applyFont="1" applyBorder="1" applyAlignment="1">
      <alignment horizontal="right" vertical="center"/>
    </xf>
    <xf numFmtId="0" fontId="32" fillId="2" borderId="53" xfId="1" applyFont="1" applyFill="1" applyBorder="1" applyAlignment="1">
      <alignment horizontal="center" vertical="center"/>
    </xf>
    <xf numFmtId="0" fontId="9" fillId="0" borderId="42" xfId="1" applyFont="1" applyBorder="1" applyAlignment="1">
      <alignment horizontal="center" vertical="center"/>
    </xf>
    <xf numFmtId="14" fontId="32" fillId="2" borderId="42" xfId="1" applyNumberFormat="1" applyFont="1" applyFill="1" applyBorder="1" applyAlignment="1">
      <alignment horizontal="center" vertical="center"/>
    </xf>
    <xf numFmtId="0" fontId="16" fillId="0" borderId="46" xfId="1" applyBorder="1" applyAlignment="1">
      <alignment horizontal="center"/>
    </xf>
    <xf numFmtId="0" fontId="16" fillId="0" borderId="45" xfId="1" applyBorder="1" applyAlignment="1">
      <alignment horizontal="center"/>
    </xf>
    <xf numFmtId="0" fontId="16" fillId="0" borderId="44" xfId="1" applyBorder="1" applyAlignment="1">
      <alignment horizontal="center"/>
    </xf>
    <xf numFmtId="0" fontId="16" fillId="0" borderId="43" xfId="1" applyBorder="1" applyAlignment="1">
      <alignment horizontal="center"/>
    </xf>
    <xf numFmtId="0" fontId="16" fillId="0" borderId="0" xfId="1" applyAlignment="1">
      <alignment horizontal="center"/>
    </xf>
    <xf numFmtId="0" fontId="16" fillId="0" borderId="41" xfId="1" applyBorder="1" applyAlignment="1">
      <alignment horizontal="center"/>
    </xf>
    <xf numFmtId="0" fontId="16" fillId="0" borderId="40" xfId="1" applyBorder="1" applyAlignment="1">
      <alignment horizontal="center"/>
    </xf>
    <xf numFmtId="0" fontId="16" fillId="0" borderId="39" xfId="1" applyBorder="1" applyAlignment="1">
      <alignment horizontal="center"/>
    </xf>
    <xf numFmtId="0" fontId="16" fillId="0" borderId="38" xfId="1" applyBorder="1" applyAlignment="1">
      <alignment horizontal="center"/>
    </xf>
    <xf numFmtId="0" fontId="12" fillId="0" borderId="0" xfId="1" applyFont="1" applyAlignment="1">
      <alignment horizontal="center" vertical="center" wrapText="1"/>
    </xf>
    <xf numFmtId="0" fontId="12" fillId="0" borderId="46" xfId="1" applyFont="1" applyBorder="1" applyAlignment="1">
      <alignment horizontal="center" vertical="center"/>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36" fillId="0" borderId="45" xfId="1" applyFont="1" applyBorder="1" applyAlignment="1">
      <alignment horizontal="left" vertical="center" wrapText="1"/>
    </xf>
    <xf numFmtId="0" fontId="35" fillId="0" borderId="45" xfId="1" applyFont="1" applyBorder="1" applyAlignment="1">
      <alignment horizontal="left" vertical="center" wrapText="1"/>
    </xf>
    <xf numFmtId="2" fontId="7" fillId="2" borderId="56" xfId="1" applyNumberFormat="1" applyFont="1" applyFill="1" applyBorder="1" applyAlignment="1">
      <alignment horizontal="center"/>
    </xf>
    <xf numFmtId="2" fontId="7" fillId="2" borderId="120" xfId="1" applyNumberFormat="1" applyFont="1" applyFill="1" applyBorder="1" applyAlignment="1">
      <alignment horizontal="center"/>
    </xf>
    <xf numFmtId="0" fontId="7" fillId="0" borderId="121" xfId="1" applyFont="1" applyBorder="1" applyAlignment="1">
      <alignment horizontal="right" vertical="center"/>
    </xf>
    <xf numFmtId="0" fontId="7" fillId="0" borderId="33" xfId="1" applyFont="1" applyBorder="1" applyAlignment="1">
      <alignment horizontal="right" vertical="center"/>
    </xf>
    <xf numFmtId="2" fontId="13" fillId="2" borderId="34" xfId="1" applyNumberFormat="1" applyFont="1" applyFill="1" applyBorder="1" applyAlignment="1">
      <alignment horizontal="center" vertical="center" wrapText="1"/>
    </xf>
    <xf numFmtId="2" fontId="13" fillId="2" borderId="48" xfId="1" applyNumberFormat="1" applyFont="1" applyFill="1" applyBorder="1" applyAlignment="1">
      <alignment horizontal="center" vertical="center" wrapText="1"/>
    </xf>
    <xf numFmtId="2" fontId="13" fillId="2" borderId="84" xfId="1" applyNumberFormat="1" applyFont="1" applyFill="1" applyBorder="1" applyAlignment="1">
      <alignment horizontal="center" vertical="center" wrapText="1"/>
    </xf>
    <xf numFmtId="2" fontId="7" fillId="2" borderId="6" xfId="1" applyNumberFormat="1" applyFont="1" applyFill="1" applyBorder="1" applyAlignment="1">
      <alignment horizontal="center" vertical="center" wrapText="1"/>
    </xf>
    <xf numFmtId="2" fontId="7" fillId="2" borderId="47" xfId="1" applyNumberFormat="1" applyFont="1" applyFill="1" applyBorder="1" applyAlignment="1">
      <alignment horizontal="center" vertical="center" wrapText="1"/>
    </xf>
    <xf numFmtId="0" fontId="7" fillId="0" borderId="90" xfId="1" applyFont="1" applyBorder="1" applyAlignment="1">
      <alignment horizontal="right" vertical="center"/>
    </xf>
    <xf numFmtId="0" fontId="7" fillId="0" borderId="35" xfId="1" applyFont="1" applyBorder="1" applyAlignment="1">
      <alignment horizontal="right" vertical="center"/>
    </xf>
    <xf numFmtId="165" fontId="38" fillId="0" borderId="0" xfId="0" applyNumberFormat="1" applyFont="1" applyAlignment="1">
      <alignment vertical="center"/>
    </xf>
    <xf numFmtId="165" fontId="38" fillId="0" borderId="6" xfId="0" applyNumberFormat="1" applyFont="1" applyBorder="1" applyAlignment="1">
      <alignment horizontal="center" vertical="center"/>
    </xf>
    <xf numFmtId="165" fontId="70" fillId="0" borderId="71" xfId="0" applyNumberFormat="1" applyFont="1" applyBorder="1" applyAlignment="1">
      <alignment horizontal="left" vertical="center" wrapText="1"/>
    </xf>
    <xf numFmtId="165" fontId="70" fillId="0" borderId="0" xfId="0" applyNumberFormat="1" applyFont="1" applyAlignment="1">
      <alignment horizontal="left" vertical="center" wrapText="1"/>
    </xf>
    <xf numFmtId="0" fontId="70" fillId="0" borderId="71" xfId="0" applyFont="1" applyBorder="1" applyAlignment="1">
      <alignment horizontal="left" vertical="center" wrapText="1"/>
    </xf>
    <xf numFmtId="0" fontId="70" fillId="0" borderId="0" xfId="0" applyFont="1" applyAlignment="1">
      <alignment horizontal="left" vertical="center" wrapText="1"/>
    </xf>
    <xf numFmtId="0" fontId="43" fillId="0" borderId="0" xfId="0" applyFont="1" applyAlignment="1">
      <alignment horizontal="center" vertical="center"/>
    </xf>
    <xf numFmtId="0" fontId="43" fillId="0" borderId="6" xfId="0" applyFont="1" applyBorder="1" applyAlignment="1">
      <alignment horizontal="left" vertical="center" wrapText="1"/>
    </xf>
    <xf numFmtId="0" fontId="38" fillId="0" borderId="6" xfId="0" applyFont="1" applyBorder="1" applyAlignment="1">
      <alignment horizontal="right" vertical="center"/>
    </xf>
    <xf numFmtId="0" fontId="38" fillId="0" borderId="70" xfId="0" applyFont="1" applyBorder="1" applyAlignment="1">
      <alignment horizontal="right" vertical="center" wrapText="1"/>
    </xf>
    <xf numFmtId="0" fontId="38" fillId="0" borderId="67" xfId="0" applyFont="1" applyBorder="1" applyAlignment="1">
      <alignment horizontal="right" vertical="center" wrapText="1"/>
    </xf>
    <xf numFmtId="0" fontId="38" fillId="0" borderId="50" xfId="0" applyFont="1" applyBorder="1" applyAlignment="1">
      <alignment horizontal="right" vertical="center" wrapText="1"/>
    </xf>
    <xf numFmtId="0" fontId="104" fillId="0" borderId="0" xfId="0" applyFont="1" applyAlignment="1">
      <alignment horizontal="center" vertical="center" wrapText="1"/>
    </xf>
    <xf numFmtId="0" fontId="35" fillId="0" borderId="70" xfId="0" applyFont="1" applyBorder="1" applyAlignment="1">
      <alignment horizontal="center" vertical="center"/>
    </xf>
    <xf numFmtId="0" fontId="35" fillId="0" borderId="67" xfId="0" applyFont="1" applyBorder="1" applyAlignment="1">
      <alignment horizontal="center" vertical="center"/>
    </xf>
    <xf numFmtId="0" fontId="35" fillId="0" borderId="35" xfId="0" applyFont="1" applyBorder="1" applyAlignment="1">
      <alignment horizontal="center" vertical="center"/>
    </xf>
    <xf numFmtId="0" fontId="38" fillId="0" borderId="6" xfId="0" applyFont="1" applyBorder="1" applyAlignment="1">
      <alignment horizontal="center" vertical="center"/>
    </xf>
    <xf numFmtId="0" fontId="37" fillId="0" borderId="0" xfId="0" applyFont="1" applyAlignment="1">
      <alignment horizontal="left" vertical="center"/>
    </xf>
    <xf numFmtId="2" fontId="38" fillId="0" borderId="6" xfId="0" applyNumberFormat="1" applyFont="1" applyBorder="1" applyAlignment="1">
      <alignment horizontal="center" vertical="center"/>
    </xf>
    <xf numFmtId="0" fontId="49" fillId="0" borderId="0" xfId="0" applyFont="1" applyAlignment="1">
      <alignment horizontal="center" vertical="center"/>
    </xf>
    <xf numFmtId="0" fontId="38" fillId="0" borderId="56" xfId="0" applyFont="1" applyBorder="1" applyAlignment="1">
      <alignment horizontal="right" vertical="center"/>
    </xf>
    <xf numFmtId="0" fontId="38" fillId="0" borderId="33" xfId="0" applyFont="1" applyBorder="1" applyAlignment="1">
      <alignment horizontal="right" vertical="center"/>
    </xf>
    <xf numFmtId="2" fontId="35" fillId="0" borderId="6" xfId="0" applyNumberFormat="1" applyFont="1" applyBorder="1" applyAlignment="1">
      <alignment horizontal="left" vertical="center" wrapText="1"/>
    </xf>
    <xf numFmtId="2" fontId="38" fillId="0" borderId="0" xfId="0" applyNumberFormat="1" applyFont="1" applyAlignment="1">
      <alignment horizontal="right" vertical="center"/>
    </xf>
    <xf numFmtId="0" fontId="38" fillId="0" borderId="6" xfId="0" applyFont="1" applyBorder="1" applyAlignment="1">
      <alignment horizontal="left" vertical="center"/>
    </xf>
    <xf numFmtId="0" fontId="38" fillId="0" borderId="56" xfId="0" applyFont="1" applyBorder="1" applyAlignment="1">
      <alignment horizontal="right" vertical="center" wrapText="1"/>
    </xf>
    <xf numFmtId="0" fontId="38" fillId="0" borderId="60" xfId="0" applyFont="1" applyBorder="1" applyAlignment="1">
      <alignment horizontal="right" vertical="center" wrapText="1"/>
    </xf>
    <xf numFmtId="0" fontId="38" fillId="0" borderId="33" xfId="0" applyFont="1" applyBorder="1" applyAlignment="1">
      <alignment horizontal="right" vertical="center" wrapText="1"/>
    </xf>
    <xf numFmtId="2" fontId="35" fillId="0" borderId="34" xfId="0" applyNumberFormat="1" applyFont="1" applyBorder="1" applyAlignment="1">
      <alignment horizontal="center" vertical="center"/>
    </xf>
    <xf numFmtId="0" fontId="35" fillId="0" borderId="42" xfId="0" applyFont="1" applyBorder="1" applyAlignment="1">
      <alignment horizontal="center" vertical="center"/>
    </xf>
    <xf numFmtId="0" fontId="35" fillId="0" borderId="6" xfId="0" applyFont="1" applyBorder="1" applyAlignment="1">
      <alignment horizontal="right" vertical="center"/>
    </xf>
    <xf numFmtId="0" fontId="38" fillId="0" borderId="0" xfId="0" applyFont="1" applyAlignment="1">
      <alignment horizontal="right" vertical="center"/>
    </xf>
    <xf numFmtId="0" fontId="38" fillId="0" borderId="14" xfId="0" applyFont="1" applyBorder="1" applyAlignment="1">
      <alignment horizontal="right" vertical="center"/>
    </xf>
    <xf numFmtId="165" fontId="38" fillId="0" borderId="0" xfId="0" applyNumberFormat="1" applyFont="1" applyAlignment="1">
      <alignment horizontal="left" vertical="center" wrapText="1"/>
    </xf>
    <xf numFmtId="0" fontId="35" fillId="0" borderId="0" xfId="0" applyFont="1" applyAlignment="1">
      <alignment horizontal="left" vertical="center" wrapText="1"/>
    </xf>
    <xf numFmtId="0" fontId="19" fillId="0" borderId="0" xfId="0" applyFont="1" applyAlignment="1">
      <alignment horizontal="left" wrapText="1"/>
    </xf>
    <xf numFmtId="0" fontId="42" fillId="0" borderId="0" xfId="0" applyFont="1" applyAlignment="1">
      <alignment horizontal="left" wrapText="1"/>
    </xf>
    <xf numFmtId="0" fontId="43" fillId="0" borderId="0" xfId="0" applyFont="1" applyAlignment="1">
      <alignment horizontal="right" vertical="center"/>
    </xf>
    <xf numFmtId="0" fontId="43" fillId="0" borderId="14" xfId="0" applyFont="1" applyBorder="1" applyAlignment="1">
      <alignment horizontal="right" vertical="center"/>
    </xf>
    <xf numFmtId="0" fontId="59" fillId="0" borderId="6" xfId="0" applyFont="1" applyBorder="1" applyAlignment="1">
      <alignment horizontal="center" vertical="center"/>
    </xf>
    <xf numFmtId="0" fontId="35" fillId="0" borderId="0" xfId="0" applyFont="1" applyAlignment="1">
      <alignment horizontal="left" vertical="center"/>
    </xf>
    <xf numFmtId="0" fontId="38" fillId="0" borderId="34" xfId="0" applyFont="1" applyBorder="1" applyAlignment="1">
      <alignment horizontal="right" vertical="center"/>
    </xf>
    <xf numFmtId="0" fontId="38" fillId="0" borderId="35" xfId="0" applyFont="1" applyBorder="1" applyAlignment="1">
      <alignment horizontal="right" vertical="center"/>
    </xf>
    <xf numFmtId="0" fontId="43" fillId="0" borderId="56"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33" xfId="0" applyFont="1" applyBorder="1" applyAlignment="1">
      <alignment horizontal="center" vertical="center" wrapText="1"/>
    </xf>
    <xf numFmtId="0" fontId="40" fillId="0" borderId="53" xfId="1" applyFont="1" applyBorder="1" applyAlignment="1">
      <alignment horizontal="center" vertical="center"/>
    </xf>
    <xf numFmtId="0" fontId="40" fillId="0" borderId="65" xfId="1" applyFont="1" applyBorder="1" applyAlignment="1">
      <alignment horizontal="center" vertical="center"/>
    </xf>
    <xf numFmtId="0" fontId="40" fillId="0" borderId="42" xfId="1" applyFont="1" applyBorder="1" applyAlignment="1">
      <alignment horizontal="center" vertical="center"/>
    </xf>
    <xf numFmtId="0" fontId="40" fillId="0" borderId="66" xfId="1" applyFont="1" applyBorder="1" applyAlignment="1">
      <alignment horizontal="center" vertical="center"/>
    </xf>
    <xf numFmtId="14" fontId="39" fillId="2" borderId="42" xfId="1" applyNumberFormat="1" applyFont="1" applyFill="1" applyBorder="1" applyAlignment="1">
      <alignment horizontal="center" vertical="center"/>
    </xf>
    <xf numFmtId="14" fontId="39" fillId="2" borderId="66" xfId="1" applyNumberFormat="1" applyFont="1" applyFill="1" applyBorder="1" applyAlignment="1">
      <alignment horizontal="center" vertical="center"/>
    </xf>
    <xf numFmtId="0" fontId="93" fillId="0" borderId="0" xfId="0" applyFont="1" applyAlignment="1">
      <alignment horizontal="left" wrapText="1"/>
    </xf>
    <xf numFmtId="9" fontId="9" fillId="0" borderId="64" xfId="0" applyNumberFormat="1" applyFont="1" applyBorder="1" applyAlignment="1">
      <alignment horizontal="center" vertical="center"/>
    </xf>
    <xf numFmtId="9" fontId="9" fillId="0" borderId="105" xfId="0" applyNumberFormat="1" applyFont="1" applyBorder="1" applyAlignment="1">
      <alignment horizontal="center" vertical="center"/>
    </xf>
    <xf numFmtId="9" fontId="9" fillId="0" borderId="106" xfId="0" applyNumberFormat="1" applyFont="1" applyBorder="1" applyAlignment="1">
      <alignment horizontal="center" vertical="center"/>
    </xf>
    <xf numFmtId="0" fontId="35" fillId="0" borderId="34" xfId="0" applyFont="1" applyBorder="1" applyAlignment="1">
      <alignment horizontal="right" vertical="center" wrapText="1"/>
    </xf>
    <xf numFmtId="0" fontId="35" fillId="0" borderId="42" xfId="0" applyFont="1" applyBorder="1" applyAlignment="1">
      <alignment horizontal="right" vertical="center" wrapText="1"/>
    </xf>
    <xf numFmtId="0" fontId="35" fillId="0" borderId="35" xfId="0" applyFont="1" applyBorder="1" applyAlignment="1">
      <alignment horizontal="right" vertical="center" wrapText="1"/>
    </xf>
    <xf numFmtId="0" fontId="38" fillId="0" borderId="33" xfId="0" applyFont="1" applyBorder="1" applyAlignment="1">
      <alignment horizontal="left" vertical="center"/>
    </xf>
    <xf numFmtId="0" fontId="38" fillId="0" borderId="34" xfId="0" applyFont="1" applyBorder="1" applyAlignment="1">
      <alignment horizontal="right" vertical="center" wrapText="1"/>
    </xf>
    <xf numFmtId="0" fontId="38" fillId="0" borderId="42" xfId="0" applyFont="1" applyBorder="1" applyAlignment="1">
      <alignment horizontal="right" vertical="center" wrapText="1"/>
    </xf>
    <xf numFmtId="0" fontId="38" fillId="0" borderId="35" xfId="0" applyFont="1" applyBorder="1" applyAlignment="1">
      <alignment horizontal="right" vertical="center" wrapText="1"/>
    </xf>
    <xf numFmtId="0" fontId="77" fillId="0" borderId="6" xfId="0" applyFont="1" applyBorder="1" applyAlignment="1">
      <alignment horizontal="right" vertical="center"/>
    </xf>
    <xf numFmtId="0" fontId="45" fillId="0" borderId="72" xfId="0" applyFont="1" applyBorder="1" applyAlignment="1">
      <alignment horizontal="right" vertical="center" wrapText="1"/>
    </xf>
    <xf numFmtId="0" fontId="45" fillId="0" borderId="48" xfId="0" applyFont="1" applyBorder="1" applyAlignment="1">
      <alignment horizontal="right" vertical="center" wrapText="1"/>
    </xf>
    <xf numFmtId="0" fontId="45" fillId="0" borderId="51" xfId="0" applyFont="1" applyBorder="1" applyAlignment="1">
      <alignment horizontal="right" vertical="center" wrapText="1"/>
    </xf>
    <xf numFmtId="0" fontId="18" fillId="0" borderId="6" xfId="0" applyFont="1" applyBorder="1" applyAlignment="1">
      <alignment horizontal="right" vertical="center"/>
    </xf>
    <xf numFmtId="0" fontId="38" fillId="0" borderId="6" xfId="0" applyFont="1" applyBorder="1" applyAlignment="1">
      <alignment horizontal="left" vertical="center" wrapText="1"/>
    </xf>
    <xf numFmtId="0" fontId="70" fillId="0" borderId="43" xfId="0" applyFont="1" applyBorder="1" applyAlignment="1">
      <alignment horizontal="left" vertical="center" wrapText="1"/>
    </xf>
    <xf numFmtId="0" fontId="11" fillId="0" borderId="24"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2" fontId="38" fillId="0" borderId="43" xfId="0" applyNumberFormat="1" applyFont="1" applyBorder="1" applyAlignment="1">
      <alignment horizontal="left" vertical="center" wrapText="1"/>
    </xf>
    <xf numFmtId="2" fontId="38" fillId="0" borderId="0" xfId="0" applyNumberFormat="1" applyFont="1" applyAlignment="1">
      <alignment horizontal="left" vertical="center" wrapText="1"/>
    </xf>
    <xf numFmtId="2" fontId="38" fillId="0" borderId="41" xfId="0" applyNumberFormat="1" applyFont="1" applyBorder="1" applyAlignment="1">
      <alignment horizontal="left" vertical="center" wrapText="1"/>
    </xf>
    <xf numFmtId="0" fontId="42" fillId="0" borderId="57" xfId="0" applyFont="1" applyBorder="1" applyAlignment="1">
      <alignment horizontal="center" vertical="center"/>
    </xf>
    <xf numFmtId="0" fontId="42" fillId="0" borderId="58" xfId="0" applyFont="1" applyBorder="1" applyAlignment="1">
      <alignment horizontal="center" vertical="center"/>
    </xf>
    <xf numFmtId="0" fontId="42" fillId="0" borderId="59" xfId="0" applyFont="1" applyBorder="1" applyAlignment="1">
      <alignment horizontal="center" vertical="center"/>
    </xf>
    <xf numFmtId="0" fontId="42" fillId="0" borderId="118" xfId="0" applyFont="1" applyBorder="1" applyAlignment="1">
      <alignment horizontal="center" vertical="center"/>
    </xf>
    <xf numFmtId="0" fontId="42" fillId="0" borderId="112" xfId="0" applyFont="1" applyBorder="1" applyAlignment="1">
      <alignment horizontal="center" vertical="center"/>
    </xf>
    <xf numFmtId="0" fontId="38" fillId="0" borderId="56" xfId="0" applyFont="1" applyBorder="1" applyAlignment="1">
      <alignment horizontal="center" vertical="center"/>
    </xf>
    <xf numFmtId="2" fontId="43" fillId="0" borderId="43" xfId="0" applyNumberFormat="1" applyFont="1" applyBorder="1" applyAlignment="1">
      <alignment horizontal="left" vertical="center" wrapText="1"/>
    </xf>
    <xf numFmtId="2" fontId="44" fillId="0" borderId="0" xfId="0" applyNumberFormat="1" applyFont="1" applyAlignment="1">
      <alignment horizontal="left" vertical="center" wrapText="1"/>
    </xf>
    <xf numFmtId="2" fontId="44" fillId="0" borderId="41" xfId="0" applyNumberFormat="1" applyFont="1" applyBorder="1" applyAlignment="1">
      <alignment horizontal="left" vertical="center" wrapText="1"/>
    </xf>
    <xf numFmtId="2" fontId="43" fillId="0" borderId="110" xfId="0" applyNumberFormat="1" applyFont="1" applyBorder="1" applyAlignment="1">
      <alignment horizontal="left" vertical="center" wrapText="1"/>
    </xf>
    <xf numFmtId="2" fontId="44" fillId="0" borderId="48" xfId="0" applyNumberFormat="1" applyFont="1" applyBorder="1" applyAlignment="1">
      <alignment horizontal="left" vertical="center" wrapText="1"/>
    </xf>
    <xf numFmtId="2" fontId="44" fillId="0" borderId="84" xfId="0" applyNumberFormat="1" applyFont="1" applyBorder="1" applyAlignment="1">
      <alignment horizontal="left" vertical="center" wrapText="1"/>
    </xf>
    <xf numFmtId="2" fontId="38" fillId="0" borderId="46" xfId="0" applyNumberFormat="1" applyFont="1" applyBorder="1" applyAlignment="1">
      <alignment horizontal="left" vertical="center" wrapText="1"/>
    </xf>
    <xf numFmtId="2" fontId="38" fillId="0" borderId="45" xfId="0" applyNumberFormat="1" applyFont="1" applyBorder="1" applyAlignment="1">
      <alignment horizontal="left" vertical="center" wrapText="1"/>
    </xf>
    <xf numFmtId="2" fontId="38" fillId="0" borderId="44" xfId="0" applyNumberFormat="1" applyFont="1" applyBorder="1" applyAlignment="1">
      <alignment horizontal="left" vertical="center" wrapText="1"/>
    </xf>
    <xf numFmtId="2" fontId="38" fillId="0" borderId="40" xfId="0" applyNumberFormat="1" applyFont="1" applyBorder="1" applyAlignment="1">
      <alignment horizontal="left" vertical="center" wrapText="1"/>
    </xf>
    <xf numFmtId="2" fontId="38" fillId="0" borderId="39" xfId="0" applyNumberFormat="1" applyFont="1" applyBorder="1" applyAlignment="1">
      <alignment horizontal="left" vertical="center" wrapText="1"/>
    </xf>
    <xf numFmtId="2" fontId="38" fillId="0" borderId="38" xfId="0" applyNumberFormat="1" applyFont="1" applyBorder="1" applyAlignment="1">
      <alignment horizontal="left" vertical="center" wrapText="1"/>
    </xf>
    <xf numFmtId="0" fontId="92" fillId="0" borderId="46" xfId="0" applyFont="1" applyBorder="1" applyAlignment="1">
      <alignment horizontal="center" vertical="center"/>
    </xf>
    <xf numFmtId="0" fontId="92" fillId="0" borderId="45" xfId="0" applyFont="1" applyBorder="1" applyAlignment="1">
      <alignment horizontal="center" vertical="center"/>
    </xf>
    <xf numFmtId="0" fontId="92" fillId="0" borderId="44" xfId="0" applyFont="1" applyBorder="1" applyAlignment="1">
      <alignment horizontal="center" vertical="center"/>
    </xf>
    <xf numFmtId="0" fontId="11" fillId="0" borderId="102" xfId="0" applyFont="1" applyBorder="1" applyAlignment="1">
      <alignment horizontal="center" vertical="center"/>
    </xf>
    <xf numFmtId="0" fontId="11" fillId="0" borderId="104" xfId="0" applyFont="1" applyBorder="1" applyAlignment="1">
      <alignment horizontal="center" vertical="center"/>
    </xf>
    <xf numFmtId="0" fontId="13" fillId="0" borderId="47" xfId="0" applyFont="1" applyBorder="1" applyAlignment="1">
      <alignment horizontal="center" vertical="center"/>
    </xf>
    <xf numFmtId="0" fontId="13" fillId="0" borderId="97" xfId="0" applyFont="1" applyBorder="1" applyAlignment="1">
      <alignment horizontal="center" vertical="center"/>
    </xf>
    <xf numFmtId="0" fontId="49" fillId="0" borderId="56" xfId="0" applyFont="1" applyBorder="1" applyAlignment="1">
      <alignment horizontal="center" vertical="center"/>
    </xf>
    <xf numFmtId="0" fontId="49" fillId="0" borderId="33" xfId="0" applyFont="1" applyBorder="1" applyAlignment="1">
      <alignment horizontal="center" vertical="center"/>
    </xf>
    <xf numFmtId="0" fontId="43" fillId="0" borderId="56" xfId="0" applyFont="1" applyBorder="1" applyAlignment="1">
      <alignment horizontal="center" vertical="center"/>
    </xf>
    <xf numFmtId="0" fontId="43" fillId="0" borderId="60" xfId="0" applyFont="1" applyBorder="1" applyAlignment="1">
      <alignment horizontal="center" vertical="center"/>
    </xf>
    <xf numFmtId="0" fontId="43" fillId="0" borderId="33" xfId="0" applyFont="1" applyBorder="1" applyAlignment="1">
      <alignment horizontal="center" vertical="center"/>
    </xf>
    <xf numFmtId="0" fontId="49" fillId="0" borderId="56" xfId="0" applyFont="1" applyBorder="1" applyAlignment="1">
      <alignment horizontal="right" vertical="center"/>
    </xf>
    <xf numFmtId="0" fontId="49" fillId="0" borderId="60" xfId="0" applyFont="1" applyBorder="1" applyAlignment="1">
      <alignment horizontal="right" vertical="center"/>
    </xf>
    <xf numFmtId="0" fontId="49" fillId="0" borderId="33" xfId="0" applyFont="1" applyBorder="1" applyAlignment="1">
      <alignment horizontal="right" vertical="center"/>
    </xf>
    <xf numFmtId="0" fontId="49" fillId="0" borderId="56" xfId="0" applyFont="1" applyBorder="1" applyAlignment="1">
      <alignment horizontal="center" vertical="center" wrapText="1"/>
    </xf>
    <xf numFmtId="0" fontId="49" fillId="0" borderId="60"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6" xfId="0" applyFont="1" applyBorder="1" applyAlignment="1">
      <alignment horizontal="right" vertical="center"/>
    </xf>
    <xf numFmtId="0" fontId="42" fillId="2" borderId="55" xfId="0" applyFont="1" applyFill="1" applyBorder="1" applyAlignment="1">
      <alignment horizontal="center" vertical="center"/>
    </xf>
    <xf numFmtId="0" fontId="42" fillId="2" borderId="5" xfId="0" applyFont="1" applyFill="1" applyBorder="1" applyAlignment="1">
      <alignment horizontal="center" vertical="center"/>
    </xf>
    <xf numFmtId="0" fontId="95" fillId="8" borderId="55" xfId="0" applyFont="1" applyFill="1" applyBorder="1" applyAlignment="1">
      <alignment horizontal="center" vertical="center"/>
    </xf>
    <xf numFmtId="0" fontId="95" fillId="8" borderId="2" xfId="0" applyFont="1" applyFill="1" applyBorder="1" applyAlignment="1">
      <alignment horizontal="center" vertical="center"/>
    </xf>
    <xf numFmtId="0" fontId="95" fillId="8" borderId="5" xfId="0" applyFont="1" applyFill="1" applyBorder="1" applyAlignment="1">
      <alignment horizontal="center" vertical="center"/>
    </xf>
    <xf numFmtId="0" fontId="59" fillId="3" borderId="28" xfId="0" applyFont="1" applyFill="1" applyBorder="1" applyAlignment="1">
      <alignment horizontal="center" vertical="center"/>
    </xf>
    <xf numFmtId="0" fontId="59" fillId="3" borderId="30" xfId="0" applyFont="1" applyFill="1" applyBorder="1" applyAlignment="1">
      <alignment horizontal="center" vertical="center"/>
    </xf>
    <xf numFmtId="0" fontId="59" fillId="3" borderId="29" xfId="0" applyFont="1" applyFill="1" applyBorder="1" applyAlignment="1">
      <alignment horizontal="center" vertical="center"/>
    </xf>
    <xf numFmtId="0" fontId="44" fillId="3" borderId="55"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5" xfId="0" applyFont="1" applyFill="1" applyBorder="1" applyAlignment="1">
      <alignment horizontal="center" vertical="center"/>
    </xf>
    <xf numFmtId="0" fontId="44" fillId="3" borderId="28" xfId="0" applyFont="1" applyFill="1" applyBorder="1" applyAlignment="1">
      <alignment horizontal="center" vertical="center"/>
    </xf>
    <xf numFmtId="0" fontId="44" fillId="3" borderId="30" xfId="0" applyFont="1" applyFill="1" applyBorder="1" applyAlignment="1">
      <alignment horizontal="center" vertical="center"/>
    </xf>
    <xf numFmtId="0" fontId="44" fillId="3" borderId="29" xfId="0" applyFont="1" applyFill="1" applyBorder="1" applyAlignment="1">
      <alignment horizontal="center" vertical="center"/>
    </xf>
    <xf numFmtId="165" fontId="82" fillId="0" borderId="86" xfId="0" applyNumberFormat="1" applyFont="1" applyBorder="1" applyAlignment="1">
      <alignment horizontal="center" vertical="center"/>
    </xf>
    <xf numFmtId="165" fontId="82" fillId="0" borderId="93" xfId="0" applyNumberFormat="1" applyFont="1" applyBorder="1" applyAlignment="1">
      <alignment horizontal="center" vertical="center"/>
    </xf>
    <xf numFmtId="165" fontId="82" fillId="0" borderId="94" xfId="0" applyNumberFormat="1" applyFont="1" applyBorder="1" applyAlignment="1">
      <alignment horizontal="center" vertical="center"/>
    </xf>
    <xf numFmtId="0" fontId="45" fillId="0" borderId="3" xfId="0" applyFont="1" applyBorder="1" applyAlignment="1">
      <alignment horizontal="center" vertical="center"/>
    </xf>
    <xf numFmtId="0" fontId="45" fillId="0" borderId="36" xfId="0" applyFont="1" applyBorder="1" applyAlignment="1">
      <alignment horizontal="center" vertical="center"/>
    </xf>
    <xf numFmtId="0" fontId="45" fillId="0" borderId="86" xfId="0" applyFont="1" applyBorder="1" applyAlignment="1">
      <alignment horizontal="center" vertical="center" wrapText="1"/>
    </xf>
    <xf numFmtId="0" fontId="45" fillId="0" borderId="94" xfId="0" applyFont="1" applyBorder="1" applyAlignment="1">
      <alignment horizontal="center" vertical="center" wrapText="1"/>
    </xf>
    <xf numFmtId="0" fontId="45" fillId="0" borderId="77" xfId="0" applyFont="1" applyBorder="1" applyAlignment="1">
      <alignment horizontal="center" vertical="center" wrapText="1"/>
    </xf>
    <xf numFmtId="0" fontId="45" fillId="0" borderId="95" xfId="0" applyFont="1" applyBorder="1" applyAlignment="1">
      <alignment horizontal="center" vertical="center" wrapText="1"/>
    </xf>
    <xf numFmtId="0" fontId="45" fillId="0" borderId="78" xfId="0" applyFont="1" applyBorder="1" applyAlignment="1">
      <alignment horizontal="center" vertical="center" wrapText="1"/>
    </xf>
    <xf numFmtId="0" fontId="45" fillId="0" borderId="96" xfId="0" applyFont="1" applyBorder="1" applyAlignment="1">
      <alignment horizontal="center" vertical="center" wrapText="1"/>
    </xf>
    <xf numFmtId="170" fontId="2" fillId="0" borderId="86" xfId="0" applyNumberFormat="1" applyFont="1" applyBorder="1" applyAlignment="1">
      <alignment horizontal="center" vertical="center"/>
    </xf>
    <xf numFmtId="170" fontId="2" fillId="0" borderId="93" xfId="0" applyNumberFormat="1" applyFont="1" applyBorder="1" applyAlignment="1">
      <alignment horizontal="center" vertical="center"/>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0" fontId="44" fillId="3" borderId="55" xfId="0" applyFont="1" applyFill="1" applyBorder="1" applyAlignment="1">
      <alignment horizontal="center" vertical="center" wrapText="1"/>
    </xf>
    <xf numFmtId="0" fontId="44" fillId="3" borderId="5" xfId="0" applyFont="1" applyFill="1" applyBorder="1" applyAlignment="1">
      <alignment horizontal="center" vertical="center" wrapText="1"/>
    </xf>
    <xf numFmtId="169" fontId="18" fillId="0" borderId="79" xfId="0" applyNumberFormat="1" applyFont="1" applyBorder="1" applyAlignment="1">
      <alignment horizontal="center" vertical="center"/>
    </xf>
    <xf numFmtId="169" fontId="0" fillId="0" borderId="51" xfId="0" applyNumberFormat="1" applyBorder="1" applyAlignment="1">
      <alignment horizontal="center" vertical="center"/>
    </xf>
    <xf numFmtId="165" fontId="3" fillId="0" borderId="31" xfId="0" applyNumberFormat="1" applyFont="1" applyBorder="1" applyAlignment="1">
      <alignment horizontal="center" vertical="center"/>
    </xf>
    <xf numFmtId="165" fontId="82" fillId="0" borderId="50" xfId="0" applyNumberFormat="1" applyFont="1" applyBorder="1" applyAlignment="1">
      <alignment horizontal="center" vertical="center"/>
    </xf>
    <xf numFmtId="165" fontId="3" fillId="0" borderId="14" xfId="0" applyNumberFormat="1" applyFont="1" applyBorder="1" applyAlignment="1">
      <alignment horizontal="center" vertical="center"/>
    </xf>
    <xf numFmtId="170" fontId="2" fillId="0" borderId="83" xfId="0" applyNumberFormat="1" applyFont="1" applyBorder="1" applyAlignment="1">
      <alignment horizontal="center" vertical="center"/>
    </xf>
    <xf numFmtId="0" fontId="83" fillId="8" borderId="55" xfId="0" applyFont="1" applyFill="1" applyBorder="1" applyAlignment="1">
      <alignment horizontal="center" vertical="center"/>
    </xf>
    <xf numFmtId="0" fontId="83" fillId="8" borderId="2" xfId="0" applyFont="1" applyFill="1" applyBorder="1" applyAlignment="1">
      <alignment horizontal="center" vertical="center"/>
    </xf>
    <xf numFmtId="0" fontId="83" fillId="8" borderId="5" xfId="0" applyFont="1" applyFill="1" applyBorder="1" applyAlignment="1">
      <alignment horizontal="center" vertical="center"/>
    </xf>
    <xf numFmtId="0" fontId="44" fillId="0" borderId="0" xfId="0" applyFont="1" applyAlignment="1">
      <alignment horizontal="center" vertical="center"/>
    </xf>
    <xf numFmtId="0" fontId="44" fillId="3" borderId="2" xfId="0" applyFont="1" applyFill="1" applyBorder="1" applyAlignment="1">
      <alignment horizontal="center" vertical="center" wrapText="1"/>
    </xf>
    <xf numFmtId="165" fontId="82" fillId="0" borderId="83" xfId="0" applyNumberFormat="1" applyFont="1" applyBorder="1" applyAlignment="1">
      <alignment horizontal="center" vertical="center"/>
    </xf>
    <xf numFmtId="165" fontId="82" fillId="0" borderId="31" xfId="0" applyNumberFormat="1" applyFont="1" applyBorder="1" applyAlignment="1">
      <alignment horizontal="center" vertical="center"/>
    </xf>
    <xf numFmtId="165" fontId="3" fillId="0" borderId="94" xfId="0" applyNumberFormat="1" applyFont="1" applyBorder="1" applyAlignment="1">
      <alignment horizontal="center" vertical="center"/>
    </xf>
    <xf numFmtId="165" fontId="3" fillId="0" borderId="93" xfId="0" applyNumberFormat="1" applyFont="1" applyBorder="1" applyAlignment="1">
      <alignment horizontal="center" vertical="center"/>
    </xf>
    <xf numFmtId="169" fontId="18" fillId="0" borderId="93" xfId="0" applyNumberFormat="1" applyFont="1" applyBorder="1" applyAlignment="1">
      <alignment horizontal="center" vertical="center"/>
    </xf>
    <xf numFmtId="169" fontId="0" fillId="0" borderId="31" xfId="0" applyNumberFormat="1" applyBorder="1" applyAlignment="1">
      <alignment horizontal="center" vertical="center"/>
    </xf>
    <xf numFmtId="169" fontId="2" fillId="0" borderId="83" xfId="0" applyNumberFormat="1" applyFont="1" applyBorder="1" applyAlignment="1">
      <alignment horizontal="center" vertical="center"/>
    </xf>
    <xf numFmtId="169" fontId="2" fillId="0" borderId="93" xfId="0" applyNumberFormat="1" applyFont="1" applyBorder="1" applyAlignment="1">
      <alignment horizontal="center" vertical="center"/>
    </xf>
    <xf numFmtId="169" fontId="2" fillId="0" borderId="31" xfId="0" applyNumberFormat="1" applyFont="1" applyBorder="1" applyAlignment="1">
      <alignment horizontal="center" vertical="center"/>
    </xf>
    <xf numFmtId="0" fontId="49" fillId="3" borderId="55" xfId="0" applyFont="1" applyFill="1" applyBorder="1" applyAlignment="1">
      <alignment horizontal="center" vertical="center"/>
    </xf>
    <xf numFmtId="0" fontId="82" fillId="0" borderId="0" xfId="0" applyFont="1" applyAlignment="1">
      <alignment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3</xdr:col>
      <xdr:colOff>847724</xdr:colOff>
      <xdr:row>7</xdr:row>
      <xdr:rowOff>177165</xdr:rowOff>
    </xdr:from>
    <xdr:to>
      <xdr:col>6</xdr:col>
      <xdr:colOff>45720</xdr:colOff>
      <xdr:row>8</xdr:row>
      <xdr:rowOff>160020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40304" y="1510665"/>
          <a:ext cx="1263016" cy="15811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Longitudinal Length of Structure </a:t>
          </a:r>
          <a:r>
            <a:rPr lang="en-US" sz="800" baseline="0"/>
            <a:t>"L"</a:t>
          </a:r>
          <a:endParaRPr lang="en-US" sz="800"/>
        </a:p>
      </xdr:txBody>
    </xdr:sp>
    <xdr:clientData/>
  </xdr:twoCellAnchor>
  <xdr:twoCellAnchor>
    <xdr:from>
      <xdr:col>4</xdr:col>
      <xdr:colOff>249826</xdr:colOff>
      <xdr:row>11</xdr:row>
      <xdr:rowOff>103142</xdr:rowOff>
    </xdr:from>
    <xdr:to>
      <xdr:col>5</xdr:col>
      <xdr:colOff>486047</xdr:colOff>
      <xdr:row>13</xdr:row>
      <xdr:rowOff>87902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688226" y="2114822"/>
          <a:ext cx="845821" cy="3200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Fill Depth @</a:t>
          </a:r>
          <a:r>
            <a:rPr lang="en-US" sz="800" baseline="0"/>
            <a:t> CL of Roadway "H</a:t>
          </a:r>
          <a:r>
            <a:rPr lang="en-US" sz="800" baseline="-25000"/>
            <a:t>1</a:t>
          </a:r>
          <a:r>
            <a:rPr lang="en-US" sz="800" baseline="0"/>
            <a:t>"</a:t>
          </a:r>
          <a:endParaRPr lang="en-US" sz="800"/>
        </a:p>
      </xdr:txBody>
    </xdr:sp>
    <xdr:clientData/>
  </xdr:twoCellAnchor>
  <xdr:twoCellAnchor>
    <xdr:from>
      <xdr:col>3</xdr:col>
      <xdr:colOff>843280</xdr:colOff>
      <xdr:row>17</xdr:row>
      <xdr:rowOff>3810</xdr:rowOff>
    </xdr:from>
    <xdr:to>
      <xdr:col>3</xdr:col>
      <xdr:colOff>1163320</xdr:colOff>
      <xdr:row>18</xdr:row>
      <xdr:rowOff>3810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435860" y="3021330"/>
          <a:ext cx="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c</a:t>
          </a:r>
        </a:p>
      </xdr:txBody>
    </xdr:sp>
    <xdr:clientData/>
  </xdr:twoCellAnchor>
  <xdr:twoCellAnchor>
    <xdr:from>
      <xdr:col>3</xdr:col>
      <xdr:colOff>978535</xdr:colOff>
      <xdr:row>15</xdr:row>
      <xdr:rowOff>48895</xdr:rowOff>
    </xdr:from>
    <xdr:to>
      <xdr:col>3</xdr:col>
      <xdr:colOff>1186181</xdr:colOff>
      <xdr:row>16</xdr:row>
      <xdr:rowOff>48895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041775" y="2868295"/>
          <a:ext cx="207646" cy="19050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a:t>
          </a:r>
          <a:endParaRPr lang="en-US" sz="900" baseline="-25000"/>
        </a:p>
      </xdr:txBody>
    </xdr:sp>
    <xdr:clientData/>
  </xdr:twoCellAnchor>
  <xdr:twoCellAnchor>
    <xdr:from>
      <xdr:col>6</xdr:col>
      <xdr:colOff>38100</xdr:colOff>
      <xdr:row>16</xdr:row>
      <xdr:rowOff>137160</xdr:rowOff>
    </xdr:from>
    <xdr:to>
      <xdr:col>6</xdr:col>
      <xdr:colOff>297180</xdr:colOff>
      <xdr:row>17</xdr:row>
      <xdr:rowOff>160020</xdr:rowOff>
    </xdr:to>
    <xdr:sp macro="" textlink="">
      <xdr:nvSpPr>
        <xdr:cNvPr id="25901" name="Oval 366">
          <a:extLst>
            <a:ext uri="{FF2B5EF4-FFF2-40B4-BE49-F238E27FC236}">
              <a16:creationId xmlns:a16="http://schemas.microsoft.com/office/drawing/2014/main" id="{00000000-0008-0000-0000-00002D650000}"/>
            </a:ext>
          </a:extLst>
        </xdr:cNvPr>
        <xdr:cNvSpPr>
          <a:spLocks noChangeArrowheads="1"/>
        </xdr:cNvSpPr>
      </xdr:nvSpPr>
      <xdr:spPr bwMode="auto">
        <a:xfrm>
          <a:off x="5913120" y="3147060"/>
          <a:ext cx="259080" cy="213360"/>
        </a:xfrm>
        <a:prstGeom prst="ellipse">
          <a:avLst/>
        </a:prstGeom>
        <a:solidFill>
          <a:srgbClr val="FFFFFF"/>
        </a:solidFill>
        <a:ln w="3175" algn="ctr">
          <a:solidFill>
            <a:srgbClr val="000000"/>
          </a:solidFill>
          <a:round/>
          <a:headEnd/>
          <a:tailEnd/>
        </a:ln>
      </xdr:spPr>
    </xdr:sp>
    <xdr:clientData/>
  </xdr:twoCellAnchor>
  <xdr:twoCellAnchor>
    <xdr:from>
      <xdr:col>5</xdr:col>
      <xdr:colOff>106045</xdr:colOff>
      <xdr:row>13</xdr:row>
      <xdr:rowOff>97155</xdr:rowOff>
    </xdr:from>
    <xdr:to>
      <xdr:col>5</xdr:col>
      <xdr:colOff>327025</xdr:colOff>
      <xdr:row>14</xdr:row>
      <xdr:rowOff>97155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154045" y="2444115"/>
          <a:ext cx="22098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a:t>
          </a:r>
        </a:p>
      </xdr:txBody>
    </xdr:sp>
    <xdr:clientData/>
  </xdr:twoCellAnchor>
  <xdr:twoCellAnchor>
    <xdr:from>
      <xdr:col>5</xdr:col>
      <xdr:colOff>115570</xdr:colOff>
      <xdr:row>17</xdr:row>
      <xdr:rowOff>85725</xdr:rowOff>
    </xdr:from>
    <xdr:to>
      <xdr:col>5</xdr:col>
      <xdr:colOff>336550</xdr:colOff>
      <xdr:row>18</xdr:row>
      <xdr:rowOff>85725</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63570" y="3103245"/>
          <a:ext cx="22098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a:t>
          </a:r>
        </a:p>
      </xdr:txBody>
    </xdr:sp>
    <xdr:clientData/>
  </xdr:twoCellAnchor>
  <xdr:twoCellAnchor>
    <xdr:from>
      <xdr:col>4</xdr:col>
      <xdr:colOff>571500</xdr:colOff>
      <xdr:row>15</xdr:row>
      <xdr:rowOff>74295</xdr:rowOff>
    </xdr:from>
    <xdr:to>
      <xdr:col>4</xdr:col>
      <xdr:colOff>792480</xdr:colOff>
      <xdr:row>16</xdr:row>
      <xdr:rowOff>74295</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009900" y="2756535"/>
          <a:ext cx="3810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1</xdr:col>
      <xdr:colOff>57150</xdr:colOff>
      <xdr:row>9</xdr:row>
      <xdr:rowOff>184785</xdr:rowOff>
    </xdr:from>
    <xdr:to>
      <xdr:col>1</xdr:col>
      <xdr:colOff>314325</xdr:colOff>
      <xdr:row>11</xdr:row>
      <xdr:rowOff>22860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666750" y="1845945"/>
          <a:ext cx="257175" cy="18859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2</xdr:col>
      <xdr:colOff>146685</xdr:colOff>
      <xdr:row>7</xdr:row>
      <xdr:rowOff>60325</xdr:rowOff>
    </xdr:from>
    <xdr:to>
      <xdr:col>2</xdr:col>
      <xdr:colOff>403860</xdr:colOff>
      <xdr:row>8</xdr:row>
      <xdr:rowOff>34290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365885" y="1401445"/>
          <a:ext cx="257175" cy="14160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S</a:t>
          </a:r>
        </a:p>
      </xdr:txBody>
    </xdr:sp>
    <xdr:clientData/>
  </xdr:twoCellAnchor>
  <xdr:twoCellAnchor>
    <xdr:from>
      <xdr:col>2</xdr:col>
      <xdr:colOff>2301240</xdr:colOff>
      <xdr:row>10</xdr:row>
      <xdr:rowOff>213360</xdr:rowOff>
    </xdr:from>
    <xdr:to>
      <xdr:col>2</xdr:col>
      <xdr:colOff>1996440</xdr:colOff>
      <xdr:row>10</xdr:row>
      <xdr:rowOff>213360</xdr:rowOff>
    </xdr:to>
    <xdr:cxnSp macro="">
      <xdr:nvCxnSpPr>
        <xdr:cNvPr id="25907" name="Straight Connector 59">
          <a:extLst>
            <a:ext uri="{FF2B5EF4-FFF2-40B4-BE49-F238E27FC236}">
              <a16:creationId xmlns:a16="http://schemas.microsoft.com/office/drawing/2014/main" id="{00000000-0008-0000-0000-000033650000}"/>
            </a:ext>
          </a:extLst>
        </xdr:cNvPr>
        <xdr:cNvCxnSpPr>
          <a:cxnSpLocks noChangeShapeType="1"/>
        </xdr:cNvCxnSpPr>
      </xdr:nvCxnSpPr>
      <xdr:spPr bwMode="auto">
        <a:xfrm rot="10800000">
          <a:off x="3063240" y="2057400"/>
          <a:ext cx="0" cy="0"/>
        </a:xfrm>
        <a:prstGeom prst="line">
          <a:avLst/>
        </a:prstGeom>
        <a:noFill/>
        <a:ln w="3175" algn="ctr">
          <a:solidFill>
            <a:srgbClr val="000000"/>
          </a:solidFill>
          <a:round/>
          <a:headEnd/>
          <a:tailEnd/>
        </a:ln>
      </xdr:spPr>
    </xdr:cxnSp>
    <xdr:clientData/>
  </xdr:twoCellAnchor>
  <xdr:twoCellAnchor>
    <xdr:from>
      <xdr:col>2</xdr:col>
      <xdr:colOff>2301240</xdr:colOff>
      <xdr:row>11</xdr:row>
      <xdr:rowOff>76200</xdr:rowOff>
    </xdr:from>
    <xdr:to>
      <xdr:col>2</xdr:col>
      <xdr:colOff>1996440</xdr:colOff>
      <xdr:row>11</xdr:row>
      <xdr:rowOff>76200</xdr:rowOff>
    </xdr:to>
    <xdr:cxnSp macro="">
      <xdr:nvCxnSpPr>
        <xdr:cNvPr id="25908" name="Straight Connector 63">
          <a:extLst>
            <a:ext uri="{FF2B5EF4-FFF2-40B4-BE49-F238E27FC236}">
              <a16:creationId xmlns:a16="http://schemas.microsoft.com/office/drawing/2014/main" id="{00000000-0008-0000-0000-000034650000}"/>
            </a:ext>
          </a:extLst>
        </xdr:cNvPr>
        <xdr:cNvCxnSpPr>
          <a:cxnSpLocks noChangeShapeType="1"/>
        </xdr:cNvCxnSpPr>
      </xdr:nvCxnSpPr>
      <xdr:spPr bwMode="auto">
        <a:xfrm>
          <a:off x="3063240" y="2133600"/>
          <a:ext cx="0" cy="0"/>
        </a:xfrm>
        <a:prstGeom prst="line">
          <a:avLst/>
        </a:prstGeom>
        <a:noFill/>
        <a:ln w="3175" algn="ctr">
          <a:solidFill>
            <a:srgbClr val="000000"/>
          </a:solidFill>
          <a:round/>
          <a:headEnd/>
          <a:tailEnd/>
        </a:ln>
      </xdr:spPr>
    </xdr:cxnSp>
    <xdr:clientData/>
  </xdr:twoCellAnchor>
  <xdr:twoCellAnchor>
    <xdr:from>
      <xdr:col>1</xdr:col>
      <xdr:colOff>569666</xdr:colOff>
      <xdr:row>8</xdr:row>
      <xdr:rowOff>187126</xdr:rowOff>
    </xdr:from>
    <xdr:to>
      <xdr:col>2</xdr:col>
      <xdr:colOff>912566</xdr:colOff>
      <xdr:row>15</xdr:row>
      <xdr:rowOff>129277</xdr:rowOff>
    </xdr:to>
    <xdr:sp macro="" textlink="">
      <xdr:nvSpPr>
        <xdr:cNvPr id="15" name="Chord 14">
          <a:extLst>
            <a:ext uri="{FF2B5EF4-FFF2-40B4-BE49-F238E27FC236}">
              <a16:creationId xmlns:a16="http://schemas.microsoft.com/office/drawing/2014/main" id="{00000000-0008-0000-0000-00000F000000}"/>
            </a:ext>
          </a:extLst>
        </xdr:cNvPr>
        <xdr:cNvSpPr/>
      </xdr:nvSpPr>
      <xdr:spPr bwMode="auto">
        <a:xfrm rot="5400000">
          <a:off x="933870" y="1918422"/>
          <a:ext cx="1138491" cy="647700"/>
        </a:xfrm>
        <a:prstGeom prst="chord">
          <a:avLst>
            <a:gd name="adj1" fmla="val 5400845"/>
            <a:gd name="adj2" fmla="val 1620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2</xdr:col>
      <xdr:colOff>746760</xdr:colOff>
      <xdr:row>11</xdr:row>
      <xdr:rowOff>154305</xdr:rowOff>
    </xdr:from>
    <xdr:to>
      <xdr:col>2</xdr:col>
      <xdr:colOff>849630</xdr:colOff>
      <xdr:row>11</xdr:row>
      <xdr:rowOff>154305</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bwMode="auto">
        <a:xfrm>
          <a:off x="1828800" y="2165985"/>
          <a:ext cx="0" cy="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853440</xdr:colOff>
      <xdr:row>11</xdr:row>
      <xdr:rowOff>152400</xdr:rowOff>
    </xdr:from>
    <xdr:to>
      <xdr:col>2</xdr:col>
      <xdr:colOff>853440</xdr:colOff>
      <xdr:row>12</xdr:row>
      <xdr:rowOff>60960</xdr:rowOff>
    </xdr:to>
    <xdr:cxnSp macro="">
      <xdr:nvCxnSpPr>
        <xdr:cNvPr id="25911" name="Straight Connector 11">
          <a:extLst>
            <a:ext uri="{FF2B5EF4-FFF2-40B4-BE49-F238E27FC236}">
              <a16:creationId xmlns:a16="http://schemas.microsoft.com/office/drawing/2014/main" id="{00000000-0008-0000-0000-000037650000}"/>
            </a:ext>
          </a:extLst>
        </xdr:cNvPr>
        <xdr:cNvCxnSpPr>
          <a:cxnSpLocks noChangeShapeType="1"/>
        </xdr:cNvCxnSpPr>
      </xdr:nvCxnSpPr>
      <xdr:spPr bwMode="auto">
        <a:xfrm rot="5400000">
          <a:off x="1870710" y="2259330"/>
          <a:ext cx="99060" cy="0"/>
        </a:xfrm>
        <a:prstGeom prst="line">
          <a:avLst/>
        </a:prstGeom>
        <a:noFill/>
        <a:ln w="6350" algn="ctr">
          <a:solidFill>
            <a:srgbClr val="000000"/>
          </a:solidFill>
          <a:round/>
          <a:headEnd/>
          <a:tailEnd/>
        </a:ln>
      </xdr:spPr>
    </xdr:cxnSp>
    <xdr:clientData/>
  </xdr:twoCellAnchor>
  <xdr:twoCellAnchor>
    <xdr:from>
      <xdr:col>2</xdr:col>
      <xdr:colOff>845820</xdr:colOff>
      <xdr:row>12</xdr:row>
      <xdr:rowOff>60960</xdr:rowOff>
    </xdr:from>
    <xdr:to>
      <xdr:col>2</xdr:col>
      <xdr:colOff>967740</xdr:colOff>
      <xdr:row>12</xdr:row>
      <xdr:rowOff>60960</xdr:rowOff>
    </xdr:to>
    <xdr:cxnSp macro="">
      <xdr:nvCxnSpPr>
        <xdr:cNvPr id="25912" name="Straight Connector 13">
          <a:extLst>
            <a:ext uri="{FF2B5EF4-FFF2-40B4-BE49-F238E27FC236}">
              <a16:creationId xmlns:a16="http://schemas.microsoft.com/office/drawing/2014/main" id="{00000000-0008-0000-0000-000038650000}"/>
            </a:ext>
          </a:extLst>
        </xdr:cNvPr>
        <xdr:cNvCxnSpPr>
          <a:cxnSpLocks noChangeShapeType="1"/>
        </xdr:cNvCxnSpPr>
      </xdr:nvCxnSpPr>
      <xdr:spPr bwMode="auto">
        <a:xfrm>
          <a:off x="1912620" y="2308860"/>
          <a:ext cx="121920" cy="0"/>
        </a:xfrm>
        <a:prstGeom prst="line">
          <a:avLst/>
        </a:prstGeom>
        <a:noFill/>
        <a:ln w="6350" algn="ctr">
          <a:solidFill>
            <a:srgbClr val="000000"/>
          </a:solidFill>
          <a:round/>
          <a:headEnd/>
          <a:tailEnd/>
        </a:ln>
      </xdr:spPr>
    </xdr:cxnSp>
    <xdr:clientData/>
  </xdr:twoCellAnchor>
  <xdr:twoCellAnchor>
    <xdr:from>
      <xdr:col>2</xdr:col>
      <xdr:colOff>967740</xdr:colOff>
      <xdr:row>11</xdr:row>
      <xdr:rowOff>152400</xdr:rowOff>
    </xdr:from>
    <xdr:to>
      <xdr:col>2</xdr:col>
      <xdr:colOff>967740</xdr:colOff>
      <xdr:row>12</xdr:row>
      <xdr:rowOff>60960</xdr:rowOff>
    </xdr:to>
    <xdr:cxnSp macro="">
      <xdr:nvCxnSpPr>
        <xdr:cNvPr id="25913" name="Straight Connector 17">
          <a:extLst>
            <a:ext uri="{FF2B5EF4-FFF2-40B4-BE49-F238E27FC236}">
              <a16:creationId xmlns:a16="http://schemas.microsoft.com/office/drawing/2014/main" id="{00000000-0008-0000-0000-000039650000}"/>
            </a:ext>
          </a:extLst>
        </xdr:cNvPr>
        <xdr:cNvCxnSpPr>
          <a:cxnSpLocks noChangeShapeType="1"/>
        </xdr:cNvCxnSpPr>
      </xdr:nvCxnSpPr>
      <xdr:spPr bwMode="auto">
        <a:xfrm rot="5400000" flipH="1" flipV="1">
          <a:off x="1985010" y="2259330"/>
          <a:ext cx="99060" cy="0"/>
        </a:xfrm>
        <a:prstGeom prst="line">
          <a:avLst/>
        </a:prstGeom>
        <a:noFill/>
        <a:ln w="6350" algn="ctr">
          <a:solidFill>
            <a:srgbClr val="000000"/>
          </a:solidFill>
          <a:round/>
          <a:headEnd/>
          <a:tailEnd/>
        </a:ln>
      </xdr:spPr>
    </xdr:cxnSp>
    <xdr:clientData/>
  </xdr:twoCellAnchor>
  <xdr:twoCellAnchor>
    <xdr:from>
      <xdr:col>2</xdr:col>
      <xdr:colOff>967740</xdr:colOff>
      <xdr:row>11</xdr:row>
      <xdr:rowOff>152400</xdr:rowOff>
    </xdr:from>
    <xdr:to>
      <xdr:col>2</xdr:col>
      <xdr:colOff>1059180</xdr:colOff>
      <xdr:row>11</xdr:row>
      <xdr:rowOff>152400</xdr:rowOff>
    </xdr:to>
    <xdr:cxnSp macro="">
      <xdr:nvCxnSpPr>
        <xdr:cNvPr id="25914" name="Straight Connector 19">
          <a:extLst>
            <a:ext uri="{FF2B5EF4-FFF2-40B4-BE49-F238E27FC236}">
              <a16:creationId xmlns:a16="http://schemas.microsoft.com/office/drawing/2014/main" id="{00000000-0008-0000-0000-00003A650000}"/>
            </a:ext>
          </a:extLst>
        </xdr:cNvPr>
        <xdr:cNvCxnSpPr>
          <a:cxnSpLocks noChangeShapeType="1"/>
        </xdr:cNvCxnSpPr>
      </xdr:nvCxnSpPr>
      <xdr:spPr bwMode="auto">
        <a:xfrm>
          <a:off x="2034540" y="2209800"/>
          <a:ext cx="91440" cy="0"/>
        </a:xfrm>
        <a:prstGeom prst="line">
          <a:avLst/>
        </a:prstGeom>
        <a:noFill/>
        <a:ln w="6350" algn="ctr">
          <a:solidFill>
            <a:srgbClr val="000000"/>
          </a:solidFill>
          <a:round/>
          <a:headEnd/>
          <a:tailEnd/>
        </a:ln>
      </xdr:spPr>
    </xdr:cxnSp>
    <xdr:clientData/>
  </xdr:twoCellAnchor>
  <xdr:twoCellAnchor>
    <xdr:from>
      <xdr:col>2</xdr:col>
      <xdr:colOff>1059180</xdr:colOff>
      <xdr:row>11</xdr:row>
      <xdr:rowOff>152400</xdr:rowOff>
    </xdr:from>
    <xdr:to>
      <xdr:col>2</xdr:col>
      <xdr:colOff>1059180</xdr:colOff>
      <xdr:row>12</xdr:row>
      <xdr:rowOff>144780</xdr:rowOff>
    </xdr:to>
    <xdr:cxnSp macro="">
      <xdr:nvCxnSpPr>
        <xdr:cNvPr id="25915" name="Straight Connector 25">
          <a:extLst>
            <a:ext uri="{FF2B5EF4-FFF2-40B4-BE49-F238E27FC236}">
              <a16:creationId xmlns:a16="http://schemas.microsoft.com/office/drawing/2014/main" id="{00000000-0008-0000-0000-00003B650000}"/>
            </a:ext>
          </a:extLst>
        </xdr:cNvPr>
        <xdr:cNvCxnSpPr>
          <a:cxnSpLocks noChangeShapeType="1"/>
        </xdr:cNvCxnSpPr>
      </xdr:nvCxnSpPr>
      <xdr:spPr bwMode="auto">
        <a:xfrm rot="5400000">
          <a:off x="2034540" y="2301240"/>
          <a:ext cx="182880" cy="0"/>
        </a:xfrm>
        <a:prstGeom prst="line">
          <a:avLst/>
        </a:prstGeom>
        <a:noFill/>
        <a:ln w="6350" algn="ctr">
          <a:solidFill>
            <a:srgbClr val="000000"/>
          </a:solidFill>
          <a:round/>
          <a:headEnd/>
          <a:tailEnd/>
        </a:ln>
      </xdr:spPr>
    </xdr:cxnSp>
    <xdr:clientData/>
  </xdr:twoCellAnchor>
  <xdr:twoCellAnchor>
    <xdr:from>
      <xdr:col>2</xdr:col>
      <xdr:colOff>746760</xdr:colOff>
      <xdr:row>12</xdr:row>
      <xdr:rowOff>144780</xdr:rowOff>
    </xdr:from>
    <xdr:to>
      <xdr:col>2</xdr:col>
      <xdr:colOff>1059180</xdr:colOff>
      <xdr:row>12</xdr:row>
      <xdr:rowOff>144780</xdr:rowOff>
    </xdr:to>
    <xdr:cxnSp macro="">
      <xdr:nvCxnSpPr>
        <xdr:cNvPr id="25916" name="Straight Connector 27">
          <a:extLst>
            <a:ext uri="{FF2B5EF4-FFF2-40B4-BE49-F238E27FC236}">
              <a16:creationId xmlns:a16="http://schemas.microsoft.com/office/drawing/2014/main" id="{00000000-0008-0000-0000-00003C650000}"/>
            </a:ext>
          </a:extLst>
        </xdr:cNvPr>
        <xdr:cNvCxnSpPr>
          <a:cxnSpLocks noChangeShapeType="1"/>
        </xdr:cNvCxnSpPr>
      </xdr:nvCxnSpPr>
      <xdr:spPr bwMode="auto">
        <a:xfrm rot="10800000">
          <a:off x="1813560" y="2392680"/>
          <a:ext cx="312420" cy="0"/>
        </a:xfrm>
        <a:prstGeom prst="line">
          <a:avLst/>
        </a:prstGeom>
        <a:noFill/>
        <a:ln w="6350" algn="ctr">
          <a:solidFill>
            <a:srgbClr val="000000"/>
          </a:solidFill>
          <a:round/>
          <a:headEnd/>
          <a:tailEnd/>
        </a:ln>
      </xdr:spPr>
    </xdr:cxnSp>
    <xdr:clientData/>
  </xdr:twoCellAnchor>
  <xdr:twoCellAnchor>
    <xdr:from>
      <xdr:col>2</xdr:col>
      <xdr:colOff>746760</xdr:colOff>
      <xdr:row>11</xdr:row>
      <xdr:rowOff>152400</xdr:rowOff>
    </xdr:from>
    <xdr:to>
      <xdr:col>2</xdr:col>
      <xdr:colOff>746760</xdr:colOff>
      <xdr:row>12</xdr:row>
      <xdr:rowOff>144780</xdr:rowOff>
    </xdr:to>
    <xdr:cxnSp macro="">
      <xdr:nvCxnSpPr>
        <xdr:cNvPr id="25917" name="Straight Connector 29">
          <a:extLst>
            <a:ext uri="{FF2B5EF4-FFF2-40B4-BE49-F238E27FC236}">
              <a16:creationId xmlns:a16="http://schemas.microsoft.com/office/drawing/2014/main" id="{00000000-0008-0000-0000-00003D650000}"/>
            </a:ext>
          </a:extLst>
        </xdr:cNvPr>
        <xdr:cNvCxnSpPr>
          <a:cxnSpLocks noChangeShapeType="1"/>
        </xdr:cNvCxnSpPr>
      </xdr:nvCxnSpPr>
      <xdr:spPr bwMode="auto">
        <a:xfrm rot="5400000" flipH="1" flipV="1">
          <a:off x="1722120" y="2301240"/>
          <a:ext cx="182880" cy="0"/>
        </a:xfrm>
        <a:prstGeom prst="line">
          <a:avLst/>
        </a:prstGeom>
        <a:noFill/>
        <a:ln w="6350" algn="ctr">
          <a:solidFill>
            <a:srgbClr val="000000"/>
          </a:solidFill>
          <a:round/>
          <a:headEnd/>
          <a:tailEnd/>
        </a:ln>
      </xdr:spPr>
    </xdr:cxnSp>
    <xdr:clientData/>
  </xdr:twoCellAnchor>
  <xdr:twoCellAnchor>
    <xdr:from>
      <xdr:col>1</xdr:col>
      <xdr:colOff>403860</xdr:colOff>
      <xdr:row>11</xdr:row>
      <xdr:rowOff>158115</xdr:rowOff>
    </xdr:from>
    <xdr:to>
      <xdr:col>1</xdr:col>
      <xdr:colOff>506730</xdr:colOff>
      <xdr:row>11</xdr:row>
      <xdr:rowOff>158115</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bwMode="auto">
        <a:xfrm>
          <a:off x="1013460" y="2169795"/>
          <a:ext cx="102870" cy="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502920</xdr:colOff>
      <xdr:row>11</xdr:row>
      <xdr:rowOff>160020</xdr:rowOff>
    </xdr:from>
    <xdr:to>
      <xdr:col>1</xdr:col>
      <xdr:colOff>502920</xdr:colOff>
      <xdr:row>12</xdr:row>
      <xdr:rowOff>68580</xdr:rowOff>
    </xdr:to>
    <xdr:cxnSp macro="">
      <xdr:nvCxnSpPr>
        <xdr:cNvPr id="25919" name="Straight Connector 75">
          <a:extLst>
            <a:ext uri="{FF2B5EF4-FFF2-40B4-BE49-F238E27FC236}">
              <a16:creationId xmlns:a16="http://schemas.microsoft.com/office/drawing/2014/main" id="{00000000-0008-0000-0000-00003F650000}"/>
            </a:ext>
          </a:extLst>
        </xdr:cNvPr>
        <xdr:cNvCxnSpPr>
          <a:cxnSpLocks noChangeShapeType="1"/>
        </xdr:cNvCxnSpPr>
      </xdr:nvCxnSpPr>
      <xdr:spPr bwMode="auto">
        <a:xfrm rot="5400000">
          <a:off x="575310" y="2266950"/>
          <a:ext cx="99060" cy="0"/>
        </a:xfrm>
        <a:prstGeom prst="line">
          <a:avLst/>
        </a:prstGeom>
        <a:noFill/>
        <a:ln w="6350" algn="ctr">
          <a:solidFill>
            <a:srgbClr val="000000"/>
          </a:solidFill>
          <a:round/>
          <a:headEnd/>
          <a:tailEnd/>
        </a:ln>
      </xdr:spPr>
    </xdr:cxnSp>
    <xdr:clientData/>
  </xdr:twoCellAnchor>
  <xdr:twoCellAnchor>
    <xdr:from>
      <xdr:col>1</xdr:col>
      <xdr:colOff>502920</xdr:colOff>
      <xdr:row>12</xdr:row>
      <xdr:rowOff>68580</xdr:rowOff>
    </xdr:from>
    <xdr:to>
      <xdr:col>1</xdr:col>
      <xdr:colOff>624840</xdr:colOff>
      <xdr:row>12</xdr:row>
      <xdr:rowOff>68580</xdr:rowOff>
    </xdr:to>
    <xdr:cxnSp macro="">
      <xdr:nvCxnSpPr>
        <xdr:cNvPr id="25920" name="Straight Connector 76">
          <a:extLst>
            <a:ext uri="{FF2B5EF4-FFF2-40B4-BE49-F238E27FC236}">
              <a16:creationId xmlns:a16="http://schemas.microsoft.com/office/drawing/2014/main" id="{00000000-0008-0000-0000-000040650000}"/>
            </a:ext>
          </a:extLst>
        </xdr:cNvPr>
        <xdr:cNvCxnSpPr>
          <a:cxnSpLocks noChangeShapeType="1"/>
        </xdr:cNvCxnSpPr>
      </xdr:nvCxnSpPr>
      <xdr:spPr bwMode="auto">
        <a:xfrm>
          <a:off x="624840" y="2316480"/>
          <a:ext cx="121920" cy="0"/>
        </a:xfrm>
        <a:prstGeom prst="line">
          <a:avLst/>
        </a:prstGeom>
        <a:noFill/>
        <a:ln w="6350" algn="ctr">
          <a:solidFill>
            <a:srgbClr val="000000"/>
          </a:solidFill>
          <a:round/>
          <a:headEnd/>
          <a:tailEnd/>
        </a:ln>
      </xdr:spPr>
    </xdr:cxnSp>
    <xdr:clientData/>
  </xdr:twoCellAnchor>
  <xdr:twoCellAnchor>
    <xdr:from>
      <xdr:col>1</xdr:col>
      <xdr:colOff>624840</xdr:colOff>
      <xdr:row>11</xdr:row>
      <xdr:rowOff>160020</xdr:rowOff>
    </xdr:from>
    <xdr:to>
      <xdr:col>1</xdr:col>
      <xdr:colOff>624840</xdr:colOff>
      <xdr:row>12</xdr:row>
      <xdr:rowOff>68580</xdr:rowOff>
    </xdr:to>
    <xdr:cxnSp macro="">
      <xdr:nvCxnSpPr>
        <xdr:cNvPr id="25921" name="Straight Connector 77">
          <a:extLst>
            <a:ext uri="{FF2B5EF4-FFF2-40B4-BE49-F238E27FC236}">
              <a16:creationId xmlns:a16="http://schemas.microsoft.com/office/drawing/2014/main" id="{00000000-0008-0000-0000-000041650000}"/>
            </a:ext>
          </a:extLst>
        </xdr:cNvPr>
        <xdr:cNvCxnSpPr>
          <a:cxnSpLocks noChangeShapeType="1"/>
        </xdr:cNvCxnSpPr>
      </xdr:nvCxnSpPr>
      <xdr:spPr bwMode="auto">
        <a:xfrm rot="5400000" flipH="1" flipV="1">
          <a:off x="697230" y="2266950"/>
          <a:ext cx="99060" cy="0"/>
        </a:xfrm>
        <a:prstGeom prst="line">
          <a:avLst/>
        </a:prstGeom>
        <a:noFill/>
        <a:ln w="6350" algn="ctr">
          <a:solidFill>
            <a:srgbClr val="000000"/>
          </a:solidFill>
          <a:round/>
          <a:headEnd/>
          <a:tailEnd/>
        </a:ln>
      </xdr:spPr>
    </xdr:cxnSp>
    <xdr:clientData/>
  </xdr:twoCellAnchor>
  <xdr:twoCellAnchor>
    <xdr:from>
      <xdr:col>1</xdr:col>
      <xdr:colOff>624840</xdr:colOff>
      <xdr:row>11</xdr:row>
      <xdr:rowOff>160020</xdr:rowOff>
    </xdr:from>
    <xdr:to>
      <xdr:col>1</xdr:col>
      <xdr:colOff>716280</xdr:colOff>
      <xdr:row>11</xdr:row>
      <xdr:rowOff>160020</xdr:rowOff>
    </xdr:to>
    <xdr:cxnSp macro="">
      <xdr:nvCxnSpPr>
        <xdr:cNvPr id="25922" name="Straight Connector 78">
          <a:extLst>
            <a:ext uri="{FF2B5EF4-FFF2-40B4-BE49-F238E27FC236}">
              <a16:creationId xmlns:a16="http://schemas.microsoft.com/office/drawing/2014/main" id="{00000000-0008-0000-0000-000042650000}"/>
            </a:ext>
          </a:extLst>
        </xdr:cNvPr>
        <xdr:cNvCxnSpPr>
          <a:cxnSpLocks noChangeShapeType="1"/>
        </xdr:cNvCxnSpPr>
      </xdr:nvCxnSpPr>
      <xdr:spPr bwMode="auto">
        <a:xfrm>
          <a:off x="746760" y="2217420"/>
          <a:ext cx="91440" cy="0"/>
        </a:xfrm>
        <a:prstGeom prst="line">
          <a:avLst/>
        </a:prstGeom>
        <a:noFill/>
        <a:ln w="6350" algn="ctr">
          <a:solidFill>
            <a:srgbClr val="000000"/>
          </a:solidFill>
          <a:round/>
          <a:headEnd/>
          <a:tailEnd/>
        </a:ln>
      </xdr:spPr>
    </xdr:cxnSp>
    <xdr:clientData/>
  </xdr:twoCellAnchor>
  <xdr:twoCellAnchor>
    <xdr:from>
      <xdr:col>1</xdr:col>
      <xdr:colOff>716280</xdr:colOff>
      <xdr:row>11</xdr:row>
      <xdr:rowOff>160020</xdr:rowOff>
    </xdr:from>
    <xdr:to>
      <xdr:col>1</xdr:col>
      <xdr:colOff>716280</xdr:colOff>
      <xdr:row>12</xdr:row>
      <xdr:rowOff>152400</xdr:rowOff>
    </xdr:to>
    <xdr:cxnSp macro="">
      <xdr:nvCxnSpPr>
        <xdr:cNvPr id="25923" name="Straight Connector 79">
          <a:extLst>
            <a:ext uri="{FF2B5EF4-FFF2-40B4-BE49-F238E27FC236}">
              <a16:creationId xmlns:a16="http://schemas.microsoft.com/office/drawing/2014/main" id="{00000000-0008-0000-0000-000043650000}"/>
            </a:ext>
          </a:extLst>
        </xdr:cNvPr>
        <xdr:cNvCxnSpPr>
          <a:cxnSpLocks noChangeShapeType="1"/>
        </xdr:cNvCxnSpPr>
      </xdr:nvCxnSpPr>
      <xdr:spPr bwMode="auto">
        <a:xfrm rot="5400000">
          <a:off x="746760" y="2308860"/>
          <a:ext cx="182880" cy="0"/>
        </a:xfrm>
        <a:prstGeom prst="line">
          <a:avLst/>
        </a:prstGeom>
        <a:noFill/>
        <a:ln w="6350" algn="ctr">
          <a:solidFill>
            <a:srgbClr val="000000"/>
          </a:solidFill>
          <a:round/>
          <a:headEnd/>
          <a:tailEnd/>
        </a:ln>
      </xdr:spPr>
    </xdr:cxnSp>
    <xdr:clientData/>
  </xdr:twoCellAnchor>
  <xdr:twoCellAnchor>
    <xdr:from>
      <xdr:col>1</xdr:col>
      <xdr:colOff>403860</xdr:colOff>
      <xdr:row>12</xdr:row>
      <xdr:rowOff>152400</xdr:rowOff>
    </xdr:from>
    <xdr:to>
      <xdr:col>1</xdr:col>
      <xdr:colOff>716280</xdr:colOff>
      <xdr:row>12</xdr:row>
      <xdr:rowOff>152400</xdr:rowOff>
    </xdr:to>
    <xdr:cxnSp macro="">
      <xdr:nvCxnSpPr>
        <xdr:cNvPr id="25924" name="Straight Connector 80">
          <a:extLst>
            <a:ext uri="{FF2B5EF4-FFF2-40B4-BE49-F238E27FC236}">
              <a16:creationId xmlns:a16="http://schemas.microsoft.com/office/drawing/2014/main" id="{00000000-0008-0000-0000-000044650000}"/>
            </a:ext>
          </a:extLst>
        </xdr:cNvPr>
        <xdr:cNvCxnSpPr>
          <a:cxnSpLocks noChangeShapeType="1"/>
        </xdr:cNvCxnSpPr>
      </xdr:nvCxnSpPr>
      <xdr:spPr bwMode="auto">
        <a:xfrm rot="10800000">
          <a:off x="525780" y="2400300"/>
          <a:ext cx="312420" cy="0"/>
        </a:xfrm>
        <a:prstGeom prst="line">
          <a:avLst/>
        </a:prstGeom>
        <a:noFill/>
        <a:ln w="6350" algn="ctr">
          <a:solidFill>
            <a:srgbClr val="000000"/>
          </a:solidFill>
          <a:round/>
          <a:headEnd/>
          <a:tailEnd/>
        </a:ln>
      </xdr:spPr>
    </xdr:cxnSp>
    <xdr:clientData/>
  </xdr:twoCellAnchor>
  <xdr:twoCellAnchor>
    <xdr:from>
      <xdr:col>1</xdr:col>
      <xdr:colOff>403860</xdr:colOff>
      <xdr:row>11</xdr:row>
      <xdr:rowOff>160020</xdr:rowOff>
    </xdr:from>
    <xdr:to>
      <xdr:col>1</xdr:col>
      <xdr:colOff>403860</xdr:colOff>
      <xdr:row>12</xdr:row>
      <xdr:rowOff>152400</xdr:rowOff>
    </xdr:to>
    <xdr:cxnSp macro="">
      <xdr:nvCxnSpPr>
        <xdr:cNvPr id="25925" name="Straight Connector 81">
          <a:extLst>
            <a:ext uri="{FF2B5EF4-FFF2-40B4-BE49-F238E27FC236}">
              <a16:creationId xmlns:a16="http://schemas.microsoft.com/office/drawing/2014/main" id="{00000000-0008-0000-0000-000045650000}"/>
            </a:ext>
          </a:extLst>
        </xdr:cNvPr>
        <xdr:cNvCxnSpPr>
          <a:cxnSpLocks noChangeShapeType="1"/>
        </xdr:cNvCxnSpPr>
      </xdr:nvCxnSpPr>
      <xdr:spPr bwMode="auto">
        <a:xfrm rot="5400000" flipH="1" flipV="1">
          <a:off x="434340" y="2308860"/>
          <a:ext cx="182880" cy="0"/>
        </a:xfrm>
        <a:prstGeom prst="line">
          <a:avLst/>
        </a:prstGeom>
        <a:noFill/>
        <a:ln w="6350" algn="ctr">
          <a:solidFill>
            <a:srgbClr val="000000"/>
          </a:solidFill>
          <a:round/>
          <a:headEnd/>
          <a:tailEnd/>
        </a:ln>
      </xdr:spPr>
    </xdr:cxnSp>
    <xdr:clientData/>
  </xdr:twoCellAnchor>
  <xdr:twoCellAnchor>
    <xdr:from>
      <xdr:col>2</xdr:col>
      <xdr:colOff>38100</xdr:colOff>
      <xdr:row>12</xdr:row>
      <xdr:rowOff>60960</xdr:rowOff>
    </xdr:from>
    <xdr:to>
      <xdr:col>2</xdr:col>
      <xdr:colOff>99060</xdr:colOff>
      <xdr:row>12</xdr:row>
      <xdr:rowOff>160020</xdr:rowOff>
    </xdr:to>
    <xdr:cxnSp macro="">
      <xdr:nvCxnSpPr>
        <xdr:cNvPr id="25926" name="Straight Connector 90">
          <a:extLst>
            <a:ext uri="{FF2B5EF4-FFF2-40B4-BE49-F238E27FC236}">
              <a16:creationId xmlns:a16="http://schemas.microsoft.com/office/drawing/2014/main" id="{00000000-0008-0000-0000-000046650000}"/>
            </a:ext>
          </a:extLst>
        </xdr:cNvPr>
        <xdr:cNvCxnSpPr>
          <a:cxnSpLocks noChangeShapeType="1"/>
        </xdr:cNvCxnSpPr>
      </xdr:nvCxnSpPr>
      <xdr:spPr bwMode="auto">
        <a:xfrm rot="5400000">
          <a:off x="1085850" y="2327910"/>
          <a:ext cx="99060" cy="60960"/>
        </a:xfrm>
        <a:prstGeom prst="line">
          <a:avLst/>
        </a:prstGeom>
        <a:noFill/>
        <a:ln w="3175" algn="ctr">
          <a:solidFill>
            <a:srgbClr val="000000"/>
          </a:solidFill>
          <a:round/>
          <a:headEnd/>
          <a:tailEnd/>
        </a:ln>
      </xdr:spPr>
    </xdr:cxnSp>
    <xdr:clientData/>
  </xdr:twoCellAnchor>
  <xdr:twoCellAnchor>
    <xdr:from>
      <xdr:col>2</xdr:col>
      <xdr:colOff>68580</xdr:colOff>
      <xdr:row>12</xdr:row>
      <xdr:rowOff>60960</xdr:rowOff>
    </xdr:from>
    <xdr:to>
      <xdr:col>2</xdr:col>
      <xdr:colOff>121920</xdr:colOff>
      <xdr:row>12</xdr:row>
      <xdr:rowOff>152400</xdr:rowOff>
    </xdr:to>
    <xdr:cxnSp macro="">
      <xdr:nvCxnSpPr>
        <xdr:cNvPr id="25927" name="Straight Connector 92">
          <a:extLst>
            <a:ext uri="{FF2B5EF4-FFF2-40B4-BE49-F238E27FC236}">
              <a16:creationId xmlns:a16="http://schemas.microsoft.com/office/drawing/2014/main" id="{00000000-0008-0000-0000-000047650000}"/>
            </a:ext>
          </a:extLst>
        </xdr:cNvPr>
        <xdr:cNvCxnSpPr>
          <a:cxnSpLocks noChangeShapeType="1"/>
        </xdr:cNvCxnSpPr>
      </xdr:nvCxnSpPr>
      <xdr:spPr bwMode="auto">
        <a:xfrm rot="5400000">
          <a:off x="1116330" y="2327910"/>
          <a:ext cx="91440" cy="53340"/>
        </a:xfrm>
        <a:prstGeom prst="line">
          <a:avLst/>
        </a:prstGeom>
        <a:noFill/>
        <a:ln w="3175" algn="ctr">
          <a:solidFill>
            <a:srgbClr val="000000"/>
          </a:solidFill>
          <a:round/>
          <a:headEnd/>
          <a:tailEnd/>
        </a:ln>
      </xdr:spPr>
    </xdr:cxnSp>
    <xdr:clientData/>
  </xdr:twoCellAnchor>
  <xdr:twoCellAnchor>
    <xdr:from>
      <xdr:col>2</xdr:col>
      <xdr:colOff>91440</xdr:colOff>
      <xdr:row>12</xdr:row>
      <xdr:rowOff>68580</xdr:rowOff>
    </xdr:from>
    <xdr:to>
      <xdr:col>2</xdr:col>
      <xdr:colOff>144780</xdr:colOff>
      <xdr:row>12</xdr:row>
      <xdr:rowOff>160020</xdr:rowOff>
    </xdr:to>
    <xdr:cxnSp macro="">
      <xdr:nvCxnSpPr>
        <xdr:cNvPr id="25928" name="Straight Connector 93">
          <a:extLst>
            <a:ext uri="{FF2B5EF4-FFF2-40B4-BE49-F238E27FC236}">
              <a16:creationId xmlns:a16="http://schemas.microsoft.com/office/drawing/2014/main" id="{00000000-0008-0000-0000-000048650000}"/>
            </a:ext>
          </a:extLst>
        </xdr:cNvPr>
        <xdr:cNvCxnSpPr>
          <a:cxnSpLocks noChangeShapeType="1"/>
        </xdr:cNvCxnSpPr>
      </xdr:nvCxnSpPr>
      <xdr:spPr bwMode="auto">
        <a:xfrm rot="5400000">
          <a:off x="1139190" y="2335530"/>
          <a:ext cx="91440" cy="53340"/>
        </a:xfrm>
        <a:prstGeom prst="line">
          <a:avLst/>
        </a:prstGeom>
        <a:noFill/>
        <a:ln w="3175" algn="ctr">
          <a:solidFill>
            <a:srgbClr val="000000"/>
          </a:solidFill>
          <a:round/>
          <a:headEnd/>
          <a:tailEnd/>
        </a:ln>
      </xdr:spPr>
    </xdr:cxnSp>
    <xdr:clientData/>
  </xdr:twoCellAnchor>
  <xdr:twoCellAnchor>
    <xdr:from>
      <xdr:col>2</xdr:col>
      <xdr:colOff>114300</xdr:colOff>
      <xdr:row>12</xdr:row>
      <xdr:rowOff>68580</xdr:rowOff>
    </xdr:from>
    <xdr:to>
      <xdr:col>2</xdr:col>
      <xdr:colOff>175260</xdr:colOff>
      <xdr:row>12</xdr:row>
      <xdr:rowOff>160020</xdr:rowOff>
    </xdr:to>
    <xdr:cxnSp macro="">
      <xdr:nvCxnSpPr>
        <xdr:cNvPr id="25929" name="Straight Connector 94">
          <a:extLst>
            <a:ext uri="{FF2B5EF4-FFF2-40B4-BE49-F238E27FC236}">
              <a16:creationId xmlns:a16="http://schemas.microsoft.com/office/drawing/2014/main" id="{00000000-0008-0000-0000-000049650000}"/>
            </a:ext>
          </a:extLst>
        </xdr:cNvPr>
        <xdr:cNvCxnSpPr>
          <a:cxnSpLocks noChangeShapeType="1"/>
        </xdr:cNvCxnSpPr>
      </xdr:nvCxnSpPr>
      <xdr:spPr bwMode="auto">
        <a:xfrm rot="5400000">
          <a:off x="1165860" y="2331720"/>
          <a:ext cx="91440" cy="60960"/>
        </a:xfrm>
        <a:prstGeom prst="line">
          <a:avLst/>
        </a:prstGeom>
        <a:noFill/>
        <a:ln w="3175" algn="ctr">
          <a:solidFill>
            <a:srgbClr val="000000"/>
          </a:solidFill>
          <a:round/>
          <a:headEnd/>
          <a:tailEnd/>
        </a:ln>
      </xdr:spPr>
    </xdr:cxnSp>
    <xdr:clientData/>
  </xdr:twoCellAnchor>
  <xdr:twoCellAnchor>
    <xdr:from>
      <xdr:col>2</xdr:col>
      <xdr:colOff>236220</xdr:colOff>
      <xdr:row>12</xdr:row>
      <xdr:rowOff>60960</xdr:rowOff>
    </xdr:from>
    <xdr:to>
      <xdr:col>2</xdr:col>
      <xdr:colOff>289560</xdr:colOff>
      <xdr:row>12</xdr:row>
      <xdr:rowOff>160020</xdr:rowOff>
    </xdr:to>
    <xdr:cxnSp macro="">
      <xdr:nvCxnSpPr>
        <xdr:cNvPr id="25930" name="Straight Connector 99">
          <a:extLst>
            <a:ext uri="{FF2B5EF4-FFF2-40B4-BE49-F238E27FC236}">
              <a16:creationId xmlns:a16="http://schemas.microsoft.com/office/drawing/2014/main" id="{00000000-0008-0000-0000-00004A650000}"/>
            </a:ext>
          </a:extLst>
        </xdr:cNvPr>
        <xdr:cNvCxnSpPr>
          <a:cxnSpLocks noChangeShapeType="1"/>
        </xdr:cNvCxnSpPr>
      </xdr:nvCxnSpPr>
      <xdr:spPr bwMode="auto">
        <a:xfrm rot="5400000">
          <a:off x="1280160" y="2331720"/>
          <a:ext cx="99060" cy="53340"/>
        </a:xfrm>
        <a:prstGeom prst="line">
          <a:avLst/>
        </a:prstGeom>
        <a:noFill/>
        <a:ln w="3175" algn="ctr">
          <a:solidFill>
            <a:srgbClr val="000000"/>
          </a:solidFill>
          <a:round/>
          <a:headEnd/>
          <a:tailEnd/>
        </a:ln>
      </xdr:spPr>
    </xdr:cxnSp>
    <xdr:clientData/>
  </xdr:twoCellAnchor>
  <xdr:twoCellAnchor>
    <xdr:from>
      <xdr:col>2</xdr:col>
      <xdr:colOff>266700</xdr:colOff>
      <xdr:row>12</xdr:row>
      <xdr:rowOff>60960</xdr:rowOff>
    </xdr:from>
    <xdr:to>
      <xdr:col>2</xdr:col>
      <xdr:colOff>320040</xdr:colOff>
      <xdr:row>12</xdr:row>
      <xdr:rowOff>152400</xdr:rowOff>
    </xdr:to>
    <xdr:cxnSp macro="">
      <xdr:nvCxnSpPr>
        <xdr:cNvPr id="25931" name="Straight Connector 100">
          <a:extLst>
            <a:ext uri="{FF2B5EF4-FFF2-40B4-BE49-F238E27FC236}">
              <a16:creationId xmlns:a16="http://schemas.microsoft.com/office/drawing/2014/main" id="{00000000-0008-0000-0000-00004B650000}"/>
            </a:ext>
          </a:extLst>
        </xdr:cNvPr>
        <xdr:cNvCxnSpPr>
          <a:cxnSpLocks noChangeShapeType="1"/>
        </xdr:cNvCxnSpPr>
      </xdr:nvCxnSpPr>
      <xdr:spPr bwMode="auto">
        <a:xfrm rot="5400000">
          <a:off x="1314450" y="2327910"/>
          <a:ext cx="91440" cy="53340"/>
        </a:xfrm>
        <a:prstGeom prst="line">
          <a:avLst/>
        </a:prstGeom>
        <a:noFill/>
        <a:ln w="3175" algn="ctr">
          <a:solidFill>
            <a:srgbClr val="000000"/>
          </a:solidFill>
          <a:round/>
          <a:headEnd/>
          <a:tailEnd/>
        </a:ln>
      </xdr:spPr>
    </xdr:cxnSp>
    <xdr:clientData/>
  </xdr:twoCellAnchor>
  <xdr:twoCellAnchor>
    <xdr:from>
      <xdr:col>2</xdr:col>
      <xdr:colOff>289560</xdr:colOff>
      <xdr:row>12</xdr:row>
      <xdr:rowOff>68580</xdr:rowOff>
    </xdr:from>
    <xdr:to>
      <xdr:col>2</xdr:col>
      <xdr:colOff>350520</xdr:colOff>
      <xdr:row>12</xdr:row>
      <xdr:rowOff>160020</xdr:rowOff>
    </xdr:to>
    <xdr:cxnSp macro="">
      <xdr:nvCxnSpPr>
        <xdr:cNvPr id="25932" name="Straight Connector 101">
          <a:extLst>
            <a:ext uri="{FF2B5EF4-FFF2-40B4-BE49-F238E27FC236}">
              <a16:creationId xmlns:a16="http://schemas.microsoft.com/office/drawing/2014/main" id="{00000000-0008-0000-0000-00004C650000}"/>
            </a:ext>
          </a:extLst>
        </xdr:cNvPr>
        <xdr:cNvCxnSpPr>
          <a:cxnSpLocks noChangeShapeType="1"/>
        </xdr:cNvCxnSpPr>
      </xdr:nvCxnSpPr>
      <xdr:spPr bwMode="auto">
        <a:xfrm rot="5400000">
          <a:off x="1341120" y="2331720"/>
          <a:ext cx="91440" cy="60960"/>
        </a:xfrm>
        <a:prstGeom prst="line">
          <a:avLst/>
        </a:prstGeom>
        <a:noFill/>
        <a:ln w="3175" algn="ctr">
          <a:solidFill>
            <a:srgbClr val="000000"/>
          </a:solidFill>
          <a:round/>
          <a:headEnd/>
          <a:tailEnd/>
        </a:ln>
      </xdr:spPr>
    </xdr:cxnSp>
    <xdr:clientData/>
  </xdr:twoCellAnchor>
  <xdr:twoCellAnchor>
    <xdr:from>
      <xdr:col>2</xdr:col>
      <xdr:colOff>320040</xdr:colOff>
      <xdr:row>12</xdr:row>
      <xdr:rowOff>68580</xdr:rowOff>
    </xdr:from>
    <xdr:to>
      <xdr:col>2</xdr:col>
      <xdr:colOff>373380</xdr:colOff>
      <xdr:row>12</xdr:row>
      <xdr:rowOff>160020</xdr:rowOff>
    </xdr:to>
    <xdr:cxnSp macro="">
      <xdr:nvCxnSpPr>
        <xdr:cNvPr id="25933" name="Straight Connector 102">
          <a:extLst>
            <a:ext uri="{FF2B5EF4-FFF2-40B4-BE49-F238E27FC236}">
              <a16:creationId xmlns:a16="http://schemas.microsoft.com/office/drawing/2014/main" id="{00000000-0008-0000-0000-00004D650000}"/>
            </a:ext>
          </a:extLst>
        </xdr:cNvPr>
        <xdr:cNvCxnSpPr>
          <a:cxnSpLocks noChangeShapeType="1"/>
        </xdr:cNvCxnSpPr>
      </xdr:nvCxnSpPr>
      <xdr:spPr bwMode="auto">
        <a:xfrm rot="5400000">
          <a:off x="1367790" y="2335530"/>
          <a:ext cx="91440" cy="53340"/>
        </a:xfrm>
        <a:prstGeom prst="line">
          <a:avLst/>
        </a:prstGeom>
        <a:noFill/>
        <a:ln w="3175" algn="ctr">
          <a:solidFill>
            <a:srgbClr val="000000"/>
          </a:solidFill>
          <a:round/>
          <a:headEnd/>
          <a:tailEnd/>
        </a:ln>
      </xdr:spPr>
    </xdr:cxnSp>
    <xdr:clientData/>
  </xdr:twoCellAnchor>
  <xdr:twoCellAnchor>
    <xdr:from>
      <xdr:col>2</xdr:col>
      <xdr:colOff>175260</xdr:colOff>
      <xdr:row>12</xdr:row>
      <xdr:rowOff>83820</xdr:rowOff>
    </xdr:from>
    <xdr:to>
      <xdr:col>2</xdr:col>
      <xdr:colOff>266700</xdr:colOff>
      <xdr:row>12</xdr:row>
      <xdr:rowOff>83820</xdr:rowOff>
    </xdr:to>
    <xdr:cxnSp macro="">
      <xdr:nvCxnSpPr>
        <xdr:cNvPr id="25934" name="Straight Connector 104">
          <a:extLst>
            <a:ext uri="{FF2B5EF4-FFF2-40B4-BE49-F238E27FC236}">
              <a16:creationId xmlns:a16="http://schemas.microsoft.com/office/drawing/2014/main" id="{00000000-0008-0000-0000-00004E650000}"/>
            </a:ext>
          </a:extLst>
        </xdr:cNvPr>
        <xdr:cNvCxnSpPr>
          <a:cxnSpLocks noChangeShapeType="1"/>
        </xdr:cNvCxnSpPr>
      </xdr:nvCxnSpPr>
      <xdr:spPr bwMode="auto">
        <a:xfrm>
          <a:off x="1242060" y="2331720"/>
          <a:ext cx="91440" cy="0"/>
        </a:xfrm>
        <a:prstGeom prst="line">
          <a:avLst/>
        </a:prstGeom>
        <a:noFill/>
        <a:ln w="3175" algn="ctr">
          <a:solidFill>
            <a:srgbClr val="000000"/>
          </a:solidFill>
          <a:round/>
          <a:headEnd/>
          <a:tailEnd/>
        </a:ln>
      </xdr:spPr>
    </xdr:cxnSp>
    <xdr:clientData/>
  </xdr:twoCellAnchor>
  <xdr:twoCellAnchor>
    <xdr:from>
      <xdr:col>2</xdr:col>
      <xdr:colOff>160020</xdr:colOff>
      <xdr:row>12</xdr:row>
      <xdr:rowOff>106680</xdr:rowOff>
    </xdr:from>
    <xdr:to>
      <xdr:col>2</xdr:col>
      <xdr:colOff>251460</xdr:colOff>
      <xdr:row>12</xdr:row>
      <xdr:rowOff>106680</xdr:rowOff>
    </xdr:to>
    <xdr:cxnSp macro="">
      <xdr:nvCxnSpPr>
        <xdr:cNvPr id="25935" name="Straight Connector 107">
          <a:extLst>
            <a:ext uri="{FF2B5EF4-FFF2-40B4-BE49-F238E27FC236}">
              <a16:creationId xmlns:a16="http://schemas.microsoft.com/office/drawing/2014/main" id="{00000000-0008-0000-0000-00004F650000}"/>
            </a:ext>
          </a:extLst>
        </xdr:cNvPr>
        <xdr:cNvCxnSpPr>
          <a:cxnSpLocks noChangeShapeType="1"/>
        </xdr:cNvCxnSpPr>
      </xdr:nvCxnSpPr>
      <xdr:spPr bwMode="auto">
        <a:xfrm>
          <a:off x="1226820" y="2354580"/>
          <a:ext cx="91440" cy="0"/>
        </a:xfrm>
        <a:prstGeom prst="line">
          <a:avLst/>
        </a:prstGeom>
        <a:noFill/>
        <a:ln w="3175" algn="ctr">
          <a:solidFill>
            <a:srgbClr val="000000"/>
          </a:solidFill>
          <a:round/>
          <a:headEnd/>
          <a:tailEnd/>
        </a:ln>
      </xdr:spPr>
    </xdr:cxnSp>
    <xdr:clientData/>
  </xdr:twoCellAnchor>
  <xdr:twoCellAnchor>
    <xdr:from>
      <xdr:col>2</xdr:col>
      <xdr:colOff>137160</xdr:colOff>
      <xdr:row>12</xdr:row>
      <xdr:rowOff>160020</xdr:rowOff>
    </xdr:from>
    <xdr:to>
      <xdr:col>2</xdr:col>
      <xdr:colOff>228600</xdr:colOff>
      <xdr:row>12</xdr:row>
      <xdr:rowOff>160020</xdr:rowOff>
    </xdr:to>
    <xdr:cxnSp macro="">
      <xdr:nvCxnSpPr>
        <xdr:cNvPr id="25936" name="Straight Connector 111">
          <a:extLst>
            <a:ext uri="{FF2B5EF4-FFF2-40B4-BE49-F238E27FC236}">
              <a16:creationId xmlns:a16="http://schemas.microsoft.com/office/drawing/2014/main" id="{00000000-0008-0000-0000-000050650000}"/>
            </a:ext>
          </a:extLst>
        </xdr:cNvPr>
        <xdr:cNvCxnSpPr>
          <a:cxnSpLocks noChangeShapeType="1"/>
        </xdr:cNvCxnSpPr>
      </xdr:nvCxnSpPr>
      <xdr:spPr bwMode="auto">
        <a:xfrm>
          <a:off x="1203960" y="2407920"/>
          <a:ext cx="91440" cy="0"/>
        </a:xfrm>
        <a:prstGeom prst="line">
          <a:avLst/>
        </a:prstGeom>
        <a:noFill/>
        <a:ln w="3175" algn="ctr">
          <a:solidFill>
            <a:srgbClr val="000000"/>
          </a:solidFill>
          <a:round/>
          <a:headEnd/>
          <a:tailEnd/>
        </a:ln>
      </xdr:spPr>
    </xdr:cxnSp>
    <xdr:clientData/>
  </xdr:twoCellAnchor>
  <xdr:twoCellAnchor>
    <xdr:from>
      <xdr:col>2</xdr:col>
      <xdr:colOff>144780</xdr:colOff>
      <xdr:row>12</xdr:row>
      <xdr:rowOff>137160</xdr:rowOff>
    </xdr:from>
    <xdr:to>
      <xdr:col>2</xdr:col>
      <xdr:colOff>243840</xdr:colOff>
      <xdr:row>12</xdr:row>
      <xdr:rowOff>137160</xdr:rowOff>
    </xdr:to>
    <xdr:cxnSp macro="">
      <xdr:nvCxnSpPr>
        <xdr:cNvPr id="25937" name="Straight Connector 113">
          <a:extLst>
            <a:ext uri="{FF2B5EF4-FFF2-40B4-BE49-F238E27FC236}">
              <a16:creationId xmlns:a16="http://schemas.microsoft.com/office/drawing/2014/main" id="{00000000-0008-0000-0000-000051650000}"/>
            </a:ext>
          </a:extLst>
        </xdr:cNvPr>
        <xdr:cNvCxnSpPr>
          <a:cxnSpLocks noChangeShapeType="1"/>
        </xdr:cNvCxnSpPr>
      </xdr:nvCxnSpPr>
      <xdr:spPr bwMode="auto">
        <a:xfrm>
          <a:off x="1211580" y="2385060"/>
          <a:ext cx="99060" cy="0"/>
        </a:xfrm>
        <a:prstGeom prst="line">
          <a:avLst/>
        </a:prstGeom>
        <a:noFill/>
        <a:ln w="3175" algn="ctr">
          <a:solidFill>
            <a:srgbClr val="000000"/>
          </a:solidFill>
          <a:round/>
          <a:headEnd/>
          <a:tailEnd/>
        </a:ln>
      </xdr:spPr>
    </xdr:cxnSp>
    <xdr:clientData/>
  </xdr:twoCellAnchor>
  <xdr:twoCellAnchor>
    <xdr:from>
      <xdr:col>1</xdr:col>
      <xdr:colOff>563880</xdr:colOff>
      <xdr:row>8</xdr:row>
      <xdr:rowOff>45720</xdr:rowOff>
    </xdr:from>
    <xdr:to>
      <xdr:col>2</xdr:col>
      <xdr:colOff>906780</xdr:colOff>
      <xdr:row>8</xdr:row>
      <xdr:rowOff>45720</xdr:rowOff>
    </xdr:to>
    <xdr:cxnSp macro="">
      <xdr:nvCxnSpPr>
        <xdr:cNvPr id="25938" name="Straight Arrow Connector 115">
          <a:extLst>
            <a:ext uri="{FF2B5EF4-FFF2-40B4-BE49-F238E27FC236}">
              <a16:creationId xmlns:a16="http://schemas.microsoft.com/office/drawing/2014/main" id="{00000000-0008-0000-0000-000052650000}"/>
            </a:ext>
          </a:extLst>
        </xdr:cNvPr>
        <xdr:cNvCxnSpPr>
          <a:cxnSpLocks noChangeShapeType="1"/>
        </xdr:cNvCxnSpPr>
      </xdr:nvCxnSpPr>
      <xdr:spPr bwMode="auto">
        <a:xfrm>
          <a:off x="685800" y="1531620"/>
          <a:ext cx="128778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1</xdr:col>
      <xdr:colOff>274320</xdr:colOff>
      <xdr:row>8</xdr:row>
      <xdr:rowOff>182880</xdr:rowOff>
    </xdr:from>
    <xdr:to>
      <xdr:col>1</xdr:col>
      <xdr:colOff>274320</xdr:colOff>
      <xdr:row>12</xdr:row>
      <xdr:rowOff>68580</xdr:rowOff>
    </xdr:to>
    <xdr:cxnSp macro="">
      <xdr:nvCxnSpPr>
        <xdr:cNvPr id="25939" name="Straight Arrow Connector 117">
          <a:extLst>
            <a:ext uri="{FF2B5EF4-FFF2-40B4-BE49-F238E27FC236}">
              <a16:creationId xmlns:a16="http://schemas.microsoft.com/office/drawing/2014/main" id="{00000000-0008-0000-0000-000053650000}"/>
            </a:ext>
          </a:extLst>
        </xdr:cNvPr>
        <xdr:cNvCxnSpPr>
          <a:cxnSpLocks noChangeShapeType="1"/>
        </xdr:cNvCxnSpPr>
      </xdr:nvCxnSpPr>
      <xdr:spPr bwMode="auto">
        <a:xfrm rot="5400000" flipH="1" flipV="1">
          <a:off x="72390" y="1992630"/>
          <a:ext cx="64770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1</xdr:col>
      <xdr:colOff>198120</xdr:colOff>
      <xdr:row>12</xdr:row>
      <xdr:rowOff>68580</xdr:rowOff>
    </xdr:from>
    <xdr:to>
      <xdr:col>1</xdr:col>
      <xdr:colOff>441960</xdr:colOff>
      <xdr:row>12</xdr:row>
      <xdr:rowOff>68580</xdr:rowOff>
    </xdr:to>
    <xdr:cxnSp macro="">
      <xdr:nvCxnSpPr>
        <xdr:cNvPr id="25940" name="Straight Connector 119">
          <a:extLst>
            <a:ext uri="{FF2B5EF4-FFF2-40B4-BE49-F238E27FC236}">
              <a16:creationId xmlns:a16="http://schemas.microsoft.com/office/drawing/2014/main" id="{00000000-0008-0000-0000-000054650000}"/>
            </a:ext>
          </a:extLst>
        </xdr:cNvPr>
        <xdr:cNvCxnSpPr>
          <a:cxnSpLocks noChangeShapeType="1"/>
        </xdr:cNvCxnSpPr>
      </xdr:nvCxnSpPr>
      <xdr:spPr bwMode="auto">
        <a:xfrm rot="10800000">
          <a:off x="320040" y="2316480"/>
          <a:ext cx="243840" cy="0"/>
        </a:xfrm>
        <a:prstGeom prst="line">
          <a:avLst/>
        </a:prstGeom>
        <a:noFill/>
        <a:ln w="6350" algn="ctr">
          <a:solidFill>
            <a:srgbClr val="000000"/>
          </a:solidFill>
          <a:round/>
          <a:headEnd/>
          <a:tailEnd/>
        </a:ln>
      </xdr:spPr>
    </xdr:cxnSp>
    <xdr:clientData/>
  </xdr:twoCellAnchor>
  <xdr:twoCellAnchor>
    <xdr:from>
      <xdr:col>1</xdr:col>
      <xdr:colOff>175260</xdr:colOff>
      <xdr:row>8</xdr:row>
      <xdr:rowOff>182880</xdr:rowOff>
    </xdr:from>
    <xdr:to>
      <xdr:col>2</xdr:col>
      <xdr:colOff>144780</xdr:colOff>
      <xdr:row>8</xdr:row>
      <xdr:rowOff>182880</xdr:rowOff>
    </xdr:to>
    <xdr:cxnSp macro="">
      <xdr:nvCxnSpPr>
        <xdr:cNvPr id="25941" name="Straight Connector 121">
          <a:extLst>
            <a:ext uri="{FF2B5EF4-FFF2-40B4-BE49-F238E27FC236}">
              <a16:creationId xmlns:a16="http://schemas.microsoft.com/office/drawing/2014/main" id="{00000000-0008-0000-0000-000055650000}"/>
            </a:ext>
          </a:extLst>
        </xdr:cNvPr>
        <xdr:cNvCxnSpPr>
          <a:cxnSpLocks noChangeShapeType="1"/>
        </xdr:cNvCxnSpPr>
      </xdr:nvCxnSpPr>
      <xdr:spPr bwMode="auto">
        <a:xfrm rot="10800000">
          <a:off x="297180" y="1668780"/>
          <a:ext cx="914400" cy="0"/>
        </a:xfrm>
        <a:prstGeom prst="line">
          <a:avLst/>
        </a:prstGeom>
        <a:noFill/>
        <a:ln w="6350" algn="ctr">
          <a:solidFill>
            <a:srgbClr val="000000"/>
          </a:solidFill>
          <a:round/>
          <a:headEnd/>
          <a:tailEnd/>
        </a:ln>
      </xdr:spPr>
    </xdr:cxnSp>
    <xdr:clientData/>
  </xdr:twoCellAnchor>
  <xdr:twoCellAnchor>
    <xdr:from>
      <xdr:col>1</xdr:col>
      <xdr:colOff>571500</xdr:colOff>
      <xdr:row>7</xdr:row>
      <xdr:rowOff>236220</xdr:rowOff>
    </xdr:from>
    <xdr:to>
      <xdr:col>1</xdr:col>
      <xdr:colOff>571500</xdr:colOff>
      <xdr:row>11</xdr:row>
      <xdr:rowOff>45720</xdr:rowOff>
    </xdr:to>
    <xdr:cxnSp macro="">
      <xdr:nvCxnSpPr>
        <xdr:cNvPr id="25942" name="Straight Connector 124">
          <a:extLst>
            <a:ext uri="{FF2B5EF4-FFF2-40B4-BE49-F238E27FC236}">
              <a16:creationId xmlns:a16="http://schemas.microsoft.com/office/drawing/2014/main" id="{00000000-0008-0000-0000-000056650000}"/>
            </a:ext>
          </a:extLst>
        </xdr:cNvPr>
        <xdr:cNvCxnSpPr>
          <a:cxnSpLocks noChangeShapeType="1"/>
        </xdr:cNvCxnSpPr>
      </xdr:nvCxnSpPr>
      <xdr:spPr bwMode="auto">
        <a:xfrm rot="5400000" flipH="1" flipV="1">
          <a:off x="384810" y="1794510"/>
          <a:ext cx="617220" cy="0"/>
        </a:xfrm>
        <a:prstGeom prst="line">
          <a:avLst/>
        </a:prstGeom>
        <a:noFill/>
        <a:ln w="6350" algn="ctr">
          <a:solidFill>
            <a:srgbClr val="000000"/>
          </a:solidFill>
          <a:round/>
          <a:headEnd/>
          <a:tailEnd/>
        </a:ln>
      </xdr:spPr>
    </xdr:cxnSp>
    <xdr:clientData/>
  </xdr:twoCellAnchor>
  <xdr:twoCellAnchor>
    <xdr:from>
      <xdr:col>2</xdr:col>
      <xdr:colOff>914400</xdr:colOff>
      <xdr:row>7</xdr:row>
      <xdr:rowOff>228600</xdr:rowOff>
    </xdr:from>
    <xdr:to>
      <xdr:col>2</xdr:col>
      <xdr:colOff>914400</xdr:colOff>
      <xdr:row>11</xdr:row>
      <xdr:rowOff>68580</xdr:rowOff>
    </xdr:to>
    <xdr:cxnSp macro="">
      <xdr:nvCxnSpPr>
        <xdr:cNvPr id="25943" name="Straight Connector 126">
          <a:extLst>
            <a:ext uri="{FF2B5EF4-FFF2-40B4-BE49-F238E27FC236}">
              <a16:creationId xmlns:a16="http://schemas.microsoft.com/office/drawing/2014/main" id="{00000000-0008-0000-0000-000057650000}"/>
            </a:ext>
          </a:extLst>
        </xdr:cNvPr>
        <xdr:cNvCxnSpPr>
          <a:cxnSpLocks noChangeShapeType="1"/>
        </xdr:cNvCxnSpPr>
      </xdr:nvCxnSpPr>
      <xdr:spPr bwMode="auto">
        <a:xfrm rot="5400000" flipH="1" flipV="1">
          <a:off x="1657350" y="1802130"/>
          <a:ext cx="647700" cy="0"/>
        </a:xfrm>
        <a:prstGeom prst="line">
          <a:avLst/>
        </a:prstGeom>
        <a:noFill/>
        <a:ln w="6350" algn="ctr">
          <a:solidFill>
            <a:srgbClr val="000000"/>
          </a:solidFill>
          <a:round/>
          <a:headEnd/>
          <a:tailEnd/>
        </a:ln>
      </xdr:spPr>
    </xdr:cxnSp>
    <xdr:clientData/>
  </xdr:twoCellAnchor>
  <xdr:twoCellAnchor>
    <xdr:from>
      <xdr:col>1</xdr:col>
      <xdr:colOff>845820</xdr:colOff>
      <xdr:row>16</xdr:row>
      <xdr:rowOff>68580</xdr:rowOff>
    </xdr:from>
    <xdr:to>
      <xdr:col>2</xdr:col>
      <xdr:colOff>731520</xdr:colOff>
      <xdr:row>20</xdr:row>
      <xdr:rowOff>137160</xdr:rowOff>
    </xdr:to>
    <xdr:sp macro="" textlink="">
      <xdr:nvSpPr>
        <xdr:cNvPr id="25944" name="Oval 59">
          <a:extLst>
            <a:ext uri="{FF2B5EF4-FFF2-40B4-BE49-F238E27FC236}">
              <a16:creationId xmlns:a16="http://schemas.microsoft.com/office/drawing/2014/main" id="{00000000-0008-0000-0000-000058650000}"/>
            </a:ext>
          </a:extLst>
        </xdr:cNvPr>
        <xdr:cNvSpPr>
          <a:spLocks noChangeArrowheads="1"/>
        </xdr:cNvSpPr>
      </xdr:nvSpPr>
      <xdr:spPr bwMode="auto">
        <a:xfrm>
          <a:off x="967740" y="3078480"/>
          <a:ext cx="830580" cy="830580"/>
        </a:xfrm>
        <a:prstGeom prst="ellipse">
          <a:avLst/>
        </a:prstGeom>
        <a:solidFill>
          <a:srgbClr val="FFFFFF"/>
        </a:solidFill>
        <a:ln w="9525" algn="ctr">
          <a:solidFill>
            <a:srgbClr val="000000"/>
          </a:solidFill>
          <a:round/>
          <a:headEnd/>
          <a:tailEnd/>
        </a:ln>
      </xdr:spPr>
    </xdr:sp>
    <xdr:clientData/>
  </xdr:twoCellAnchor>
  <xdr:twoCellAnchor>
    <xdr:from>
      <xdr:col>1</xdr:col>
      <xdr:colOff>845820</xdr:colOff>
      <xdr:row>18</xdr:row>
      <xdr:rowOff>106680</xdr:rowOff>
    </xdr:from>
    <xdr:to>
      <xdr:col>2</xdr:col>
      <xdr:colOff>731520</xdr:colOff>
      <xdr:row>18</xdr:row>
      <xdr:rowOff>106680</xdr:rowOff>
    </xdr:to>
    <xdr:cxnSp macro="">
      <xdr:nvCxnSpPr>
        <xdr:cNvPr id="25945" name="Straight Arrow Connector 64">
          <a:extLst>
            <a:ext uri="{FF2B5EF4-FFF2-40B4-BE49-F238E27FC236}">
              <a16:creationId xmlns:a16="http://schemas.microsoft.com/office/drawing/2014/main" id="{00000000-0008-0000-0000-000059650000}"/>
            </a:ext>
          </a:extLst>
        </xdr:cNvPr>
        <xdr:cNvCxnSpPr>
          <a:cxnSpLocks noChangeShapeType="1"/>
          <a:stCxn id="25944" idx="2"/>
          <a:endCxn id="25944" idx="6"/>
        </xdr:cNvCxnSpPr>
      </xdr:nvCxnSpPr>
      <xdr:spPr bwMode="auto">
        <a:xfrm>
          <a:off x="967740" y="3497580"/>
          <a:ext cx="83058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304801</xdr:colOff>
      <xdr:row>16</xdr:row>
      <xdr:rowOff>171450</xdr:rowOff>
    </xdr:from>
    <xdr:to>
      <xdr:col>2</xdr:col>
      <xdr:colOff>529591</xdr:colOff>
      <xdr:row>17</xdr:row>
      <xdr:rowOff>173355</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1524001" y="3013710"/>
          <a:ext cx="224790" cy="16954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2</xdr:col>
      <xdr:colOff>320040</xdr:colOff>
      <xdr:row>16</xdr:row>
      <xdr:rowOff>68580</xdr:rowOff>
    </xdr:from>
    <xdr:to>
      <xdr:col>2</xdr:col>
      <xdr:colOff>320040</xdr:colOff>
      <xdr:row>20</xdr:row>
      <xdr:rowOff>137160</xdr:rowOff>
    </xdr:to>
    <xdr:cxnSp macro="">
      <xdr:nvCxnSpPr>
        <xdr:cNvPr id="25947" name="Straight Arrow Connector 66">
          <a:extLst>
            <a:ext uri="{FF2B5EF4-FFF2-40B4-BE49-F238E27FC236}">
              <a16:creationId xmlns:a16="http://schemas.microsoft.com/office/drawing/2014/main" id="{00000000-0008-0000-0000-00005B650000}"/>
            </a:ext>
          </a:extLst>
        </xdr:cNvPr>
        <xdr:cNvCxnSpPr>
          <a:cxnSpLocks noChangeShapeType="1"/>
          <a:stCxn id="25944" idx="0"/>
          <a:endCxn id="25944" idx="4"/>
        </xdr:cNvCxnSpPr>
      </xdr:nvCxnSpPr>
      <xdr:spPr bwMode="auto">
        <a:xfrm>
          <a:off x="1386840" y="3078480"/>
          <a:ext cx="0" cy="83058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21590</xdr:colOff>
      <xdr:row>17</xdr:row>
      <xdr:rowOff>45720</xdr:rowOff>
    </xdr:from>
    <xdr:to>
      <xdr:col>2</xdr:col>
      <xdr:colOff>253999</xdr:colOff>
      <xdr:row>18</xdr:row>
      <xdr:rowOff>40005</xdr:rowOff>
    </xdr:to>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1240790" y="3063240"/>
          <a:ext cx="232409" cy="16192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S</a:t>
          </a:r>
        </a:p>
      </xdr:txBody>
    </xdr:sp>
    <xdr:clientData/>
  </xdr:twoCellAnchor>
  <xdr:twoCellAnchor>
    <xdr:from>
      <xdr:col>2</xdr:col>
      <xdr:colOff>312420</xdr:colOff>
      <xdr:row>17</xdr:row>
      <xdr:rowOff>190500</xdr:rowOff>
    </xdr:from>
    <xdr:to>
      <xdr:col>2</xdr:col>
      <xdr:colOff>434340</xdr:colOff>
      <xdr:row>18</xdr:row>
      <xdr:rowOff>45720</xdr:rowOff>
    </xdr:to>
    <xdr:cxnSp macro="">
      <xdr:nvCxnSpPr>
        <xdr:cNvPr id="25949" name="Straight Connector 70">
          <a:extLst>
            <a:ext uri="{FF2B5EF4-FFF2-40B4-BE49-F238E27FC236}">
              <a16:creationId xmlns:a16="http://schemas.microsoft.com/office/drawing/2014/main" id="{00000000-0008-0000-0000-00005D650000}"/>
            </a:ext>
          </a:extLst>
        </xdr:cNvPr>
        <xdr:cNvCxnSpPr>
          <a:cxnSpLocks noChangeShapeType="1"/>
        </xdr:cNvCxnSpPr>
      </xdr:nvCxnSpPr>
      <xdr:spPr bwMode="auto">
        <a:xfrm flipV="1">
          <a:off x="1379220" y="3390900"/>
          <a:ext cx="121920" cy="45720"/>
        </a:xfrm>
        <a:prstGeom prst="line">
          <a:avLst/>
        </a:prstGeom>
        <a:noFill/>
        <a:ln w="3175" algn="ctr">
          <a:solidFill>
            <a:srgbClr val="000000"/>
          </a:solidFill>
          <a:round/>
          <a:headEnd/>
          <a:tailEnd/>
        </a:ln>
      </xdr:spPr>
    </xdr:cxnSp>
    <xdr:clientData/>
  </xdr:twoCellAnchor>
  <xdr:twoCellAnchor>
    <xdr:from>
      <xdr:col>2</xdr:col>
      <xdr:colOff>160020</xdr:colOff>
      <xdr:row>18</xdr:row>
      <xdr:rowOff>53340</xdr:rowOff>
    </xdr:from>
    <xdr:to>
      <xdr:col>2</xdr:col>
      <xdr:colOff>266700</xdr:colOff>
      <xdr:row>18</xdr:row>
      <xdr:rowOff>106680</xdr:rowOff>
    </xdr:to>
    <xdr:cxnSp macro="">
      <xdr:nvCxnSpPr>
        <xdr:cNvPr id="25950" name="Straight Connector 88">
          <a:extLst>
            <a:ext uri="{FF2B5EF4-FFF2-40B4-BE49-F238E27FC236}">
              <a16:creationId xmlns:a16="http://schemas.microsoft.com/office/drawing/2014/main" id="{00000000-0008-0000-0000-00005E650000}"/>
            </a:ext>
          </a:extLst>
        </xdr:cNvPr>
        <xdr:cNvCxnSpPr>
          <a:cxnSpLocks noChangeShapeType="1"/>
        </xdr:cNvCxnSpPr>
      </xdr:nvCxnSpPr>
      <xdr:spPr bwMode="auto">
        <a:xfrm rot="10800000">
          <a:off x="1226820" y="3444240"/>
          <a:ext cx="106680" cy="53340"/>
        </a:xfrm>
        <a:prstGeom prst="line">
          <a:avLst/>
        </a:prstGeom>
        <a:noFill/>
        <a:ln w="3175" algn="ctr">
          <a:solidFill>
            <a:srgbClr val="000000"/>
          </a:solidFill>
          <a:round/>
          <a:headEnd/>
          <a:tailEnd/>
        </a:ln>
      </xdr:spPr>
    </xdr:cxnSp>
    <xdr:clientData/>
  </xdr:twoCellAnchor>
  <xdr:twoCellAnchor>
    <xdr:from>
      <xdr:col>1</xdr:col>
      <xdr:colOff>701040</xdr:colOff>
      <xdr:row>24</xdr:row>
      <xdr:rowOff>167640</xdr:rowOff>
    </xdr:from>
    <xdr:to>
      <xdr:col>2</xdr:col>
      <xdr:colOff>800100</xdr:colOff>
      <xdr:row>27</xdr:row>
      <xdr:rowOff>190500</xdr:rowOff>
    </xdr:to>
    <xdr:sp macro="" textlink="">
      <xdr:nvSpPr>
        <xdr:cNvPr id="25951" name="Freeform 109">
          <a:extLst>
            <a:ext uri="{FF2B5EF4-FFF2-40B4-BE49-F238E27FC236}">
              <a16:creationId xmlns:a16="http://schemas.microsoft.com/office/drawing/2014/main" id="{00000000-0008-0000-0000-00005F650000}"/>
            </a:ext>
          </a:extLst>
        </xdr:cNvPr>
        <xdr:cNvSpPr>
          <a:spLocks/>
        </xdr:cNvSpPr>
      </xdr:nvSpPr>
      <xdr:spPr bwMode="auto">
        <a:xfrm>
          <a:off x="822960" y="4701540"/>
          <a:ext cx="1043940" cy="594360"/>
        </a:xfrm>
        <a:custGeom>
          <a:avLst/>
          <a:gdLst>
            <a:gd name="T0" fmla="*/ 18411 w 1043094"/>
            <a:gd name="T1" fmla="*/ 360679 h 588010"/>
            <a:gd name="T2" fmla="*/ 193076 w 1043094"/>
            <a:gd name="T3" fmla="*/ 56210 h 588010"/>
            <a:gd name="T4" fmla="*/ 414021 w 1043094"/>
            <a:gd name="T5" fmla="*/ 51526 h 588010"/>
            <a:gd name="T6" fmla="*/ 594658 w 1043094"/>
            <a:gd name="T7" fmla="*/ 365363 h 588010"/>
            <a:gd name="T8" fmla="*/ 303550 w 1043094"/>
            <a:gd name="T9" fmla="*/ 541020 h 588010"/>
            <a:gd name="T10" fmla="*/ 18411 w 1043094"/>
            <a:gd name="T11" fmla="*/ 360679 h 588010"/>
            <a:gd name="T12" fmla="*/ 0 60000 65536"/>
            <a:gd name="T13" fmla="*/ 0 60000 65536"/>
            <a:gd name="T14" fmla="*/ 0 60000 65536"/>
            <a:gd name="T15" fmla="*/ 0 60000 65536"/>
            <a:gd name="T16" fmla="*/ 0 60000 65536"/>
            <a:gd name="T17" fmla="*/ 0 60000 65536"/>
            <a:gd name="T18" fmla="*/ 0 w 1043094"/>
            <a:gd name="T19" fmla="*/ 0 h 588010"/>
            <a:gd name="T20" fmla="*/ 1043094 w 1043094"/>
            <a:gd name="T21" fmla="*/ 588010 h 588010"/>
          </a:gdLst>
          <a:ahLst/>
          <a:cxnLst>
            <a:cxn ang="T12">
              <a:pos x="T0" y="T1"/>
            </a:cxn>
            <a:cxn ang="T13">
              <a:pos x="T2" y="T3"/>
            </a:cxn>
            <a:cxn ang="T14">
              <a:pos x="T4" y="T5"/>
            </a:cxn>
            <a:cxn ang="T15">
              <a:pos x="T6" y="T7"/>
            </a:cxn>
            <a:cxn ang="T16">
              <a:pos x="T8" y="T9"/>
            </a:cxn>
            <a:cxn ang="T17">
              <a:pos x="T10" y="T11"/>
            </a:cxn>
          </a:cxnLst>
          <a:rect l="T18" t="T19" r="T20" b="T21"/>
          <a:pathLst>
            <a:path w="1043094" h="588010">
              <a:moveTo>
                <a:pt x="31327" y="391160"/>
              </a:moveTo>
              <a:cubicBezTo>
                <a:pt x="0" y="303530"/>
                <a:pt x="216324" y="116840"/>
                <a:pt x="328507" y="60960"/>
              </a:cubicBezTo>
              <a:cubicBezTo>
                <a:pt x="440690" y="5080"/>
                <a:pt x="590550" y="0"/>
                <a:pt x="704427" y="55880"/>
              </a:cubicBezTo>
              <a:cubicBezTo>
                <a:pt x="818304" y="111760"/>
                <a:pt x="1043094" y="307763"/>
                <a:pt x="1011767" y="396240"/>
              </a:cubicBezTo>
              <a:cubicBezTo>
                <a:pt x="980440" y="484717"/>
                <a:pt x="679450" y="588010"/>
                <a:pt x="516467" y="586740"/>
              </a:cubicBezTo>
              <a:cubicBezTo>
                <a:pt x="353484" y="585470"/>
                <a:pt x="62654" y="478790"/>
                <a:pt x="31327" y="391160"/>
              </a:cubicBezTo>
              <a:close/>
            </a:path>
          </a:pathLst>
        </a:custGeom>
        <a:solidFill>
          <a:srgbClr val="FFFFFF"/>
        </a:solidFill>
        <a:ln w="9525" cap="flat" cmpd="sng" algn="ctr">
          <a:solidFill>
            <a:srgbClr val="000000"/>
          </a:solidFill>
          <a:prstDash val="solid"/>
          <a:round/>
          <a:headEnd type="none" w="med" len="med"/>
          <a:tailEnd type="none" w="med" len="med"/>
        </a:ln>
      </xdr:spPr>
    </xdr:sp>
    <xdr:clientData/>
  </xdr:twoCellAnchor>
  <xdr:twoCellAnchor>
    <xdr:from>
      <xdr:col>2</xdr:col>
      <xdr:colOff>332740</xdr:colOff>
      <xdr:row>25</xdr:row>
      <xdr:rowOff>91440</xdr:rowOff>
    </xdr:from>
    <xdr:to>
      <xdr:col>2</xdr:col>
      <xdr:colOff>505460</xdr:colOff>
      <xdr:row>26</xdr:row>
      <xdr:rowOff>73660</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551940" y="4450080"/>
          <a:ext cx="172720" cy="14986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2</xdr:col>
      <xdr:colOff>281940</xdr:colOff>
      <xdr:row>24</xdr:row>
      <xdr:rowOff>182880</xdr:rowOff>
    </xdr:from>
    <xdr:to>
      <xdr:col>2</xdr:col>
      <xdr:colOff>289560</xdr:colOff>
      <xdr:row>27</xdr:row>
      <xdr:rowOff>190500</xdr:rowOff>
    </xdr:to>
    <xdr:cxnSp macro="">
      <xdr:nvCxnSpPr>
        <xdr:cNvPr id="25953" name="Straight Arrow Connector 92">
          <a:extLst>
            <a:ext uri="{FF2B5EF4-FFF2-40B4-BE49-F238E27FC236}">
              <a16:creationId xmlns:a16="http://schemas.microsoft.com/office/drawing/2014/main" id="{00000000-0008-0000-0000-000061650000}"/>
            </a:ext>
          </a:extLst>
        </xdr:cNvPr>
        <xdr:cNvCxnSpPr>
          <a:cxnSpLocks noChangeShapeType="1"/>
        </xdr:cNvCxnSpPr>
      </xdr:nvCxnSpPr>
      <xdr:spPr bwMode="auto">
        <a:xfrm rot="5400000">
          <a:off x="1062990" y="5002530"/>
          <a:ext cx="579120" cy="762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10160</xdr:colOff>
      <xdr:row>25</xdr:row>
      <xdr:rowOff>124460</xdr:rowOff>
    </xdr:from>
    <xdr:to>
      <xdr:col>2</xdr:col>
      <xdr:colOff>215900</xdr:colOff>
      <xdr:row>26</xdr:row>
      <xdr:rowOff>95091</xdr:rowOff>
    </xdr:to>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229360" y="4483100"/>
          <a:ext cx="205740" cy="138271"/>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S</a:t>
          </a:r>
        </a:p>
      </xdr:txBody>
    </xdr:sp>
    <xdr:clientData/>
  </xdr:twoCellAnchor>
  <xdr:twoCellAnchor>
    <xdr:from>
      <xdr:col>2</xdr:col>
      <xdr:colOff>289560</xdr:colOff>
      <xdr:row>26</xdr:row>
      <xdr:rowOff>53340</xdr:rowOff>
    </xdr:from>
    <xdr:to>
      <xdr:col>2</xdr:col>
      <xdr:colOff>403860</xdr:colOff>
      <xdr:row>26</xdr:row>
      <xdr:rowOff>106680</xdr:rowOff>
    </xdr:to>
    <xdr:cxnSp macro="">
      <xdr:nvCxnSpPr>
        <xdr:cNvPr id="25955" name="Straight Connector 94">
          <a:extLst>
            <a:ext uri="{FF2B5EF4-FFF2-40B4-BE49-F238E27FC236}">
              <a16:creationId xmlns:a16="http://schemas.microsoft.com/office/drawing/2014/main" id="{00000000-0008-0000-0000-000063650000}"/>
            </a:ext>
          </a:extLst>
        </xdr:cNvPr>
        <xdr:cNvCxnSpPr>
          <a:cxnSpLocks noChangeShapeType="1"/>
        </xdr:cNvCxnSpPr>
      </xdr:nvCxnSpPr>
      <xdr:spPr bwMode="auto">
        <a:xfrm flipV="1">
          <a:off x="1356360" y="4968240"/>
          <a:ext cx="114300" cy="53340"/>
        </a:xfrm>
        <a:prstGeom prst="line">
          <a:avLst/>
        </a:prstGeom>
        <a:noFill/>
        <a:ln w="3175" algn="ctr">
          <a:solidFill>
            <a:srgbClr val="000000"/>
          </a:solidFill>
          <a:round/>
          <a:headEnd/>
          <a:tailEnd/>
        </a:ln>
      </xdr:spPr>
    </xdr:cxnSp>
    <xdr:clientData/>
  </xdr:twoCellAnchor>
  <xdr:twoCellAnchor>
    <xdr:from>
      <xdr:col>2</xdr:col>
      <xdr:colOff>121920</xdr:colOff>
      <xdr:row>26</xdr:row>
      <xdr:rowOff>106680</xdr:rowOff>
    </xdr:from>
    <xdr:to>
      <xdr:col>2</xdr:col>
      <xdr:colOff>228600</xdr:colOff>
      <xdr:row>26</xdr:row>
      <xdr:rowOff>160020</xdr:rowOff>
    </xdr:to>
    <xdr:cxnSp macro="">
      <xdr:nvCxnSpPr>
        <xdr:cNvPr id="25956" name="Straight Connector 95">
          <a:extLst>
            <a:ext uri="{FF2B5EF4-FFF2-40B4-BE49-F238E27FC236}">
              <a16:creationId xmlns:a16="http://schemas.microsoft.com/office/drawing/2014/main" id="{00000000-0008-0000-0000-000064650000}"/>
            </a:ext>
          </a:extLst>
        </xdr:cNvPr>
        <xdr:cNvCxnSpPr>
          <a:cxnSpLocks noChangeShapeType="1"/>
        </xdr:cNvCxnSpPr>
      </xdr:nvCxnSpPr>
      <xdr:spPr bwMode="auto">
        <a:xfrm rot="10800000">
          <a:off x="1188720" y="5021580"/>
          <a:ext cx="106680" cy="53340"/>
        </a:xfrm>
        <a:prstGeom prst="line">
          <a:avLst/>
        </a:prstGeom>
        <a:noFill/>
        <a:ln w="3175" algn="ctr">
          <a:solidFill>
            <a:srgbClr val="000000"/>
          </a:solidFill>
          <a:round/>
          <a:headEnd/>
          <a:tailEnd/>
        </a:ln>
      </xdr:spPr>
    </xdr:cxnSp>
    <xdr:clientData/>
  </xdr:twoCellAnchor>
  <xdr:twoCellAnchor>
    <xdr:from>
      <xdr:col>1</xdr:col>
      <xdr:colOff>731520</xdr:colOff>
      <xdr:row>26</xdr:row>
      <xdr:rowOff>160020</xdr:rowOff>
    </xdr:from>
    <xdr:to>
      <xdr:col>2</xdr:col>
      <xdr:colOff>762000</xdr:colOff>
      <xdr:row>26</xdr:row>
      <xdr:rowOff>160020</xdr:rowOff>
    </xdr:to>
    <xdr:cxnSp macro="">
      <xdr:nvCxnSpPr>
        <xdr:cNvPr id="25957" name="Straight Arrow Connector 102">
          <a:extLst>
            <a:ext uri="{FF2B5EF4-FFF2-40B4-BE49-F238E27FC236}">
              <a16:creationId xmlns:a16="http://schemas.microsoft.com/office/drawing/2014/main" id="{00000000-0008-0000-0000-000065650000}"/>
            </a:ext>
          </a:extLst>
        </xdr:cNvPr>
        <xdr:cNvCxnSpPr>
          <a:cxnSpLocks noChangeShapeType="1"/>
        </xdr:cNvCxnSpPr>
      </xdr:nvCxnSpPr>
      <xdr:spPr bwMode="auto">
        <a:xfrm>
          <a:off x="853440" y="5074920"/>
          <a:ext cx="97536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1</xdr:col>
      <xdr:colOff>792480</xdr:colOff>
      <xdr:row>13</xdr:row>
      <xdr:rowOff>38100</xdr:rowOff>
    </xdr:from>
    <xdr:to>
      <xdr:col>2</xdr:col>
      <xdr:colOff>960120</xdr:colOff>
      <xdr:row>15</xdr:row>
      <xdr:rowOff>83820</xdr:rowOff>
    </xdr:to>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914400" y="2476500"/>
          <a:ext cx="1112520" cy="426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Section</a:t>
          </a:r>
          <a:r>
            <a:rPr lang="en-US" sz="1100" b="1" u="sng" baseline="0"/>
            <a:t> A-A</a:t>
          </a:r>
        </a:p>
        <a:p>
          <a:r>
            <a:rPr lang="en-US" sz="800" u="none" baseline="0"/>
            <a:t>       (ARCH)</a:t>
          </a:r>
          <a:endParaRPr lang="en-US" sz="800" u="none"/>
        </a:p>
      </xdr:txBody>
    </xdr:sp>
    <xdr:clientData/>
  </xdr:twoCellAnchor>
  <xdr:twoCellAnchor>
    <xdr:from>
      <xdr:col>1</xdr:col>
      <xdr:colOff>826770</xdr:colOff>
      <xdr:row>20</xdr:row>
      <xdr:rowOff>167640</xdr:rowOff>
    </xdr:from>
    <xdr:to>
      <xdr:col>2</xdr:col>
      <xdr:colOff>883920</xdr:colOff>
      <xdr:row>24</xdr:row>
      <xdr:rowOff>7620</xdr:rowOff>
    </xdr:to>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1215390" y="3688080"/>
          <a:ext cx="613410" cy="510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Section</a:t>
          </a:r>
          <a:r>
            <a:rPr lang="en-US" sz="1100" b="1" u="sng" baseline="0"/>
            <a:t> A-A</a:t>
          </a:r>
        </a:p>
        <a:p>
          <a:r>
            <a:rPr lang="en-US" sz="800" u="none" baseline="0"/>
            <a:t>    (CIRCULAR)</a:t>
          </a:r>
          <a:endParaRPr lang="en-US" sz="800" u="none"/>
        </a:p>
      </xdr:txBody>
    </xdr:sp>
    <xdr:clientData/>
  </xdr:twoCellAnchor>
  <xdr:twoCellAnchor>
    <xdr:from>
      <xdr:col>1</xdr:col>
      <xdr:colOff>834390</xdr:colOff>
      <xdr:row>27</xdr:row>
      <xdr:rowOff>247650</xdr:rowOff>
    </xdr:from>
    <xdr:to>
      <xdr:col>2</xdr:col>
      <xdr:colOff>880110</xdr:colOff>
      <xdr:row>27</xdr:row>
      <xdr:rowOff>708660</xdr:rowOff>
    </xdr:to>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1215390" y="4857750"/>
          <a:ext cx="609600" cy="3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Section</a:t>
          </a:r>
          <a:r>
            <a:rPr lang="en-US" sz="1100" b="1" u="sng" baseline="0"/>
            <a:t> A-A</a:t>
          </a:r>
        </a:p>
        <a:p>
          <a:r>
            <a:rPr lang="en-US" sz="800" u="none" baseline="0"/>
            <a:t>   (PIPE ARCH)</a:t>
          </a:r>
          <a:endParaRPr lang="en-US" sz="800" u="none"/>
        </a:p>
      </xdr:txBody>
    </xdr:sp>
    <xdr:clientData/>
  </xdr:twoCellAnchor>
  <xdr:twoCellAnchor>
    <xdr:from>
      <xdr:col>3</xdr:col>
      <xdr:colOff>167640</xdr:colOff>
      <xdr:row>8</xdr:row>
      <xdr:rowOff>91440</xdr:rowOff>
    </xdr:from>
    <xdr:to>
      <xdr:col>3</xdr:col>
      <xdr:colOff>167640</xdr:colOff>
      <xdr:row>14</xdr:row>
      <xdr:rowOff>121920</xdr:rowOff>
    </xdr:to>
    <xdr:cxnSp macro="">
      <xdr:nvCxnSpPr>
        <xdr:cNvPr id="25961" name="Straight Connector 129">
          <a:extLst>
            <a:ext uri="{FF2B5EF4-FFF2-40B4-BE49-F238E27FC236}">
              <a16:creationId xmlns:a16="http://schemas.microsoft.com/office/drawing/2014/main" id="{00000000-0008-0000-0000-000069650000}"/>
            </a:ext>
          </a:extLst>
        </xdr:cNvPr>
        <xdr:cNvCxnSpPr>
          <a:cxnSpLocks noChangeShapeType="1"/>
        </xdr:cNvCxnSpPr>
      </xdr:nvCxnSpPr>
      <xdr:spPr bwMode="auto">
        <a:xfrm rot="5400000">
          <a:off x="2644140" y="2164080"/>
          <a:ext cx="1173480" cy="0"/>
        </a:xfrm>
        <a:prstGeom prst="line">
          <a:avLst/>
        </a:prstGeom>
        <a:noFill/>
        <a:ln w="6350" algn="ctr">
          <a:solidFill>
            <a:srgbClr val="000000"/>
          </a:solidFill>
          <a:round/>
          <a:headEnd/>
          <a:tailEnd/>
        </a:ln>
      </xdr:spPr>
    </xdr:cxnSp>
    <xdr:clientData/>
  </xdr:twoCellAnchor>
  <xdr:twoCellAnchor>
    <xdr:from>
      <xdr:col>6</xdr:col>
      <xdr:colOff>449580</xdr:colOff>
      <xdr:row>8</xdr:row>
      <xdr:rowOff>106680</xdr:rowOff>
    </xdr:from>
    <xdr:to>
      <xdr:col>6</xdr:col>
      <xdr:colOff>449580</xdr:colOff>
      <xdr:row>14</xdr:row>
      <xdr:rowOff>99060</xdr:rowOff>
    </xdr:to>
    <xdr:cxnSp macro="">
      <xdr:nvCxnSpPr>
        <xdr:cNvPr id="25962" name="Straight Connector 135">
          <a:extLst>
            <a:ext uri="{FF2B5EF4-FFF2-40B4-BE49-F238E27FC236}">
              <a16:creationId xmlns:a16="http://schemas.microsoft.com/office/drawing/2014/main" id="{00000000-0008-0000-0000-00006A650000}"/>
            </a:ext>
          </a:extLst>
        </xdr:cNvPr>
        <xdr:cNvCxnSpPr>
          <a:cxnSpLocks noChangeShapeType="1"/>
        </xdr:cNvCxnSpPr>
      </xdr:nvCxnSpPr>
      <xdr:spPr bwMode="auto">
        <a:xfrm rot="5400000">
          <a:off x="5756910" y="2160270"/>
          <a:ext cx="1135380" cy="0"/>
        </a:xfrm>
        <a:prstGeom prst="line">
          <a:avLst/>
        </a:prstGeom>
        <a:noFill/>
        <a:ln w="6350" algn="ctr">
          <a:solidFill>
            <a:srgbClr val="000000"/>
          </a:solidFill>
          <a:round/>
          <a:headEnd/>
          <a:tailEnd/>
        </a:ln>
      </xdr:spPr>
    </xdr:cxnSp>
    <xdr:clientData/>
  </xdr:twoCellAnchor>
  <xdr:twoCellAnchor>
    <xdr:from>
      <xdr:col>3</xdr:col>
      <xdr:colOff>1021080</xdr:colOff>
      <xdr:row>10</xdr:row>
      <xdr:rowOff>129540</xdr:rowOff>
    </xdr:from>
    <xdr:to>
      <xdr:col>4</xdr:col>
      <xdr:colOff>571500</xdr:colOff>
      <xdr:row>11</xdr:row>
      <xdr:rowOff>22860</xdr:rowOff>
    </xdr:to>
    <xdr:cxnSp macro="">
      <xdr:nvCxnSpPr>
        <xdr:cNvPr id="25963" name="Straight Connector 137">
          <a:extLst>
            <a:ext uri="{FF2B5EF4-FFF2-40B4-BE49-F238E27FC236}">
              <a16:creationId xmlns:a16="http://schemas.microsoft.com/office/drawing/2014/main" id="{00000000-0008-0000-0000-00006B650000}"/>
            </a:ext>
          </a:extLst>
        </xdr:cNvPr>
        <xdr:cNvCxnSpPr>
          <a:cxnSpLocks noChangeShapeType="1"/>
        </xdr:cNvCxnSpPr>
      </xdr:nvCxnSpPr>
      <xdr:spPr bwMode="auto">
        <a:xfrm rot="10800000" flipV="1">
          <a:off x="4084320" y="1996440"/>
          <a:ext cx="754380" cy="83820"/>
        </a:xfrm>
        <a:prstGeom prst="line">
          <a:avLst/>
        </a:prstGeom>
        <a:noFill/>
        <a:ln w="9525" algn="ctr">
          <a:solidFill>
            <a:srgbClr val="000000"/>
          </a:solidFill>
          <a:round/>
          <a:headEnd/>
          <a:tailEnd/>
        </a:ln>
      </xdr:spPr>
    </xdr:cxnSp>
    <xdr:clientData/>
  </xdr:twoCellAnchor>
  <xdr:twoCellAnchor>
    <xdr:from>
      <xdr:col>3</xdr:col>
      <xdr:colOff>388620</xdr:colOff>
      <xdr:row>11</xdr:row>
      <xdr:rowOff>30480</xdr:rowOff>
    </xdr:from>
    <xdr:to>
      <xdr:col>3</xdr:col>
      <xdr:colOff>1013460</xdr:colOff>
      <xdr:row>14</xdr:row>
      <xdr:rowOff>129540</xdr:rowOff>
    </xdr:to>
    <xdr:cxnSp macro="">
      <xdr:nvCxnSpPr>
        <xdr:cNvPr id="25964" name="Straight Connector 139">
          <a:extLst>
            <a:ext uri="{FF2B5EF4-FFF2-40B4-BE49-F238E27FC236}">
              <a16:creationId xmlns:a16="http://schemas.microsoft.com/office/drawing/2014/main" id="{00000000-0008-0000-0000-00006C650000}"/>
            </a:ext>
          </a:extLst>
        </xdr:cNvPr>
        <xdr:cNvCxnSpPr>
          <a:cxnSpLocks noChangeShapeType="1"/>
          <a:endCxn id="26007" idx="3"/>
        </xdr:cNvCxnSpPr>
      </xdr:nvCxnSpPr>
      <xdr:spPr bwMode="auto">
        <a:xfrm rot="5400000">
          <a:off x="3429000" y="2110740"/>
          <a:ext cx="670560" cy="624840"/>
        </a:xfrm>
        <a:prstGeom prst="line">
          <a:avLst/>
        </a:prstGeom>
        <a:noFill/>
        <a:ln w="9525" algn="ctr">
          <a:solidFill>
            <a:srgbClr val="000000"/>
          </a:solidFill>
          <a:round/>
          <a:headEnd/>
          <a:tailEnd/>
        </a:ln>
      </xdr:spPr>
    </xdr:cxnSp>
    <xdr:clientData/>
  </xdr:twoCellAnchor>
  <xdr:twoCellAnchor>
    <xdr:from>
      <xdr:col>3</xdr:col>
      <xdr:colOff>175260</xdr:colOff>
      <xdr:row>14</xdr:row>
      <xdr:rowOff>175260</xdr:rowOff>
    </xdr:from>
    <xdr:to>
      <xdr:col>3</xdr:col>
      <xdr:colOff>175260</xdr:colOff>
      <xdr:row>17</xdr:row>
      <xdr:rowOff>60960</xdr:rowOff>
    </xdr:to>
    <xdr:cxnSp macro="">
      <xdr:nvCxnSpPr>
        <xdr:cNvPr id="25965" name="Straight Connector 143">
          <a:extLst>
            <a:ext uri="{FF2B5EF4-FFF2-40B4-BE49-F238E27FC236}">
              <a16:creationId xmlns:a16="http://schemas.microsoft.com/office/drawing/2014/main" id="{00000000-0008-0000-0000-00006D650000}"/>
            </a:ext>
          </a:extLst>
        </xdr:cNvPr>
        <xdr:cNvCxnSpPr>
          <a:cxnSpLocks noChangeShapeType="1"/>
        </xdr:cNvCxnSpPr>
      </xdr:nvCxnSpPr>
      <xdr:spPr bwMode="auto">
        <a:xfrm rot="5400000">
          <a:off x="3009900" y="3032760"/>
          <a:ext cx="457200" cy="0"/>
        </a:xfrm>
        <a:prstGeom prst="line">
          <a:avLst/>
        </a:prstGeom>
        <a:noFill/>
        <a:ln w="9525" algn="ctr">
          <a:solidFill>
            <a:srgbClr val="000000"/>
          </a:solidFill>
          <a:round/>
          <a:headEnd/>
          <a:tailEnd/>
        </a:ln>
      </xdr:spPr>
    </xdr:cxnSp>
    <xdr:clientData/>
  </xdr:twoCellAnchor>
  <xdr:twoCellAnchor>
    <xdr:from>
      <xdr:col>4</xdr:col>
      <xdr:colOff>571500</xdr:colOff>
      <xdr:row>10</xdr:row>
      <xdr:rowOff>129540</xdr:rowOff>
    </xdr:from>
    <xdr:to>
      <xdr:col>5</xdr:col>
      <xdr:colOff>419100</xdr:colOff>
      <xdr:row>11</xdr:row>
      <xdr:rowOff>22860</xdr:rowOff>
    </xdr:to>
    <xdr:cxnSp macro="">
      <xdr:nvCxnSpPr>
        <xdr:cNvPr id="25966" name="Straight Connector 146">
          <a:extLst>
            <a:ext uri="{FF2B5EF4-FFF2-40B4-BE49-F238E27FC236}">
              <a16:creationId xmlns:a16="http://schemas.microsoft.com/office/drawing/2014/main" id="{00000000-0008-0000-0000-00006E650000}"/>
            </a:ext>
          </a:extLst>
        </xdr:cNvPr>
        <xdr:cNvCxnSpPr>
          <a:cxnSpLocks noChangeShapeType="1"/>
        </xdr:cNvCxnSpPr>
      </xdr:nvCxnSpPr>
      <xdr:spPr bwMode="auto">
        <a:xfrm>
          <a:off x="4838700" y="1996440"/>
          <a:ext cx="678180" cy="83820"/>
        </a:xfrm>
        <a:prstGeom prst="line">
          <a:avLst/>
        </a:prstGeom>
        <a:noFill/>
        <a:ln w="9525" algn="ctr">
          <a:solidFill>
            <a:srgbClr val="000000"/>
          </a:solidFill>
          <a:round/>
          <a:headEnd/>
          <a:tailEnd/>
        </a:ln>
      </xdr:spPr>
    </xdr:cxnSp>
    <xdr:clientData/>
  </xdr:twoCellAnchor>
  <xdr:twoCellAnchor>
    <xdr:from>
      <xdr:col>5</xdr:col>
      <xdr:colOff>411480</xdr:colOff>
      <xdr:row>11</xdr:row>
      <xdr:rowOff>22860</xdr:rowOff>
    </xdr:from>
    <xdr:to>
      <xdr:col>6</xdr:col>
      <xdr:colOff>312420</xdr:colOff>
      <xdr:row>14</xdr:row>
      <xdr:rowOff>129540</xdr:rowOff>
    </xdr:to>
    <xdr:cxnSp macro="">
      <xdr:nvCxnSpPr>
        <xdr:cNvPr id="25967" name="Straight Connector 148">
          <a:extLst>
            <a:ext uri="{FF2B5EF4-FFF2-40B4-BE49-F238E27FC236}">
              <a16:creationId xmlns:a16="http://schemas.microsoft.com/office/drawing/2014/main" id="{00000000-0008-0000-0000-00006F650000}"/>
            </a:ext>
          </a:extLst>
        </xdr:cNvPr>
        <xdr:cNvCxnSpPr>
          <a:cxnSpLocks noChangeShapeType="1"/>
          <a:endCxn id="26007" idx="43"/>
        </xdr:cNvCxnSpPr>
      </xdr:nvCxnSpPr>
      <xdr:spPr bwMode="auto">
        <a:xfrm rot="16200000" flipH="1">
          <a:off x="5509260" y="2080260"/>
          <a:ext cx="678180" cy="678180"/>
        </a:xfrm>
        <a:prstGeom prst="line">
          <a:avLst/>
        </a:prstGeom>
        <a:noFill/>
        <a:ln w="9525" algn="ctr">
          <a:solidFill>
            <a:srgbClr val="000000"/>
          </a:solidFill>
          <a:round/>
          <a:headEnd/>
          <a:tailEnd/>
        </a:ln>
      </xdr:spPr>
    </xdr:cxnSp>
    <xdr:clientData/>
  </xdr:twoCellAnchor>
  <xdr:twoCellAnchor>
    <xdr:from>
      <xdr:col>6</xdr:col>
      <xdr:colOff>449580</xdr:colOff>
      <xdr:row>14</xdr:row>
      <xdr:rowOff>129540</xdr:rowOff>
    </xdr:from>
    <xdr:to>
      <xdr:col>6</xdr:col>
      <xdr:colOff>449580</xdr:colOff>
      <xdr:row>17</xdr:row>
      <xdr:rowOff>15240</xdr:rowOff>
    </xdr:to>
    <xdr:cxnSp macro="">
      <xdr:nvCxnSpPr>
        <xdr:cNvPr id="25968" name="Straight Connector 150">
          <a:extLst>
            <a:ext uri="{FF2B5EF4-FFF2-40B4-BE49-F238E27FC236}">
              <a16:creationId xmlns:a16="http://schemas.microsoft.com/office/drawing/2014/main" id="{00000000-0008-0000-0000-000070650000}"/>
            </a:ext>
          </a:extLst>
        </xdr:cNvPr>
        <xdr:cNvCxnSpPr>
          <a:cxnSpLocks noChangeShapeType="1"/>
        </xdr:cNvCxnSpPr>
      </xdr:nvCxnSpPr>
      <xdr:spPr bwMode="auto">
        <a:xfrm rot="5400000">
          <a:off x="6096000" y="2987040"/>
          <a:ext cx="457200" cy="0"/>
        </a:xfrm>
        <a:prstGeom prst="line">
          <a:avLst/>
        </a:prstGeom>
        <a:noFill/>
        <a:ln w="9525" algn="ctr">
          <a:solidFill>
            <a:srgbClr val="000000"/>
          </a:solidFill>
          <a:round/>
          <a:headEnd/>
          <a:tailEnd/>
        </a:ln>
      </xdr:spPr>
    </xdr:cxnSp>
    <xdr:clientData/>
  </xdr:twoCellAnchor>
  <xdr:twoCellAnchor>
    <xdr:from>
      <xdr:col>2</xdr:col>
      <xdr:colOff>1554480</xdr:colOff>
      <xdr:row>17</xdr:row>
      <xdr:rowOff>60960</xdr:rowOff>
    </xdr:from>
    <xdr:to>
      <xdr:col>3</xdr:col>
      <xdr:colOff>175260</xdr:colOff>
      <xdr:row>17</xdr:row>
      <xdr:rowOff>60960</xdr:rowOff>
    </xdr:to>
    <xdr:cxnSp macro="">
      <xdr:nvCxnSpPr>
        <xdr:cNvPr id="25969" name="Straight Connector 154">
          <a:extLst>
            <a:ext uri="{FF2B5EF4-FFF2-40B4-BE49-F238E27FC236}">
              <a16:creationId xmlns:a16="http://schemas.microsoft.com/office/drawing/2014/main" id="{00000000-0008-0000-0000-000071650000}"/>
            </a:ext>
          </a:extLst>
        </xdr:cNvPr>
        <xdr:cNvCxnSpPr>
          <a:cxnSpLocks noChangeShapeType="1"/>
        </xdr:cNvCxnSpPr>
      </xdr:nvCxnSpPr>
      <xdr:spPr bwMode="auto">
        <a:xfrm rot="10800000">
          <a:off x="2621280" y="3261360"/>
          <a:ext cx="617220" cy="0"/>
        </a:xfrm>
        <a:prstGeom prst="line">
          <a:avLst/>
        </a:prstGeom>
        <a:noFill/>
        <a:ln w="6350" algn="ctr">
          <a:solidFill>
            <a:srgbClr val="000000"/>
          </a:solidFill>
          <a:round/>
          <a:headEnd/>
          <a:tailEnd/>
        </a:ln>
      </xdr:spPr>
    </xdr:cxnSp>
    <xdr:clientData/>
  </xdr:twoCellAnchor>
  <xdr:twoCellAnchor>
    <xdr:from>
      <xdr:col>6</xdr:col>
      <xdr:colOff>449580</xdr:colOff>
      <xdr:row>17</xdr:row>
      <xdr:rowOff>15240</xdr:rowOff>
    </xdr:from>
    <xdr:to>
      <xdr:col>8</xdr:col>
      <xdr:colOff>137160</xdr:colOff>
      <xdr:row>17</xdr:row>
      <xdr:rowOff>15240</xdr:rowOff>
    </xdr:to>
    <xdr:cxnSp macro="">
      <xdr:nvCxnSpPr>
        <xdr:cNvPr id="25970" name="Straight Connector 156">
          <a:extLst>
            <a:ext uri="{FF2B5EF4-FFF2-40B4-BE49-F238E27FC236}">
              <a16:creationId xmlns:a16="http://schemas.microsoft.com/office/drawing/2014/main" id="{00000000-0008-0000-0000-000072650000}"/>
            </a:ext>
          </a:extLst>
        </xdr:cNvPr>
        <xdr:cNvCxnSpPr>
          <a:cxnSpLocks noChangeShapeType="1"/>
        </xdr:cNvCxnSpPr>
      </xdr:nvCxnSpPr>
      <xdr:spPr bwMode="auto">
        <a:xfrm>
          <a:off x="6324600" y="3215640"/>
          <a:ext cx="624840" cy="0"/>
        </a:xfrm>
        <a:prstGeom prst="line">
          <a:avLst/>
        </a:prstGeom>
        <a:noFill/>
        <a:ln w="6350" algn="ctr">
          <a:solidFill>
            <a:srgbClr val="000000"/>
          </a:solidFill>
          <a:round/>
          <a:headEnd/>
          <a:tailEnd/>
        </a:ln>
      </xdr:spPr>
    </xdr:cxnSp>
    <xdr:clientData/>
  </xdr:twoCellAnchor>
  <xdr:twoCellAnchor>
    <xdr:from>
      <xdr:col>3</xdr:col>
      <xdr:colOff>167640</xdr:colOff>
      <xdr:row>8</xdr:row>
      <xdr:rowOff>152400</xdr:rowOff>
    </xdr:from>
    <xdr:to>
      <xdr:col>6</xdr:col>
      <xdr:colOff>449580</xdr:colOff>
      <xdr:row>8</xdr:row>
      <xdr:rowOff>152400</xdr:rowOff>
    </xdr:to>
    <xdr:cxnSp macro="">
      <xdr:nvCxnSpPr>
        <xdr:cNvPr id="25971" name="Straight Arrow Connector 158">
          <a:extLst>
            <a:ext uri="{FF2B5EF4-FFF2-40B4-BE49-F238E27FC236}">
              <a16:creationId xmlns:a16="http://schemas.microsoft.com/office/drawing/2014/main" id="{00000000-0008-0000-0000-000073650000}"/>
            </a:ext>
          </a:extLst>
        </xdr:cNvPr>
        <xdr:cNvCxnSpPr>
          <a:cxnSpLocks noChangeShapeType="1"/>
        </xdr:cNvCxnSpPr>
      </xdr:nvCxnSpPr>
      <xdr:spPr bwMode="auto">
        <a:xfrm>
          <a:off x="3230880" y="1638300"/>
          <a:ext cx="3093720" cy="0"/>
        </a:xfrm>
        <a:prstGeom prst="straightConnector1">
          <a:avLst/>
        </a:prstGeom>
        <a:noFill/>
        <a:ln w="0" algn="ctr">
          <a:solidFill>
            <a:srgbClr val="000000"/>
          </a:solidFill>
          <a:round/>
          <a:headEnd type="stealth" w="sm" len="sm"/>
          <a:tailEnd type="stealth" w="sm" len="sm"/>
        </a:ln>
      </xdr:spPr>
    </xdr:cxnSp>
    <xdr:clientData/>
  </xdr:twoCellAnchor>
  <xdr:twoCellAnchor>
    <xdr:from>
      <xdr:col>4</xdr:col>
      <xdr:colOff>251460</xdr:colOff>
      <xdr:row>10</xdr:row>
      <xdr:rowOff>60960</xdr:rowOff>
    </xdr:from>
    <xdr:to>
      <xdr:col>4</xdr:col>
      <xdr:colOff>541020</xdr:colOff>
      <xdr:row>10</xdr:row>
      <xdr:rowOff>114300</xdr:rowOff>
    </xdr:to>
    <xdr:cxnSp macro="">
      <xdr:nvCxnSpPr>
        <xdr:cNvPr id="25972" name="Straight Connector 161">
          <a:extLst>
            <a:ext uri="{FF2B5EF4-FFF2-40B4-BE49-F238E27FC236}">
              <a16:creationId xmlns:a16="http://schemas.microsoft.com/office/drawing/2014/main" id="{00000000-0008-0000-0000-000074650000}"/>
            </a:ext>
          </a:extLst>
        </xdr:cNvPr>
        <xdr:cNvCxnSpPr>
          <a:cxnSpLocks noChangeShapeType="1"/>
        </xdr:cNvCxnSpPr>
      </xdr:nvCxnSpPr>
      <xdr:spPr bwMode="auto">
        <a:xfrm rot="10800000">
          <a:off x="4518660" y="1927860"/>
          <a:ext cx="289560" cy="53340"/>
        </a:xfrm>
        <a:prstGeom prst="line">
          <a:avLst/>
        </a:prstGeom>
        <a:noFill/>
        <a:ln w="6350" algn="ctr">
          <a:solidFill>
            <a:srgbClr val="000000"/>
          </a:solidFill>
          <a:round/>
          <a:headEnd/>
          <a:tailEnd/>
        </a:ln>
      </xdr:spPr>
    </xdr:cxnSp>
    <xdr:clientData/>
  </xdr:twoCellAnchor>
  <xdr:twoCellAnchor>
    <xdr:from>
      <xdr:col>4</xdr:col>
      <xdr:colOff>236220</xdr:colOff>
      <xdr:row>14</xdr:row>
      <xdr:rowOff>45720</xdr:rowOff>
    </xdr:from>
    <xdr:to>
      <xdr:col>4</xdr:col>
      <xdr:colOff>571500</xdr:colOff>
      <xdr:row>14</xdr:row>
      <xdr:rowOff>114300</xdr:rowOff>
    </xdr:to>
    <xdr:cxnSp macro="">
      <xdr:nvCxnSpPr>
        <xdr:cNvPr id="25973" name="Straight Connector 164">
          <a:extLst>
            <a:ext uri="{FF2B5EF4-FFF2-40B4-BE49-F238E27FC236}">
              <a16:creationId xmlns:a16="http://schemas.microsoft.com/office/drawing/2014/main" id="{00000000-0008-0000-0000-000075650000}"/>
            </a:ext>
          </a:extLst>
        </xdr:cNvPr>
        <xdr:cNvCxnSpPr>
          <a:cxnSpLocks noChangeShapeType="1"/>
        </xdr:cNvCxnSpPr>
      </xdr:nvCxnSpPr>
      <xdr:spPr bwMode="auto">
        <a:xfrm rot="10800000">
          <a:off x="4503420" y="2674620"/>
          <a:ext cx="335280" cy="68580"/>
        </a:xfrm>
        <a:prstGeom prst="line">
          <a:avLst/>
        </a:prstGeom>
        <a:noFill/>
        <a:ln w="6350" algn="ctr">
          <a:solidFill>
            <a:srgbClr val="000000"/>
          </a:solidFill>
          <a:round/>
          <a:headEnd/>
          <a:tailEnd/>
        </a:ln>
      </xdr:spPr>
    </xdr:cxnSp>
    <xdr:clientData/>
  </xdr:twoCellAnchor>
  <xdr:twoCellAnchor>
    <xdr:from>
      <xdr:col>4</xdr:col>
      <xdr:colOff>297180</xdr:colOff>
      <xdr:row>10</xdr:row>
      <xdr:rowOff>68580</xdr:rowOff>
    </xdr:from>
    <xdr:to>
      <xdr:col>4</xdr:col>
      <xdr:colOff>297180</xdr:colOff>
      <xdr:row>14</xdr:row>
      <xdr:rowOff>60960</xdr:rowOff>
    </xdr:to>
    <xdr:cxnSp macro="">
      <xdr:nvCxnSpPr>
        <xdr:cNvPr id="25974" name="Straight Arrow Connector 170">
          <a:extLst>
            <a:ext uri="{FF2B5EF4-FFF2-40B4-BE49-F238E27FC236}">
              <a16:creationId xmlns:a16="http://schemas.microsoft.com/office/drawing/2014/main" id="{00000000-0008-0000-0000-000076650000}"/>
            </a:ext>
          </a:extLst>
        </xdr:cNvPr>
        <xdr:cNvCxnSpPr>
          <a:cxnSpLocks noChangeShapeType="1"/>
        </xdr:cNvCxnSpPr>
      </xdr:nvCxnSpPr>
      <xdr:spPr bwMode="auto">
        <a:xfrm rot="5400000">
          <a:off x="4187190" y="2312670"/>
          <a:ext cx="75438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4</xdr:col>
      <xdr:colOff>640080</xdr:colOff>
      <xdr:row>14</xdr:row>
      <xdr:rowOff>175260</xdr:rowOff>
    </xdr:from>
    <xdr:to>
      <xdr:col>4</xdr:col>
      <xdr:colOff>640080</xdr:colOff>
      <xdr:row>17</xdr:row>
      <xdr:rowOff>7620</xdr:rowOff>
    </xdr:to>
    <xdr:cxnSp macro="">
      <xdr:nvCxnSpPr>
        <xdr:cNvPr id="25975" name="Straight Arrow Connector 184">
          <a:extLst>
            <a:ext uri="{FF2B5EF4-FFF2-40B4-BE49-F238E27FC236}">
              <a16:creationId xmlns:a16="http://schemas.microsoft.com/office/drawing/2014/main" id="{00000000-0008-0000-0000-000077650000}"/>
            </a:ext>
          </a:extLst>
        </xdr:cNvPr>
        <xdr:cNvCxnSpPr>
          <a:cxnSpLocks noChangeShapeType="1"/>
        </xdr:cNvCxnSpPr>
      </xdr:nvCxnSpPr>
      <xdr:spPr bwMode="auto">
        <a:xfrm rot="5400000">
          <a:off x="4705350" y="3006090"/>
          <a:ext cx="40386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1668780</xdr:colOff>
      <xdr:row>17</xdr:row>
      <xdr:rowOff>60960</xdr:rowOff>
    </xdr:from>
    <xdr:to>
      <xdr:col>2</xdr:col>
      <xdr:colOff>1729740</xdr:colOff>
      <xdr:row>17</xdr:row>
      <xdr:rowOff>160020</xdr:rowOff>
    </xdr:to>
    <xdr:cxnSp macro="">
      <xdr:nvCxnSpPr>
        <xdr:cNvPr id="25976" name="Straight Connector 90">
          <a:extLst>
            <a:ext uri="{FF2B5EF4-FFF2-40B4-BE49-F238E27FC236}">
              <a16:creationId xmlns:a16="http://schemas.microsoft.com/office/drawing/2014/main" id="{00000000-0008-0000-0000-000078650000}"/>
            </a:ext>
          </a:extLst>
        </xdr:cNvPr>
        <xdr:cNvCxnSpPr>
          <a:cxnSpLocks noChangeShapeType="1"/>
        </xdr:cNvCxnSpPr>
      </xdr:nvCxnSpPr>
      <xdr:spPr bwMode="auto">
        <a:xfrm rot="5400000">
          <a:off x="2716530" y="3280410"/>
          <a:ext cx="99060" cy="60960"/>
        </a:xfrm>
        <a:prstGeom prst="line">
          <a:avLst/>
        </a:prstGeom>
        <a:noFill/>
        <a:ln w="3175" algn="ctr">
          <a:solidFill>
            <a:srgbClr val="000000"/>
          </a:solidFill>
          <a:round/>
          <a:headEnd/>
          <a:tailEnd/>
        </a:ln>
      </xdr:spPr>
    </xdr:cxnSp>
    <xdr:clientData/>
  </xdr:twoCellAnchor>
  <xdr:twoCellAnchor>
    <xdr:from>
      <xdr:col>2</xdr:col>
      <xdr:colOff>1699260</xdr:colOff>
      <xdr:row>17</xdr:row>
      <xdr:rowOff>60960</xdr:rowOff>
    </xdr:from>
    <xdr:to>
      <xdr:col>2</xdr:col>
      <xdr:colOff>1752600</xdr:colOff>
      <xdr:row>17</xdr:row>
      <xdr:rowOff>152400</xdr:rowOff>
    </xdr:to>
    <xdr:cxnSp macro="">
      <xdr:nvCxnSpPr>
        <xdr:cNvPr id="25977" name="Straight Connector 92">
          <a:extLst>
            <a:ext uri="{FF2B5EF4-FFF2-40B4-BE49-F238E27FC236}">
              <a16:creationId xmlns:a16="http://schemas.microsoft.com/office/drawing/2014/main" id="{00000000-0008-0000-0000-000079650000}"/>
            </a:ext>
          </a:extLst>
        </xdr:cNvPr>
        <xdr:cNvCxnSpPr>
          <a:cxnSpLocks noChangeShapeType="1"/>
        </xdr:cNvCxnSpPr>
      </xdr:nvCxnSpPr>
      <xdr:spPr bwMode="auto">
        <a:xfrm rot="5400000">
          <a:off x="2747010" y="3280410"/>
          <a:ext cx="91440" cy="53340"/>
        </a:xfrm>
        <a:prstGeom prst="line">
          <a:avLst/>
        </a:prstGeom>
        <a:noFill/>
        <a:ln w="3175" algn="ctr">
          <a:solidFill>
            <a:srgbClr val="000000"/>
          </a:solidFill>
          <a:round/>
          <a:headEnd/>
          <a:tailEnd/>
        </a:ln>
      </xdr:spPr>
    </xdr:cxnSp>
    <xdr:clientData/>
  </xdr:twoCellAnchor>
  <xdr:twoCellAnchor>
    <xdr:from>
      <xdr:col>2</xdr:col>
      <xdr:colOff>1722120</xdr:colOff>
      <xdr:row>17</xdr:row>
      <xdr:rowOff>68580</xdr:rowOff>
    </xdr:from>
    <xdr:to>
      <xdr:col>2</xdr:col>
      <xdr:colOff>1775460</xdr:colOff>
      <xdr:row>17</xdr:row>
      <xdr:rowOff>160020</xdr:rowOff>
    </xdr:to>
    <xdr:cxnSp macro="">
      <xdr:nvCxnSpPr>
        <xdr:cNvPr id="25978" name="Straight Connector 93">
          <a:extLst>
            <a:ext uri="{FF2B5EF4-FFF2-40B4-BE49-F238E27FC236}">
              <a16:creationId xmlns:a16="http://schemas.microsoft.com/office/drawing/2014/main" id="{00000000-0008-0000-0000-00007A650000}"/>
            </a:ext>
          </a:extLst>
        </xdr:cNvPr>
        <xdr:cNvCxnSpPr>
          <a:cxnSpLocks noChangeShapeType="1"/>
        </xdr:cNvCxnSpPr>
      </xdr:nvCxnSpPr>
      <xdr:spPr bwMode="auto">
        <a:xfrm rot="5400000">
          <a:off x="2769870" y="3288030"/>
          <a:ext cx="91440" cy="53340"/>
        </a:xfrm>
        <a:prstGeom prst="line">
          <a:avLst/>
        </a:prstGeom>
        <a:noFill/>
        <a:ln w="3175" algn="ctr">
          <a:solidFill>
            <a:srgbClr val="000000"/>
          </a:solidFill>
          <a:round/>
          <a:headEnd/>
          <a:tailEnd/>
        </a:ln>
      </xdr:spPr>
    </xdr:cxnSp>
    <xdr:clientData/>
  </xdr:twoCellAnchor>
  <xdr:twoCellAnchor>
    <xdr:from>
      <xdr:col>2</xdr:col>
      <xdr:colOff>1859280</xdr:colOff>
      <xdr:row>17</xdr:row>
      <xdr:rowOff>60960</xdr:rowOff>
    </xdr:from>
    <xdr:to>
      <xdr:col>2</xdr:col>
      <xdr:colOff>1912620</xdr:colOff>
      <xdr:row>17</xdr:row>
      <xdr:rowOff>160020</xdr:rowOff>
    </xdr:to>
    <xdr:cxnSp macro="">
      <xdr:nvCxnSpPr>
        <xdr:cNvPr id="25979" name="Straight Connector 99">
          <a:extLst>
            <a:ext uri="{FF2B5EF4-FFF2-40B4-BE49-F238E27FC236}">
              <a16:creationId xmlns:a16="http://schemas.microsoft.com/office/drawing/2014/main" id="{00000000-0008-0000-0000-00007B650000}"/>
            </a:ext>
          </a:extLst>
        </xdr:cNvPr>
        <xdr:cNvCxnSpPr>
          <a:cxnSpLocks noChangeShapeType="1"/>
        </xdr:cNvCxnSpPr>
      </xdr:nvCxnSpPr>
      <xdr:spPr bwMode="auto">
        <a:xfrm rot="5400000">
          <a:off x="2903220" y="3284220"/>
          <a:ext cx="99060" cy="53340"/>
        </a:xfrm>
        <a:prstGeom prst="line">
          <a:avLst/>
        </a:prstGeom>
        <a:noFill/>
        <a:ln w="3175" algn="ctr">
          <a:solidFill>
            <a:srgbClr val="000000"/>
          </a:solidFill>
          <a:round/>
          <a:headEnd/>
          <a:tailEnd/>
        </a:ln>
      </xdr:spPr>
    </xdr:cxnSp>
    <xdr:clientData/>
  </xdr:twoCellAnchor>
  <xdr:twoCellAnchor>
    <xdr:from>
      <xdr:col>2</xdr:col>
      <xdr:colOff>1897380</xdr:colOff>
      <xdr:row>17</xdr:row>
      <xdr:rowOff>60960</xdr:rowOff>
    </xdr:from>
    <xdr:to>
      <xdr:col>2</xdr:col>
      <xdr:colOff>1950720</xdr:colOff>
      <xdr:row>17</xdr:row>
      <xdr:rowOff>152400</xdr:rowOff>
    </xdr:to>
    <xdr:cxnSp macro="">
      <xdr:nvCxnSpPr>
        <xdr:cNvPr id="25980" name="Straight Connector 100">
          <a:extLst>
            <a:ext uri="{FF2B5EF4-FFF2-40B4-BE49-F238E27FC236}">
              <a16:creationId xmlns:a16="http://schemas.microsoft.com/office/drawing/2014/main" id="{00000000-0008-0000-0000-00007C650000}"/>
            </a:ext>
          </a:extLst>
        </xdr:cNvPr>
        <xdr:cNvCxnSpPr>
          <a:cxnSpLocks noChangeShapeType="1"/>
        </xdr:cNvCxnSpPr>
      </xdr:nvCxnSpPr>
      <xdr:spPr bwMode="auto">
        <a:xfrm rot="5400000">
          <a:off x="2945130" y="3280410"/>
          <a:ext cx="91440" cy="53340"/>
        </a:xfrm>
        <a:prstGeom prst="line">
          <a:avLst/>
        </a:prstGeom>
        <a:noFill/>
        <a:ln w="3175" algn="ctr">
          <a:solidFill>
            <a:srgbClr val="000000"/>
          </a:solidFill>
          <a:round/>
          <a:headEnd/>
          <a:tailEnd/>
        </a:ln>
      </xdr:spPr>
    </xdr:cxnSp>
    <xdr:clientData/>
  </xdr:twoCellAnchor>
  <xdr:twoCellAnchor>
    <xdr:from>
      <xdr:col>2</xdr:col>
      <xdr:colOff>1920240</xdr:colOff>
      <xdr:row>17</xdr:row>
      <xdr:rowOff>68580</xdr:rowOff>
    </xdr:from>
    <xdr:to>
      <xdr:col>2</xdr:col>
      <xdr:colOff>1981200</xdr:colOff>
      <xdr:row>17</xdr:row>
      <xdr:rowOff>160020</xdr:rowOff>
    </xdr:to>
    <xdr:cxnSp macro="">
      <xdr:nvCxnSpPr>
        <xdr:cNvPr id="25981" name="Straight Connector 101">
          <a:extLst>
            <a:ext uri="{FF2B5EF4-FFF2-40B4-BE49-F238E27FC236}">
              <a16:creationId xmlns:a16="http://schemas.microsoft.com/office/drawing/2014/main" id="{00000000-0008-0000-0000-00007D650000}"/>
            </a:ext>
          </a:extLst>
        </xdr:cNvPr>
        <xdr:cNvCxnSpPr>
          <a:cxnSpLocks noChangeShapeType="1"/>
        </xdr:cNvCxnSpPr>
      </xdr:nvCxnSpPr>
      <xdr:spPr bwMode="auto">
        <a:xfrm rot="5400000">
          <a:off x="2971800" y="3284220"/>
          <a:ext cx="91440" cy="60960"/>
        </a:xfrm>
        <a:prstGeom prst="line">
          <a:avLst/>
        </a:prstGeom>
        <a:noFill/>
        <a:ln w="3175" algn="ctr">
          <a:solidFill>
            <a:srgbClr val="000000"/>
          </a:solidFill>
          <a:round/>
          <a:headEnd/>
          <a:tailEnd/>
        </a:ln>
      </xdr:spPr>
    </xdr:cxnSp>
    <xdr:clientData/>
  </xdr:twoCellAnchor>
  <xdr:twoCellAnchor>
    <xdr:from>
      <xdr:col>2</xdr:col>
      <xdr:colOff>1950720</xdr:colOff>
      <xdr:row>17</xdr:row>
      <xdr:rowOff>68580</xdr:rowOff>
    </xdr:from>
    <xdr:to>
      <xdr:col>3</xdr:col>
      <xdr:colOff>7620</xdr:colOff>
      <xdr:row>17</xdr:row>
      <xdr:rowOff>160020</xdr:rowOff>
    </xdr:to>
    <xdr:cxnSp macro="">
      <xdr:nvCxnSpPr>
        <xdr:cNvPr id="25982" name="Straight Connector 102">
          <a:extLst>
            <a:ext uri="{FF2B5EF4-FFF2-40B4-BE49-F238E27FC236}">
              <a16:creationId xmlns:a16="http://schemas.microsoft.com/office/drawing/2014/main" id="{00000000-0008-0000-0000-00007E650000}"/>
            </a:ext>
          </a:extLst>
        </xdr:cNvPr>
        <xdr:cNvCxnSpPr>
          <a:cxnSpLocks noChangeShapeType="1"/>
        </xdr:cNvCxnSpPr>
      </xdr:nvCxnSpPr>
      <xdr:spPr bwMode="auto">
        <a:xfrm rot="5400000">
          <a:off x="2998470" y="3288030"/>
          <a:ext cx="91440" cy="53340"/>
        </a:xfrm>
        <a:prstGeom prst="line">
          <a:avLst/>
        </a:prstGeom>
        <a:noFill/>
        <a:ln w="3175" algn="ctr">
          <a:solidFill>
            <a:srgbClr val="000000"/>
          </a:solidFill>
          <a:round/>
          <a:headEnd/>
          <a:tailEnd/>
        </a:ln>
      </xdr:spPr>
    </xdr:cxnSp>
    <xdr:clientData/>
  </xdr:twoCellAnchor>
  <xdr:twoCellAnchor>
    <xdr:from>
      <xdr:col>2</xdr:col>
      <xdr:colOff>1805940</xdr:colOff>
      <xdr:row>17</xdr:row>
      <xdr:rowOff>83820</xdr:rowOff>
    </xdr:from>
    <xdr:to>
      <xdr:col>2</xdr:col>
      <xdr:colOff>1897380</xdr:colOff>
      <xdr:row>17</xdr:row>
      <xdr:rowOff>83820</xdr:rowOff>
    </xdr:to>
    <xdr:cxnSp macro="">
      <xdr:nvCxnSpPr>
        <xdr:cNvPr id="25983" name="Straight Connector 104">
          <a:extLst>
            <a:ext uri="{FF2B5EF4-FFF2-40B4-BE49-F238E27FC236}">
              <a16:creationId xmlns:a16="http://schemas.microsoft.com/office/drawing/2014/main" id="{00000000-0008-0000-0000-00007F650000}"/>
            </a:ext>
          </a:extLst>
        </xdr:cNvPr>
        <xdr:cNvCxnSpPr>
          <a:cxnSpLocks noChangeShapeType="1"/>
        </xdr:cNvCxnSpPr>
      </xdr:nvCxnSpPr>
      <xdr:spPr bwMode="auto">
        <a:xfrm>
          <a:off x="2872740" y="3284220"/>
          <a:ext cx="91440" cy="0"/>
        </a:xfrm>
        <a:prstGeom prst="line">
          <a:avLst/>
        </a:prstGeom>
        <a:noFill/>
        <a:ln w="3175" algn="ctr">
          <a:solidFill>
            <a:srgbClr val="000000"/>
          </a:solidFill>
          <a:round/>
          <a:headEnd/>
          <a:tailEnd/>
        </a:ln>
      </xdr:spPr>
    </xdr:cxnSp>
    <xdr:clientData/>
  </xdr:twoCellAnchor>
  <xdr:twoCellAnchor>
    <xdr:from>
      <xdr:col>2</xdr:col>
      <xdr:colOff>1790700</xdr:colOff>
      <xdr:row>17</xdr:row>
      <xdr:rowOff>106680</xdr:rowOff>
    </xdr:from>
    <xdr:to>
      <xdr:col>2</xdr:col>
      <xdr:colOff>1882140</xdr:colOff>
      <xdr:row>17</xdr:row>
      <xdr:rowOff>106680</xdr:rowOff>
    </xdr:to>
    <xdr:cxnSp macro="">
      <xdr:nvCxnSpPr>
        <xdr:cNvPr id="25984" name="Straight Connector 107">
          <a:extLst>
            <a:ext uri="{FF2B5EF4-FFF2-40B4-BE49-F238E27FC236}">
              <a16:creationId xmlns:a16="http://schemas.microsoft.com/office/drawing/2014/main" id="{00000000-0008-0000-0000-000080650000}"/>
            </a:ext>
          </a:extLst>
        </xdr:cNvPr>
        <xdr:cNvCxnSpPr>
          <a:cxnSpLocks noChangeShapeType="1"/>
        </xdr:cNvCxnSpPr>
      </xdr:nvCxnSpPr>
      <xdr:spPr bwMode="auto">
        <a:xfrm>
          <a:off x="2857500" y="3307080"/>
          <a:ext cx="91440" cy="0"/>
        </a:xfrm>
        <a:prstGeom prst="line">
          <a:avLst/>
        </a:prstGeom>
        <a:noFill/>
        <a:ln w="3175" algn="ctr">
          <a:solidFill>
            <a:srgbClr val="000000"/>
          </a:solidFill>
          <a:round/>
          <a:headEnd/>
          <a:tailEnd/>
        </a:ln>
      </xdr:spPr>
    </xdr:cxnSp>
    <xdr:clientData/>
  </xdr:twoCellAnchor>
  <xdr:twoCellAnchor>
    <xdr:from>
      <xdr:col>2</xdr:col>
      <xdr:colOff>1767840</xdr:colOff>
      <xdr:row>17</xdr:row>
      <xdr:rowOff>160020</xdr:rowOff>
    </xdr:from>
    <xdr:to>
      <xdr:col>2</xdr:col>
      <xdr:colOff>1859280</xdr:colOff>
      <xdr:row>17</xdr:row>
      <xdr:rowOff>160020</xdr:rowOff>
    </xdr:to>
    <xdr:cxnSp macro="">
      <xdr:nvCxnSpPr>
        <xdr:cNvPr id="25985" name="Straight Connector 111">
          <a:extLst>
            <a:ext uri="{FF2B5EF4-FFF2-40B4-BE49-F238E27FC236}">
              <a16:creationId xmlns:a16="http://schemas.microsoft.com/office/drawing/2014/main" id="{00000000-0008-0000-0000-000081650000}"/>
            </a:ext>
          </a:extLst>
        </xdr:cNvPr>
        <xdr:cNvCxnSpPr>
          <a:cxnSpLocks noChangeShapeType="1"/>
        </xdr:cNvCxnSpPr>
      </xdr:nvCxnSpPr>
      <xdr:spPr bwMode="auto">
        <a:xfrm>
          <a:off x="2834640" y="3360420"/>
          <a:ext cx="91440" cy="0"/>
        </a:xfrm>
        <a:prstGeom prst="line">
          <a:avLst/>
        </a:prstGeom>
        <a:noFill/>
        <a:ln w="3175" algn="ctr">
          <a:solidFill>
            <a:srgbClr val="000000"/>
          </a:solidFill>
          <a:round/>
          <a:headEnd/>
          <a:tailEnd/>
        </a:ln>
      </xdr:spPr>
    </xdr:cxnSp>
    <xdr:clientData/>
  </xdr:twoCellAnchor>
  <xdr:twoCellAnchor>
    <xdr:from>
      <xdr:col>2</xdr:col>
      <xdr:colOff>1775460</xdr:colOff>
      <xdr:row>17</xdr:row>
      <xdr:rowOff>137160</xdr:rowOff>
    </xdr:from>
    <xdr:to>
      <xdr:col>2</xdr:col>
      <xdr:colOff>1874520</xdr:colOff>
      <xdr:row>17</xdr:row>
      <xdr:rowOff>137160</xdr:rowOff>
    </xdr:to>
    <xdr:cxnSp macro="">
      <xdr:nvCxnSpPr>
        <xdr:cNvPr id="25986" name="Straight Connector 113">
          <a:extLst>
            <a:ext uri="{FF2B5EF4-FFF2-40B4-BE49-F238E27FC236}">
              <a16:creationId xmlns:a16="http://schemas.microsoft.com/office/drawing/2014/main" id="{00000000-0008-0000-0000-000082650000}"/>
            </a:ext>
          </a:extLst>
        </xdr:cNvPr>
        <xdr:cNvCxnSpPr>
          <a:cxnSpLocks noChangeShapeType="1"/>
        </xdr:cNvCxnSpPr>
      </xdr:nvCxnSpPr>
      <xdr:spPr bwMode="auto">
        <a:xfrm>
          <a:off x="2842260" y="3337560"/>
          <a:ext cx="99060" cy="0"/>
        </a:xfrm>
        <a:prstGeom prst="line">
          <a:avLst/>
        </a:prstGeom>
        <a:noFill/>
        <a:ln w="3175" algn="ctr">
          <a:solidFill>
            <a:srgbClr val="000000"/>
          </a:solidFill>
          <a:round/>
          <a:headEnd/>
          <a:tailEnd/>
        </a:ln>
      </xdr:spPr>
    </xdr:cxnSp>
    <xdr:clientData/>
  </xdr:twoCellAnchor>
  <xdr:twoCellAnchor>
    <xdr:from>
      <xdr:col>6</xdr:col>
      <xdr:colOff>701040</xdr:colOff>
      <xdr:row>17</xdr:row>
      <xdr:rowOff>15240</xdr:rowOff>
    </xdr:from>
    <xdr:to>
      <xdr:col>7</xdr:col>
      <xdr:colOff>30480</xdr:colOff>
      <xdr:row>17</xdr:row>
      <xdr:rowOff>114300</xdr:rowOff>
    </xdr:to>
    <xdr:cxnSp macro="">
      <xdr:nvCxnSpPr>
        <xdr:cNvPr id="25987" name="Straight Connector 90">
          <a:extLst>
            <a:ext uri="{FF2B5EF4-FFF2-40B4-BE49-F238E27FC236}">
              <a16:creationId xmlns:a16="http://schemas.microsoft.com/office/drawing/2014/main" id="{00000000-0008-0000-0000-000083650000}"/>
            </a:ext>
          </a:extLst>
        </xdr:cNvPr>
        <xdr:cNvCxnSpPr>
          <a:cxnSpLocks noChangeShapeType="1"/>
        </xdr:cNvCxnSpPr>
      </xdr:nvCxnSpPr>
      <xdr:spPr bwMode="auto">
        <a:xfrm rot="5400000">
          <a:off x="6557010" y="3234690"/>
          <a:ext cx="99060" cy="60960"/>
        </a:xfrm>
        <a:prstGeom prst="line">
          <a:avLst/>
        </a:prstGeom>
        <a:noFill/>
        <a:ln w="3175" algn="ctr">
          <a:solidFill>
            <a:srgbClr val="000000"/>
          </a:solidFill>
          <a:round/>
          <a:headEnd/>
          <a:tailEnd/>
        </a:ln>
      </xdr:spPr>
    </xdr:cxnSp>
    <xdr:clientData/>
  </xdr:twoCellAnchor>
  <xdr:twoCellAnchor>
    <xdr:from>
      <xdr:col>7</xdr:col>
      <xdr:colOff>0</xdr:colOff>
      <xdr:row>17</xdr:row>
      <xdr:rowOff>15240</xdr:rowOff>
    </xdr:from>
    <xdr:to>
      <xdr:col>7</xdr:col>
      <xdr:colOff>53340</xdr:colOff>
      <xdr:row>17</xdr:row>
      <xdr:rowOff>106680</xdr:rowOff>
    </xdr:to>
    <xdr:cxnSp macro="">
      <xdr:nvCxnSpPr>
        <xdr:cNvPr id="25988" name="Straight Connector 92">
          <a:extLst>
            <a:ext uri="{FF2B5EF4-FFF2-40B4-BE49-F238E27FC236}">
              <a16:creationId xmlns:a16="http://schemas.microsoft.com/office/drawing/2014/main" id="{00000000-0008-0000-0000-000084650000}"/>
            </a:ext>
          </a:extLst>
        </xdr:cNvPr>
        <xdr:cNvCxnSpPr>
          <a:cxnSpLocks noChangeShapeType="1"/>
        </xdr:cNvCxnSpPr>
      </xdr:nvCxnSpPr>
      <xdr:spPr bwMode="auto">
        <a:xfrm rot="5400000">
          <a:off x="6587490" y="3234690"/>
          <a:ext cx="91440" cy="53340"/>
        </a:xfrm>
        <a:prstGeom prst="line">
          <a:avLst/>
        </a:prstGeom>
        <a:noFill/>
        <a:ln w="3175" algn="ctr">
          <a:solidFill>
            <a:srgbClr val="000000"/>
          </a:solidFill>
          <a:round/>
          <a:headEnd/>
          <a:tailEnd/>
        </a:ln>
      </xdr:spPr>
    </xdr:cxnSp>
    <xdr:clientData/>
  </xdr:twoCellAnchor>
  <xdr:twoCellAnchor>
    <xdr:from>
      <xdr:col>7</xdr:col>
      <xdr:colOff>22860</xdr:colOff>
      <xdr:row>17</xdr:row>
      <xdr:rowOff>22860</xdr:rowOff>
    </xdr:from>
    <xdr:to>
      <xdr:col>7</xdr:col>
      <xdr:colOff>76200</xdr:colOff>
      <xdr:row>17</xdr:row>
      <xdr:rowOff>114300</xdr:rowOff>
    </xdr:to>
    <xdr:cxnSp macro="">
      <xdr:nvCxnSpPr>
        <xdr:cNvPr id="25989" name="Straight Connector 93">
          <a:extLst>
            <a:ext uri="{FF2B5EF4-FFF2-40B4-BE49-F238E27FC236}">
              <a16:creationId xmlns:a16="http://schemas.microsoft.com/office/drawing/2014/main" id="{00000000-0008-0000-0000-000085650000}"/>
            </a:ext>
          </a:extLst>
        </xdr:cNvPr>
        <xdr:cNvCxnSpPr>
          <a:cxnSpLocks noChangeShapeType="1"/>
        </xdr:cNvCxnSpPr>
      </xdr:nvCxnSpPr>
      <xdr:spPr bwMode="auto">
        <a:xfrm rot="5400000">
          <a:off x="6610350" y="3242310"/>
          <a:ext cx="91440" cy="53340"/>
        </a:xfrm>
        <a:prstGeom prst="line">
          <a:avLst/>
        </a:prstGeom>
        <a:noFill/>
        <a:ln w="3175" algn="ctr">
          <a:solidFill>
            <a:srgbClr val="000000"/>
          </a:solidFill>
          <a:round/>
          <a:headEnd/>
          <a:tailEnd/>
        </a:ln>
      </xdr:spPr>
    </xdr:cxnSp>
    <xdr:clientData/>
  </xdr:twoCellAnchor>
  <xdr:twoCellAnchor>
    <xdr:from>
      <xdr:col>7</xdr:col>
      <xdr:colOff>167640</xdr:colOff>
      <xdr:row>17</xdr:row>
      <xdr:rowOff>15240</xdr:rowOff>
    </xdr:from>
    <xdr:to>
      <xdr:col>8</xdr:col>
      <xdr:colOff>15240</xdr:colOff>
      <xdr:row>17</xdr:row>
      <xdr:rowOff>114300</xdr:rowOff>
    </xdr:to>
    <xdr:cxnSp macro="">
      <xdr:nvCxnSpPr>
        <xdr:cNvPr id="25990" name="Straight Connector 99">
          <a:extLst>
            <a:ext uri="{FF2B5EF4-FFF2-40B4-BE49-F238E27FC236}">
              <a16:creationId xmlns:a16="http://schemas.microsoft.com/office/drawing/2014/main" id="{00000000-0008-0000-0000-000086650000}"/>
            </a:ext>
          </a:extLst>
        </xdr:cNvPr>
        <xdr:cNvCxnSpPr>
          <a:cxnSpLocks noChangeShapeType="1"/>
        </xdr:cNvCxnSpPr>
      </xdr:nvCxnSpPr>
      <xdr:spPr bwMode="auto">
        <a:xfrm rot="5400000">
          <a:off x="6751320" y="3238500"/>
          <a:ext cx="99060" cy="53340"/>
        </a:xfrm>
        <a:prstGeom prst="line">
          <a:avLst/>
        </a:prstGeom>
        <a:noFill/>
        <a:ln w="3175" algn="ctr">
          <a:solidFill>
            <a:srgbClr val="000000"/>
          </a:solidFill>
          <a:round/>
          <a:headEnd/>
          <a:tailEnd/>
        </a:ln>
      </xdr:spPr>
    </xdr:cxnSp>
    <xdr:clientData/>
  </xdr:twoCellAnchor>
  <xdr:twoCellAnchor>
    <xdr:from>
      <xdr:col>7</xdr:col>
      <xdr:colOff>198120</xdr:colOff>
      <xdr:row>17</xdr:row>
      <xdr:rowOff>15240</xdr:rowOff>
    </xdr:from>
    <xdr:to>
      <xdr:col>8</xdr:col>
      <xdr:colOff>45720</xdr:colOff>
      <xdr:row>17</xdr:row>
      <xdr:rowOff>106680</xdr:rowOff>
    </xdr:to>
    <xdr:cxnSp macro="">
      <xdr:nvCxnSpPr>
        <xdr:cNvPr id="25991" name="Straight Connector 100">
          <a:extLst>
            <a:ext uri="{FF2B5EF4-FFF2-40B4-BE49-F238E27FC236}">
              <a16:creationId xmlns:a16="http://schemas.microsoft.com/office/drawing/2014/main" id="{00000000-0008-0000-0000-000087650000}"/>
            </a:ext>
          </a:extLst>
        </xdr:cNvPr>
        <xdr:cNvCxnSpPr>
          <a:cxnSpLocks noChangeShapeType="1"/>
        </xdr:cNvCxnSpPr>
      </xdr:nvCxnSpPr>
      <xdr:spPr bwMode="auto">
        <a:xfrm rot="5400000">
          <a:off x="6785610" y="3234690"/>
          <a:ext cx="91440" cy="53340"/>
        </a:xfrm>
        <a:prstGeom prst="line">
          <a:avLst/>
        </a:prstGeom>
        <a:noFill/>
        <a:ln w="3175" algn="ctr">
          <a:solidFill>
            <a:srgbClr val="000000"/>
          </a:solidFill>
          <a:round/>
          <a:headEnd/>
          <a:tailEnd/>
        </a:ln>
      </xdr:spPr>
    </xdr:cxnSp>
    <xdr:clientData/>
  </xdr:twoCellAnchor>
  <xdr:twoCellAnchor>
    <xdr:from>
      <xdr:col>8</xdr:col>
      <xdr:colOff>15240</xdr:colOff>
      <xdr:row>17</xdr:row>
      <xdr:rowOff>22860</xdr:rowOff>
    </xdr:from>
    <xdr:to>
      <xdr:col>8</xdr:col>
      <xdr:colOff>76200</xdr:colOff>
      <xdr:row>17</xdr:row>
      <xdr:rowOff>114300</xdr:rowOff>
    </xdr:to>
    <xdr:cxnSp macro="">
      <xdr:nvCxnSpPr>
        <xdr:cNvPr id="25992" name="Straight Connector 101">
          <a:extLst>
            <a:ext uri="{FF2B5EF4-FFF2-40B4-BE49-F238E27FC236}">
              <a16:creationId xmlns:a16="http://schemas.microsoft.com/office/drawing/2014/main" id="{00000000-0008-0000-0000-000088650000}"/>
            </a:ext>
          </a:extLst>
        </xdr:cNvPr>
        <xdr:cNvCxnSpPr>
          <a:cxnSpLocks noChangeShapeType="1"/>
        </xdr:cNvCxnSpPr>
      </xdr:nvCxnSpPr>
      <xdr:spPr bwMode="auto">
        <a:xfrm rot="5400000">
          <a:off x="6812280" y="3238500"/>
          <a:ext cx="91440" cy="60960"/>
        </a:xfrm>
        <a:prstGeom prst="line">
          <a:avLst/>
        </a:prstGeom>
        <a:noFill/>
        <a:ln w="3175" algn="ctr">
          <a:solidFill>
            <a:srgbClr val="000000"/>
          </a:solidFill>
          <a:round/>
          <a:headEnd/>
          <a:tailEnd/>
        </a:ln>
      </xdr:spPr>
    </xdr:cxnSp>
    <xdr:clientData/>
  </xdr:twoCellAnchor>
  <xdr:twoCellAnchor>
    <xdr:from>
      <xdr:col>8</xdr:col>
      <xdr:colOff>45720</xdr:colOff>
      <xdr:row>17</xdr:row>
      <xdr:rowOff>22860</xdr:rowOff>
    </xdr:from>
    <xdr:to>
      <xdr:col>8</xdr:col>
      <xdr:colOff>99060</xdr:colOff>
      <xdr:row>17</xdr:row>
      <xdr:rowOff>114300</xdr:rowOff>
    </xdr:to>
    <xdr:cxnSp macro="">
      <xdr:nvCxnSpPr>
        <xdr:cNvPr id="25993" name="Straight Connector 102">
          <a:extLst>
            <a:ext uri="{FF2B5EF4-FFF2-40B4-BE49-F238E27FC236}">
              <a16:creationId xmlns:a16="http://schemas.microsoft.com/office/drawing/2014/main" id="{00000000-0008-0000-0000-000089650000}"/>
            </a:ext>
          </a:extLst>
        </xdr:cNvPr>
        <xdr:cNvCxnSpPr>
          <a:cxnSpLocks noChangeShapeType="1"/>
        </xdr:cNvCxnSpPr>
      </xdr:nvCxnSpPr>
      <xdr:spPr bwMode="auto">
        <a:xfrm rot="5400000">
          <a:off x="6838950" y="3242310"/>
          <a:ext cx="91440" cy="53340"/>
        </a:xfrm>
        <a:prstGeom prst="line">
          <a:avLst/>
        </a:prstGeom>
        <a:noFill/>
        <a:ln w="3175" algn="ctr">
          <a:solidFill>
            <a:srgbClr val="000000"/>
          </a:solidFill>
          <a:round/>
          <a:headEnd/>
          <a:tailEnd/>
        </a:ln>
      </xdr:spPr>
    </xdr:cxnSp>
    <xdr:clientData/>
  </xdr:twoCellAnchor>
  <xdr:twoCellAnchor>
    <xdr:from>
      <xdr:col>7</xdr:col>
      <xdr:colOff>106680</xdr:colOff>
      <xdr:row>17</xdr:row>
      <xdr:rowOff>38100</xdr:rowOff>
    </xdr:from>
    <xdr:to>
      <xdr:col>7</xdr:col>
      <xdr:colOff>198120</xdr:colOff>
      <xdr:row>17</xdr:row>
      <xdr:rowOff>38100</xdr:rowOff>
    </xdr:to>
    <xdr:cxnSp macro="">
      <xdr:nvCxnSpPr>
        <xdr:cNvPr id="25994" name="Straight Connector 104">
          <a:extLst>
            <a:ext uri="{FF2B5EF4-FFF2-40B4-BE49-F238E27FC236}">
              <a16:creationId xmlns:a16="http://schemas.microsoft.com/office/drawing/2014/main" id="{00000000-0008-0000-0000-00008A650000}"/>
            </a:ext>
          </a:extLst>
        </xdr:cNvPr>
        <xdr:cNvCxnSpPr>
          <a:cxnSpLocks noChangeShapeType="1"/>
        </xdr:cNvCxnSpPr>
      </xdr:nvCxnSpPr>
      <xdr:spPr bwMode="auto">
        <a:xfrm>
          <a:off x="6713220" y="3238500"/>
          <a:ext cx="91440" cy="0"/>
        </a:xfrm>
        <a:prstGeom prst="line">
          <a:avLst/>
        </a:prstGeom>
        <a:noFill/>
        <a:ln w="3175" algn="ctr">
          <a:solidFill>
            <a:srgbClr val="000000"/>
          </a:solidFill>
          <a:round/>
          <a:headEnd/>
          <a:tailEnd/>
        </a:ln>
      </xdr:spPr>
    </xdr:cxnSp>
    <xdr:clientData/>
  </xdr:twoCellAnchor>
  <xdr:twoCellAnchor>
    <xdr:from>
      <xdr:col>7</xdr:col>
      <xdr:colOff>91440</xdr:colOff>
      <xdr:row>17</xdr:row>
      <xdr:rowOff>60960</xdr:rowOff>
    </xdr:from>
    <xdr:to>
      <xdr:col>7</xdr:col>
      <xdr:colOff>182880</xdr:colOff>
      <xdr:row>17</xdr:row>
      <xdr:rowOff>60960</xdr:rowOff>
    </xdr:to>
    <xdr:cxnSp macro="">
      <xdr:nvCxnSpPr>
        <xdr:cNvPr id="25995" name="Straight Connector 107">
          <a:extLst>
            <a:ext uri="{FF2B5EF4-FFF2-40B4-BE49-F238E27FC236}">
              <a16:creationId xmlns:a16="http://schemas.microsoft.com/office/drawing/2014/main" id="{00000000-0008-0000-0000-00008B650000}"/>
            </a:ext>
          </a:extLst>
        </xdr:cNvPr>
        <xdr:cNvCxnSpPr>
          <a:cxnSpLocks noChangeShapeType="1"/>
        </xdr:cNvCxnSpPr>
      </xdr:nvCxnSpPr>
      <xdr:spPr bwMode="auto">
        <a:xfrm>
          <a:off x="6697980" y="3261360"/>
          <a:ext cx="91440" cy="0"/>
        </a:xfrm>
        <a:prstGeom prst="line">
          <a:avLst/>
        </a:prstGeom>
        <a:noFill/>
        <a:ln w="3175" algn="ctr">
          <a:solidFill>
            <a:srgbClr val="000000"/>
          </a:solidFill>
          <a:round/>
          <a:headEnd/>
          <a:tailEnd/>
        </a:ln>
      </xdr:spPr>
    </xdr:cxnSp>
    <xdr:clientData/>
  </xdr:twoCellAnchor>
  <xdr:twoCellAnchor>
    <xdr:from>
      <xdr:col>7</xdr:col>
      <xdr:colOff>68580</xdr:colOff>
      <xdr:row>17</xdr:row>
      <xdr:rowOff>114300</xdr:rowOff>
    </xdr:from>
    <xdr:to>
      <xdr:col>7</xdr:col>
      <xdr:colOff>160020</xdr:colOff>
      <xdr:row>17</xdr:row>
      <xdr:rowOff>114300</xdr:rowOff>
    </xdr:to>
    <xdr:cxnSp macro="">
      <xdr:nvCxnSpPr>
        <xdr:cNvPr id="25996" name="Straight Connector 111">
          <a:extLst>
            <a:ext uri="{FF2B5EF4-FFF2-40B4-BE49-F238E27FC236}">
              <a16:creationId xmlns:a16="http://schemas.microsoft.com/office/drawing/2014/main" id="{00000000-0008-0000-0000-00008C650000}"/>
            </a:ext>
          </a:extLst>
        </xdr:cNvPr>
        <xdr:cNvCxnSpPr>
          <a:cxnSpLocks noChangeShapeType="1"/>
        </xdr:cNvCxnSpPr>
      </xdr:nvCxnSpPr>
      <xdr:spPr bwMode="auto">
        <a:xfrm>
          <a:off x="6675120" y="3314700"/>
          <a:ext cx="91440" cy="0"/>
        </a:xfrm>
        <a:prstGeom prst="line">
          <a:avLst/>
        </a:prstGeom>
        <a:noFill/>
        <a:ln w="3175" algn="ctr">
          <a:solidFill>
            <a:srgbClr val="000000"/>
          </a:solidFill>
          <a:round/>
          <a:headEnd/>
          <a:tailEnd/>
        </a:ln>
      </xdr:spPr>
    </xdr:cxnSp>
    <xdr:clientData/>
  </xdr:twoCellAnchor>
  <xdr:twoCellAnchor>
    <xdr:from>
      <xdr:col>7</xdr:col>
      <xdr:colOff>76200</xdr:colOff>
      <xdr:row>17</xdr:row>
      <xdr:rowOff>91440</xdr:rowOff>
    </xdr:from>
    <xdr:to>
      <xdr:col>7</xdr:col>
      <xdr:colOff>175260</xdr:colOff>
      <xdr:row>17</xdr:row>
      <xdr:rowOff>91440</xdr:rowOff>
    </xdr:to>
    <xdr:cxnSp macro="">
      <xdr:nvCxnSpPr>
        <xdr:cNvPr id="25997" name="Straight Connector 113">
          <a:extLst>
            <a:ext uri="{FF2B5EF4-FFF2-40B4-BE49-F238E27FC236}">
              <a16:creationId xmlns:a16="http://schemas.microsoft.com/office/drawing/2014/main" id="{00000000-0008-0000-0000-00008D650000}"/>
            </a:ext>
          </a:extLst>
        </xdr:cNvPr>
        <xdr:cNvCxnSpPr>
          <a:cxnSpLocks noChangeShapeType="1"/>
        </xdr:cNvCxnSpPr>
      </xdr:nvCxnSpPr>
      <xdr:spPr bwMode="auto">
        <a:xfrm>
          <a:off x="6682740" y="3291840"/>
          <a:ext cx="99060" cy="0"/>
        </a:xfrm>
        <a:prstGeom prst="line">
          <a:avLst/>
        </a:prstGeom>
        <a:noFill/>
        <a:ln w="3175" algn="ctr">
          <a:solidFill>
            <a:srgbClr val="000000"/>
          </a:solidFill>
          <a:round/>
          <a:headEnd/>
          <a:tailEnd/>
        </a:ln>
      </xdr:spPr>
    </xdr:cxnSp>
    <xdr:clientData/>
  </xdr:twoCellAnchor>
  <xdr:twoCellAnchor>
    <xdr:from>
      <xdr:col>3</xdr:col>
      <xdr:colOff>1021080</xdr:colOff>
      <xdr:row>10</xdr:row>
      <xdr:rowOff>160020</xdr:rowOff>
    </xdr:from>
    <xdr:to>
      <xdr:col>4</xdr:col>
      <xdr:colOff>571500</xdr:colOff>
      <xdr:row>11</xdr:row>
      <xdr:rowOff>60960</xdr:rowOff>
    </xdr:to>
    <xdr:cxnSp macro="">
      <xdr:nvCxnSpPr>
        <xdr:cNvPr id="25998" name="Straight Connector 210">
          <a:extLst>
            <a:ext uri="{FF2B5EF4-FFF2-40B4-BE49-F238E27FC236}">
              <a16:creationId xmlns:a16="http://schemas.microsoft.com/office/drawing/2014/main" id="{00000000-0008-0000-0000-00008E650000}"/>
            </a:ext>
          </a:extLst>
        </xdr:cNvPr>
        <xdr:cNvCxnSpPr>
          <a:cxnSpLocks noChangeShapeType="1"/>
        </xdr:cNvCxnSpPr>
      </xdr:nvCxnSpPr>
      <xdr:spPr bwMode="auto">
        <a:xfrm flipV="1">
          <a:off x="4084320" y="2026920"/>
          <a:ext cx="754380" cy="91440"/>
        </a:xfrm>
        <a:prstGeom prst="line">
          <a:avLst/>
        </a:prstGeom>
        <a:noFill/>
        <a:ln w="3175" algn="ctr">
          <a:solidFill>
            <a:srgbClr val="000000"/>
          </a:solidFill>
          <a:round/>
          <a:headEnd/>
          <a:tailEnd/>
        </a:ln>
      </xdr:spPr>
    </xdr:cxnSp>
    <xdr:clientData/>
  </xdr:twoCellAnchor>
  <xdr:twoCellAnchor>
    <xdr:from>
      <xdr:col>4</xdr:col>
      <xdr:colOff>571500</xdr:colOff>
      <xdr:row>10</xdr:row>
      <xdr:rowOff>160020</xdr:rowOff>
    </xdr:from>
    <xdr:to>
      <xdr:col>5</xdr:col>
      <xdr:colOff>403860</xdr:colOff>
      <xdr:row>11</xdr:row>
      <xdr:rowOff>53340</xdr:rowOff>
    </xdr:to>
    <xdr:cxnSp macro="">
      <xdr:nvCxnSpPr>
        <xdr:cNvPr id="25999" name="Straight Connector 212">
          <a:extLst>
            <a:ext uri="{FF2B5EF4-FFF2-40B4-BE49-F238E27FC236}">
              <a16:creationId xmlns:a16="http://schemas.microsoft.com/office/drawing/2014/main" id="{00000000-0008-0000-0000-00008F650000}"/>
            </a:ext>
          </a:extLst>
        </xdr:cNvPr>
        <xdr:cNvCxnSpPr>
          <a:cxnSpLocks noChangeShapeType="1"/>
        </xdr:cNvCxnSpPr>
      </xdr:nvCxnSpPr>
      <xdr:spPr bwMode="auto">
        <a:xfrm>
          <a:off x="4838700" y="2026920"/>
          <a:ext cx="662940" cy="83820"/>
        </a:xfrm>
        <a:prstGeom prst="line">
          <a:avLst/>
        </a:prstGeom>
        <a:noFill/>
        <a:ln w="3175" algn="ctr">
          <a:solidFill>
            <a:srgbClr val="000000"/>
          </a:solidFill>
          <a:round/>
          <a:headEnd/>
          <a:tailEnd/>
        </a:ln>
      </xdr:spPr>
    </xdr:cxnSp>
    <xdr:clientData/>
  </xdr:twoCellAnchor>
  <xdr:twoCellAnchor>
    <xdr:from>
      <xdr:col>3</xdr:col>
      <xdr:colOff>1013460</xdr:colOff>
      <xdr:row>9</xdr:row>
      <xdr:rowOff>152400</xdr:rowOff>
    </xdr:from>
    <xdr:to>
      <xdr:col>3</xdr:col>
      <xdr:colOff>1013460</xdr:colOff>
      <xdr:row>11</xdr:row>
      <xdr:rowOff>60960</xdr:rowOff>
    </xdr:to>
    <xdr:cxnSp macro="">
      <xdr:nvCxnSpPr>
        <xdr:cNvPr id="26000" name="Straight Connector 214">
          <a:extLst>
            <a:ext uri="{FF2B5EF4-FFF2-40B4-BE49-F238E27FC236}">
              <a16:creationId xmlns:a16="http://schemas.microsoft.com/office/drawing/2014/main" id="{00000000-0008-0000-0000-000090650000}"/>
            </a:ext>
          </a:extLst>
        </xdr:cNvPr>
        <xdr:cNvCxnSpPr>
          <a:cxnSpLocks noChangeShapeType="1"/>
        </xdr:cNvCxnSpPr>
      </xdr:nvCxnSpPr>
      <xdr:spPr bwMode="auto">
        <a:xfrm rot="5400000" flipH="1" flipV="1">
          <a:off x="3931920" y="1973580"/>
          <a:ext cx="289560" cy="0"/>
        </a:xfrm>
        <a:prstGeom prst="line">
          <a:avLst/>
        </a:prstGeom>
        <a:noFill/>
        <a:ln w="3175" algn="ctr">
          <a:solidFill>
            <a:srgbClr val="000000"/>
          </a:solidFill>
          <a:round/>
          <a:headEnd/>
          <a:tailEnd/>
        </a:ln>
      </xdr:spPr>
    </xdr:cxnSp>
    <xdr:clientData/>
  </xdr:twoCellAnchor>
  <xdr:twoCellAnchor>
    <xdr:from>
      <xdr:col>3</xdr:col>
      <xdr:colOff>982980</xdr:colOff>
      <xdr:row>9</xdr:row>
      <xdr:rowOff>152400</xdr:rowOff>
    </xdr:from>
    <xdr:to>
      <xdr:col>3</xdr:col>
      <xdr:colOff>1013460</xdr:colOff>
      <xdr:row>9</xdr:row>
      <xdr:rowOff>152400</xdr:rowOff>
    </xdr:to>
    <xdr:cxnSp macro="">
      <xdr:nvCxnSpPr>
        <xdr:cNvPr id="26001" name="Straight Connector 216">
          <a:extLst>
            <a:ext uri="{FF2B5EF4-FFF2-40B4-BE49-F238E27FC236}">
              <a16:creationId xmlns:a16="http://schemas.microsoft.com/office/drawing/2014/main" id="{00000000-0008-0000-0000-000091650000}"/>
            </a:ext>
          </a:extLst>
        </xdr:cNvPr>
        <xdr:cNvCxnSpPr>
          <a:cxnSpLocks noChangeShapeType="1"/>
        </xdr:cNvCxnSpPr>
      </xdr:nvCxnSpPr>
      <xdr:spPr bwMode="auto">
        <a:xfrm rot="10800000">
          <a:off x="4046220" y="1828800"/>
          <a:ext cx="30480" cy="0"/>
        </a:xfrm>
        <a:prstGeom prst="line">
          <a:avLst/>
        </a:prstGeom>
        <a:noFill/>
        <a:ln w="3175" algn="ctr">
          <a:solidFill>
            <a:srgbClr val="000000"/>
          </a:solidFill>
          <a:round/>
          <a:headEnd/>
          <a:tailEnd/>
        </a:ln>
      </xdr:spPr>
    </xdr:cxnSp>
    <xdr:clientData/>
  </xdr:twoCellAnchor>
  <xdr:twoCellAnchor>
    <xdr:from>
      <xdr:col>3</xdr:col>
      <xdr:colOff>982980</xdr:colOff>
      <xdr:row>9</xdr:row>
      <xdr:rowOff>152400</xdr:rowOff>
    </xdr:from>
    <xdr:to>
      <xdr:col>3</xdr:col>
      <xdr:colOff>982980</xdr:colOff>
      <xdr:row>11</xdr:row>
      <xdr:rowOff>53340</xdr:rowOff>
    </xdr:to>
    <xdr:cxnSp macro="">
      <xdr:nvCxnSpPr>
        <xdr:cNvPr id="26002" name="Straight Connector 218">
          <a:extLst>
            <a:ext uri="{FF2B5EF4-FFF2-40B4-BE49-F238E27FC236}">
              <a16:creationId xmlns:a16="http://schemas.microsoft.com/office/drawing/2014/main" id="{00000000-0008-0000-0000-000092650000}"/>
            </a:ext>
          </a:extLst>
        </xdr:cNvPr>
        <xdr:cNvCxnSpPr>
          <a:cxnSpLocks noChangeShapeType="1"/>
        </xdr:cNvCxnSpPr>
      </xdr:nvCxnSpPr>
      <xdr:spPr bwMode="auto">
        <a:xfrm rot="5400000">
          <a:off x="3905250" y="1969770"/>
          <a:ext cx="281940" cy="0"/>
        </a:xfrm>
        <a:prstGeom prst="line">
          <a:avLst/>
        </a:prstGeom>
        <a:noFill/>
        <a:ln w="3175" algn="ctr">
          <a:solidFill>
            <a:srgbClr val="000000"/>
          </a:solidFill>
          <a:round/>
          <a:headEnd/>
          <a:tailEnd/>
        </a:ln>
      </xdr:spPr>
    </xdr:cxnSp>
    <xdr:clientData/>
  </xdr:twoCellAnchor>
  <xdr:twoCellAnchor>
    <xdr:from>
      <xdr:col>3</xdr:col>
      <xdr:colOff>1013460</xdr:colOff>
      <xdr:row>9</xdr:row>
      <xdr:rowOff>152400</xdr:rowOff>
    </xdr:from>
    <xdr:to>
      <xdr:col>3</xdr:col>
      <xdr:colOff>1059180</xdr:colOff>
      <xdr:row>10</xdr:row>
      <xdr:rowOff>91440</xdr:rowOff>
    </xdr:to>
    <xdr:sp macro="" textlink="">
      <xdr:nvSpPr>
        <xdr:cNvPr id="26003" name="Freeform 220">
          <a:extLst>
            <a:ext uri="{FF2B5EF4-FFF2-40B4-BE49-F238E27FC236}">
              <a16:creationId xmlns:a16="http://schemas.microsoft.com/office/drawing/2014/main" id="{00000000-0008-0000-0000-000093650000}"/>
            </a:ext>
          </a:extLst>
        </xdr:cNvPr>
        <xdr:cNvSpPr>
          <a:spLocks/>
        </xdr:cNvSpPr>
      </xdr:nvSpPr>
      <xdr:spPr bwMode="auto">
        <a:xfrm>
          <a:off x="4076700" y="1828800"/>
          <a:ext cx="45720" cy="129540"/>
        </a:xfrm>
        <a:custGeom>
          <a:avLst/>
          <a:gdLst>
            <a:gd name="T0" fmla="*/ 0 w 47942"/>
            <a:gd name="T1" fmla="*/ 0 h 135255"/>
            <a:gd name="T2" fmla="*/ 0 w 47942"/>
            <a:gd name="T3" fmla="*/ 18881 h 135255"/>
            <a:gd name="T4" fmla="*/ 0 w 47942"/>
            <a:gd name="T5" fmla="*/ 41095 h 135255"/>
            <a:gd name="T6" fmla="*/ 0 w 47942"/>
            <a:gd name="T7" fmla="*/ 54422 h 135255"/>
            <a:gd name="T8" fmla="*/ 0 w 47942"/>
            <a:gd name="T9" fmla="*/ 78856 h 135255"/>
            <a:gd name="T10" fmla="*/ 0 w 47942"/>
            <a:gd name="T11" fmla="*/ 78856 h 135255"/>
            <a:gd name="T12" fmla="*/ 0 w 47942"/>
            <a:gd name="T13" fmla="*/ 78856 h 135255"/>
            <a:gd name="T14" fmla="*/ 0 w 47942"/>
            <a:gd name="T15" fmla="*/ 78856 h 135255"/>
            <a:gd name="T16" fmla="*/ 0 60000 65536"/>
            <a:gd name="T17" fmla="*/ 0 60000 65536"/>
            <a:gd name="T18" fmla="*/ 0 60000 65536"/>
            <a:gd name="T19" fmla="*/ 0 60000 65536"/>
            <a:gd name="T20" fmla="*/ 0 60000 65536"/>
            <a:gd name="T21" fmla="*/ 0 60000 65536"/>
            <a:gd name="T22" fmla="*/ 0 60000 65536"/>
            <a:gd name="T23" fmla="*/ 0 60000 65536"/>
            <a:gd name="T24" fmla="*/ 0 w 47942"/>
            <a:gd name="T25" fmla="*/ 0 h 135255"/>
            <a:gd name="T26" fmla="*/ 0 w 47942"/>
            <a:gd name="T27" fmla="*/ 135255 h 13525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47942" h="135255">
              <a:moveTo>
                <a:pt x="0" y="0"/>
              </a:moveTo>
              <a:cubicBezTo>
                <a:pt x="23654" y="10319"/>
                <a:pt x="47308" y="20638"/>
                <a:pt x="47625" y="32385"/>
              </a:cubicBezTo>
              <a:cubicBezTo>
                <a:pt x="47942" y="44132"/>
                <a:pt x="2223" y="60325"/>
                <a:pt x="1905" y="70485"/>
              </a:cubicBezTo>
              <a:cubicBezTo>
                <a:pt x="1587" y="80645"/>
                <a:pt x="45403" y="82550"/>
                <a:pt x="45720" y="93345"/>
              </a:cubicBezTo>
              <a:cubicBezTo>
                <a:pt x="46038" y="104140"/>
                <a:pt x="3810" y="135255"/>
                <a:pt x="3810" y="135255"/>
              </a:cubicBezTo>
            </a:path>
          </a:pathLst>
        </a:custGeom>
        <a:solidFill>
          <a:srgbClr val="FFFFFF"/>
        </a:solidFill>
        <a:ln w="3175" cap="flat" cmpd="sng" algn="ctr">
          <a:solidFill>
            <a:srgbClr val="000000"/>
          </a:solidFill>
          <a:prstDash val="solid"/>
          <a:round/>
          <a:headEnd type="none" w="med" len="med"/>
          <a:tailEnd type="none" w="med" len="med"/>
        </a:ln>
      </xdr:spPr>
    </xdr:sp>
    <xdr:clientData/>
  </xdr:twoCellAnchor>
  <xdr:twoCellAnchor>
    <xdr:from>
      <xdr:col>5</xdr:col>
      <xdr:colOff>411480</xdr:colOff>
      <xdr:row>9</xdr:row>
      <xdr:rowOff>144780</xdr:rowOff>
    </xdr:from>
    <xdr:to>
      <xdr:col>5</xdr:col>
      <xdr:colOff>441960</xdr:colOff>
      <xdr:row>9</xdr:row>
      <xdr:rowOff>144780</xdr:rowOff>
    </xdr:to>
    <xdr:cxnSp macro="">
      <xdr:nvCxnSpPr>
        <xdr:cNvPr id="26004" name="Straight Connector 231">
          <a:extLst>
            <a:ext uri="{FF2B5EF4-FFF2-40B4-BE49-F238E27FC236}">
              <a16:creationId xmlns:a16="http://schemas.microsoft.com/office/drawing/2014/main" id="{00000000-0008-0000-0000-000094650000}"/>
            </a:ext>
          </a:extLst>
        </xdr:cNvPr>
        <xdr:cNvCxnSpPr>
          <a:cxnSpLocks noChangeShapeType="1"/>
        </xdr:cNvCxnSpPr>
      </xdr:nvCxnSpPr>
      <xdr:spPr bwMode="auto">
        <a:xfrm>
          <a:off x="5509260" y="1821180"/>
          <a:ext cx="30480" cy="0"/>
        </a:xfrm>
        <a:prstGeom prst="line">
          <a:avLst/>
        </a:prstGeom>
        <a:noFill/>
        <a:ln w="3175" algn="ctr">
          <a:solidFill>
            <a:srgbClr val="000000"/>
          </a:solidFill>
          <a:round/>
          <a:headEnd/>
          <a:tailEnd/>
        </a:ln>
      </xdr:spPr>
    </xdr:cxnSp>
    <xdr:clientData/>
  </xdr:twoCellAnchor>
  <xdr:twoCellAnchor>
    <xdr:from>
      <xdr:col>5</xdr:col>
      <xdr:colOff>449580</xdr:colOff>
      <xdr:row>9</xdr:row>
      <xdr:rowOff>152400</xdr:rowOff>
    </xdr:from>
    <xdr:to>
      <xdr:col>5</xdr:col>
      <xdr:colOff>449580</xdr:colOff>
      <xdr:row>11</xdr:row>
      <xdr:rowOff>53340</xdr:rowOff>
    </xdr:to>
    <xdr:cxnSp macro="">
      <xdr:nvCxnSpPr>
        <xdr:cNvPr id="26005" name="Straight Connector 233">
          <a:extLst>
            <a:ext uri="{FF2B5EF4-FFF2-40B4-BE49-F238E27FC236}">
              <a16:creationId xmlns:a16="http://schemas.microsoft.com/office/drawing/2014/main" id="{00000000-0008-0000-0000-000095650000}"/>
            </a:ext>
          </a:extLst>
        </xdr:cNvPr>
        <xdr:cNvCxnSpPr>
          <a:cxnSpLocks noChangeShapeType="1"/>
        </xdr:cNvCxnSpPr>
      </xdr:nvCxnSpPr>
      <xdr:spPr bwMode="auto">
        <a:xfrm rot="5400000">
          <a:off x="5406390" y="1969770"/>
          <a:ext cx="281940" cy="0"/>
        </a:xfrm>
        <a:prstGeom prst="line">
          <a:avLst/>
        </a:prstGeom>
        <a:noFill/>
        <a:ln w="3175" algn="ctr">
          <a:solidFill>
            <a:srgbClr val="000000"/>
          </a:solidFill>
          <a:round/>
          <a:headEnd/>
          <a:tailEnd/>
        </a:ln>
      </xdr:spPr>
    </xdr:cxnSp>
    <xdr:clientData/>
  </xdr:twoCellAnchor>
  <xdr:twoCellAnchor>
    <xdr:from>
      <xdr:col>5</xdr:col>
      <xdr:colOff>358140</xdr:colOff>
      <xdr:row>9</xdr:row>
      <xdr:rowOff>144780</xdr:rowOff>
    </xdr:from>
    <xdr:to>
      <xdr:col>5</xdr:col>
      <xdr:colOff>411480</xdr:colOff>
      <xdr:row>10</xdr:row>
      <xdr:rowOff>114300</xdr:rowOff>
    </xdr:to>
    <xdr:sp macro="" textlink="">
      <xdr:nvSpPr>
        <xdr:cNvPr id="26006" name="Freeform 234">
          <a:extLst>
            <a:ext uri="{FF2B5EF4-FFF2-40B4-BE49-F238E27FC236}">
              <a16:creationId xmlns:a16="http://schemas.microsoft.com/office/drawing/2014/main" id="{00000000-0008-0000-0000-000096650000}"/>
            </a:ext>
          </a:extLst>
        </xdr:cNvPr>
        <xdr:cNvSpPr>
          <a:spLocks/>
        </xdr:cNvSpPr>
      </xdr:nvSpPr>
      <xdr:spPr bwMode="auto">
        <a:xfrm>
          <a:off x="5455920" y="1821180"/>
          <a:ext cx="53340" cy="160020"/>
        </a:xfrm>
        <a:custGeom>
          <a:avLst/>
          <a:gdLst>
            <a:gd name="T0" fmla="*/ 37507 w 55245"/>
            <a:gd name="T1" fmla="*/ 0 h 152400"/>
            <a:gd name="T2" fmla="*/ 0 w 55245"/>
            <a:gd name="T3" fmla="*/ 49456 h 152400"/>
            <a:gd name="T4" fmla="*/ 37507 w 55245"/>
            <a:gd name="T5" fmla="*/ 103857 h 152400"/>
            <a:gd name="T6" fmla="*/ 1340 w 55245"/>
            <a:gd name="T7" fmla="*/ 138476 h 152400"/>
            <a:gd name="T8" fmla="*/ 38847 w 55245"/>
            <a:gd name="T9" fmla="*/ 197823 h 152400"/>
            <a:gd name="T10" fmla="*/ 38847 w 55245"/>
            <a:gd name="T11" fmla="*/ 197823 h 152400"/>
            <a:gd name="T12" fmla="*/ 0 60000 65536"/>
            <a:gd name="T13" fmla="*/ 0 60000 65536"/>
            <a:gd name="T14" fmla="*/ 0 60000 65536"/>
            <a:gd name="T15" fmla="*/ 0 60000 65536"/>
            <a:gd name="T16" fmla="*/ 0 60000 65536"/>
            <a:gd name="T17" fmla="*/ 0 60000 65536"/>
            <a:gd name="T18" fmla="*/ 0 w 55245"/>
            <a:gd name="T19" fmla="*/ 0 h 152400"/>
            <a:gd name="T20" fmla="*/ 55245 w 55245"/>
            <a:gd name="T21" fmla="*/ 152400 h 152400"/>
          </a:gdLst>
          <a:ahLst/>
          <a:cxnLst>
            <a:cxn ang="T12">
              <a:pos x="T0" y="T1"/>
            </a:cxn>
            <a:cxn ang="T13">
              <a:pos x="T2" y="T3"/>
            </a:cxn>
            <a:cxn ang="T14">
              <a:pos x="T4" y="T5"/>
            </a:cxn>
            <a:cxn ang="T15">
              <a:pos x="T6" y="T7"/>
            </a:cxn>
            <a:cxn ang="T16">
              <a:pos x="T8" y="T9"/>
            </a:cxn>
            <a:cxn ang="T17">
              <a:pos x="T10" y="T11"/>
            </a:cxn>
          </a:cxnLst>
          <a:rect l="T18" t="T19" r="T20" b="T21"/>
          <a:pathLst>
            <a:path w="55245" h="152400">
              <a:moveTo>
                <a:pt x="53340" y="0"/>
              </a:moveTo>
              <a:cubicBezTo>
                <a:pt x="26670" y="12382"/>
                <a:pt x="0" y="24765"/>
                <a:pt x="0" y="38100"/>
              </a:cubicBezTo>
              <a:cubicBezTo>
                <a:pt x="0" y="51435"/>
                <a:pt x="53023" y="68580"/>
                <a:pt x="53340" y="80010"/>
              </a:cubicBezTo>
              <a:cubicBezTo>
                <a:pt x="53658" y="91440"/>
                <a:pt x="1588" y="94615"/>
                <a:pt x="1905" y="106680"/>
              </a:cubicBezTo>
              <a:cubicBezTo>
                <a:pt x="2222" y="118745"/>
                <a:pt x="55245" y="152400"/>
                <a:pt x="55245" y="152400"/>
              </a:cubicBezTo>
            </a:path>
          </a:pathLst>
        </a:custGeom>
        <a:solidFill>
          <a:srgbClr val="FFFFFF"/>
        </a:solidFill>
        <a:ln w="3175" cap="flat" cmpd="sng" algn="ctr">
          <a:solidFill>
            <a:srgbClr val="000000"/>
          </a:solidFill>
          <a:prstDash val="solid"/>
          <a:round/>
          <a:headEnd type="none" w="med" len="med"/>
          <a:tailEnd type="none" w="med" len="med"/>
        </a:ln>
      </xdr:spPr>
    </xdr:sp>
    <xdr:clientData/>
  </xdr:twoCellAnchor>
  <xdr:twoCellAnchor>
    <xdr:from>
      <xdr:col>3</xdr:col>
      <xdr:colOff>182880</xdr:colOff>
      <xdr:row>14</xdr:row>
      <xdr:rowOff>129540</xdr:rowOff>
    </xdr:from>
    <xdr:to>
      <xdr:col>6</xdr:col>
      <xdr:colOff>449580</xdr:colOff>
      <xdr:row>14</xdr:row>
      <xdr:rowOff>175260</xdr:rowOff>
    </xdr:to>
    <xdr:sp macro="" textlink="">
      <xdr:nvSpPr>
        <xdr:cNvPr id="26007" name="Freeform 326">
          <a:extLst>
            <a:ext uri="{FF2B5EF4-FFF2-40B4-BE49-F238E27FC236}">
              <a16:creationId xmlns:a16="http://schemas.microsoft.com/office/drawing/2014/main" id="{00000000-0008-0000-0000-000097650000}"/>
            </a:ext>
          </a:extLst>
        </xdr:cNvPr>
        <xdr:cNvSpPr>
          <a:spLocks/>
        </xdr:cNvSpPr>
      </xdr:nvSpPr>
      <xdr:spPr bwMode="auto">
        <a:xfrm>
          <a:off x="3246120" y="2758440"/>
          <a:ext cx="3078480" cy="45720"/>
        </a:xfrm>
        <a:custGeom>
          <a:avLst/>
          <a:gdLst>
            <a:gd name="T0" fmla="*/ 0 w 2980508"/>
            <a:gd name="T1" fmla="*/ 24722 h 48260"/>
            <a:gd name="T2" fmla="*/ 53895 w 2980508"/>
            <a:gd name="T3" fmla="*/ 1177 h 48260"/>
            <a:gd name="T4" fmla="*/ 106103 w 2980508"/>
            <a:gd name="T5" fmla="*/ 23544 h 48260"/>
            <a:gd name="T6" fmla="*/ 161683 w 2980508"/>
            <a:gd name="T7" fmla="*/ 2354 h 48260"/>
            <a:gd name="T8" fmla="*/ 205469 w 2980508"/>
            <a:gd name="T9" fmla="*/ 24722 h 48260"/>
            <a:gd name="T10" fmla="*/ 255995 w 2980508"/>
            <a:gd name="T11" fmla="*/ 2354 h 48260"/>
            <a:gd name="T12" fmla="*/ 299785 w 2980508"/>
            <a:gd name="T13" fmla="*/ 24722 h 48260"/>
            <a:gd name="T14" fmla="*/ 348625 w 2980508"/>
            <a:gd name="T15" fmla="*/ 1177 h 48260"/>
            <a:gd name="T16" fmla="*/ 392413 w 2980508"/>
            <a:gd name="T17" fmla="*/ 24722 h 48260"/>
            <a:gd name="T18" fmla="*/ 439571 w 2980508"/>
            <a:gd name="T19" fmla="*/ 1177 h 48260"/>
            <a:gd name="T20" fmla="*/ 483359 w 2980508"/>
            <a:gd name="T21" fmla="*/ 22366 h 48260"/>
            <a:gd name="T22" fmla="*/ 532200 w 2980508"/>
            <a:gd name="T23" fmla="*/ 2354 h 48260"/>
            <a:gd name="T24" fmla="*/ 577673 w 2980508"/>
            <a:gd name="T25" fmla="*/ 25898 h 48260"/>
            <a:gd name="T26" fmla="*/ 629883 w 2980508"/>
            <a:gd name="T27" fmla="*/ 2354 h 48260"/>
            <a:gd name="T28" fmla="*/ 675355 w 2980508"/>
            <a:gd name="T29" fmla="*/ 24722 h 48260"/>
            <a:gd name="T30" fmla="*/ 720828 w 2980508"/>
            <a:gd name="T31" fmla="*/ 3531 h 48260"/>
            <a:gd name="T32" fmla="*/ 771353 w 2980508"/>
            <a:gd name="T33" fmla="*/ 23544 h 48260"/>
            <a:gd name="T34" fmla="*/ 816827 w 2980508"/>
            <a:gd name="T35" fmla="*/ 1177 h 48260"/>
            <a:gd name="T36" fmla="*/ 869037 w 2980508"/>
            <a:gd name="T37" fmla="*/ 24722 h 48260"/>
            <a:gd name="T38" fmla="*/ 924615 w 2980508"/>
            <a:gd name="T39" fmla="*/ 1177 h 48260"/>
            <a:gd name="T40" fmla="*/ 976824 w 2980508"/>
            <a:gd name="T41" fmla="*/ 24722 h 48260"/>
            <a:gd name="T42" fmla="*/ 1030717 w 2980508"/>
            <a:gd name="T43" fmla="*/ 3531 h 48260"/>
            <a:gd name="T44" fmla="*/ 1089663 w 2980508"/>
            <a:gd name="T45" fmla="*/ 25898 h 48260"/>
            <a:gd name="T46" fmla="*/ 1136821 w 2980508"/>
            <a:gd name="T47" fmla="*/ 2354 h 48260"/>
            <a:gd name="T48" fmla="*/ 1187346 w 2980508"/>
            <a:gd name="T49" fmla="*/ 24722 h 48260"/>
            <a:gd name="T50" fmla="*/ 1241239 w 2980508"/>
            <a:gd name="T51" fmla="*/ 2354 h 48260"/>
            <a:gd name="T52" fmla="*/ 1293451 w 2980508"/>
            <a:gd name="T53" fmla="*/ 23544 h 48260"/>
            <a:gd name="T54" fmla="*/ 1349027 w 2980508"/>
            <a:gd name="T55" fmla="*/ 1177 h 48260"/>
            <a:gd name="T56" fmla="*/ 1399553 w 2980508"/>
            <a:gd name="T57" fmla="*/ 23544 h 48260"/>
            <a:gd name="T58" fmla="*/ 1450077 w 2980508"/>
            <a:gd name="T59" fmla="*/ 1177 h 48260"/>
            <a:gd name="T60" fmla="*/ 1509023 w 2980508"/>
            <a:gd name="T61" fmla="*/ 24722 h 48260"/>
            <a:gd name="T62" fmla="*/ 1559549 w 2980508"/>
            <a:gd name="T63" fmla="*/ 2354 h 48260"/>
            <a:gd name="T64" fmla="*/ 1616811 w 2980508"/>
            <a:gd name="T65" fmla="*/ 25898 h 48260"/>
            <a:gd name="T66" fmla="*/ 1665652 w 2980508"/>
            <a:gd name="T67" fmla="*/ 1177 h 48260"/>
            <a:gd name="T68" fmla="*/ 1721230 w 2980508"/>
            <a:gd name="T69" fmla="*/ 25898 h 48260"/>
            <a:gd name="T70" fmla="*/ 1766700 w 2980508"/>
            <a:gd name="T71" fmla="*/ 2354 h 48260"/>
            <a:gd name="T72" fmla="*/ 1817226 w 2980508"/>
            <a:gd name="T73" fmla="*/ 24722 h 48260"/>
            <a:gd name="T74" fmla="*/ 1866069 w 2980508"/>
            <a:gd name="T75" fmla="*/ 1177 h 48260"/>
            <a:gd name="T76" fmla="*/ 1911540 w 2980508"/>
            <a:gd name="T77" fmla="*/ 24722 h 48260"/>
            <a:gd name="T78" fmla="*/ 1960383 w 2980508"/>
            <a:gd name="T79" fmla="*/ 3531 h 48260"/>
            <a:gd name="T80" fmla="*/ 2024381 w 2980508"/>
            <a:gd name="T81" fmla="*/ 24722 h 48260"/>
            <a:gd name="T82" fmla="*/ 2081643 w 2980508"/>
            <a:gd name="T83" fmla="*/ 1177 h 48260"/>
            <a:gd name="T84" fmla="*/ 2142275 w 2980508"/>
            <a:gd name="T85" fmla="*/ 23544 h 48260"/>
            <a:gd name="T86" fmla="*/ 2201220 w 2980508"/>
            <a:gd name="T87" fmla="*/ 2354 h 48260"/>
            <a:gd name="T88" fmla="*/ 2256796 w 2980508"/>
            <a:gd name="T89" fmla="*/ 22366 h 48260"/>
            <a:gd name="T90" fmla="*/ 2305639 w 2980508"/>
            <a:gd name="T91" fmla="*/ 0 h 48260"/>
            <a:gd name="T92" fmla="*/ 2305639 w 2980508"/>
            <a:gd name="T93" fmla="*/ 0 h 48260"/>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2980508"/>
            <a:gd name="T142" fmla="*/ 0 h 48260"/>
            <a:gd name="T143" fmla="*/ 2980508 w 2980508"/>
            <a:gd name="T144" fmla="*/ 48260 h 48260"/>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2980508" h="48260">
              <a:moveTo>
                <a:pt x="0" y="45720"/>
              </a:moveTo>
              <a:cubicBezTo>
                <a:pt x="23404" y="24130"/>
                <a:pt x="46808" y="2540"/>
                <a:pt x="69668" y="2177"/>
              </a:cubicBezTo>
              <a:cubicBezTo>
                <a:pt x="92528" y="1814"/>
                <a:pt x="113937" y="43180"/>
                <a:pt x="137160" y="43543"/>
              </a:cubicBezTo>
              <a:cubicBezTo>
                <a:pt x="160383" y="43906"/>
                <a:pt x="187598" y="3992"/>
                <a:pt x="209006" y="4355"/>
              </a:cubicBezTo>
              <a:cubicBezTo>
                <a:pt x="230414" y="4718"/>
                <a:pt x="245291" y="45720"/>
                <a:pt x="265611" y="45720"/>
              </a:cubicBezTo>
              <a:cubicBezTo>
                <a:pt x="285931" y="45720"/>
                <a:pt x="310606" y="4355"/>
                <a:pt x="330926" y="4355"/>
              </a:cubicBezTo>
              <a:cubicBezTo>
                <a:pt x="351246" y="4355"/>
                <a:pt x="367574" y="46083"/>
                <a:pt x="387531" y="45720"/>
              </a:cubicBezTo>
              <a:cubicBezTo>
                <a:pt x="407488" y="45357"/>
                <a:pt x="430711" y="2177"/>
                <a:pt x="450668" y="2177"/>
              </a:cubicBezTo>
              <a:cubicBezTo>
                <a:pt x="470625" y="2177"/>
                <a:pt x="487680" y="45720"/>
                <a:pt x="507274" y="45720"/>
              </a:cubicBezTo>
              <a:cubicBezTo>
                <a:pt x="526868" y="45720"/>
                <a:pt x="548640" y="2903"/>
                <a:pt x="568234" y="2177"/>
              </a:cubicBezTo>
              <a:cubicBezTo>
                <a:pt x="587828" y="1451"/>
                <a:pt x="604883" y="41003"/>
                <a:pt x="624840" y="41366"/>
              </a:cubicBezTo>
              <a:cubicBezTo>
                <a:pt x="644797" y="41729"/>
                <a:pt x="667657" y="3267"/>
                <a:pt x="687977" y="4355"/>
              </a:cubicBezTo>
              <a:cubicBezTo>
                <a:pt x="708297" y="5443"/>
                <a:pt x="725714" y="47897"/>
                <a:pt x="746760" y="47897"/>
              </a:cubicBezTo>
              <a:cubicBezTo>
                <a:pt x="767806" y="47897"/>
                <a:pt x="793205" y="4718"/>
                <a:pt x="814251" y="4355"/>
              </a:cubicBezTo>
              <a:cubicBezTo>
                <a:pt x="835297" y="3992"/>
                <a:pt x="853440" y="45357"/>
                <a:pt x="873034" y="45720"/>
              </a:cubicBezTo>
              <a:cubicBezTo>
                <a:pt x="892628" y="46083"/>
                <a:pt x="911134" y="6895"/>
                <a:pt x="931817" y="6532"/>
              </a:cubicBezTo>
              <a:cubicBezTo>
                <a:pt x="952500" y="6169"/>
                <a:pt x="976448" y="44269"/>
                <a:pt x="997131" y="43543"/>
              </a:cubicBezTo>
              <a:cubicBezTo>
                <a:pt x="1017814" y="42817"/>
                <a:pt x="1034868" y="1814"/>
                <a:pt x="1055914" y="2177"/>
              </a:cubicBezTo>
              <a:cubicBezTo>
                <a:pt x="1076960" y="2540"/>
                <a:pt x="1100183" y="45720"/>
                <a:pt x="1123406" y="45720"/>
              </a:cubicBezTo>
              <a:cubicBezTo>
                <a:pt x="1146629" y="45720"/>
                <a:pt x="1172028" y="2177"/>
                <a:pt x="1195251" y="2177"/>
              </a:cubicBezTo>
              <a:cubicBezTo>
                <a:pt x="1218474" y="2177"/>
                <a:pt x="1239883" y="44994"/>
                <a:pt x="1262743" y="45720"/>
              </a:cubicBezTo>
              <a:cubicBezTo>
                <a:pt x="1285603" y="46446"/>
                <a:pt x="1308100" y="6169"/>
                <a:pt x="1332411" y="6532"/>
              </a:cubicBezTo>
              <a:cubicBezTo>
                <a:pt x="1356722" y="6895"/>
                <a:pt x="1385751" y="48260"/>
                <a:pt x="1408611" y="47897"/>
              </a:cubicBezTo>
              <a:cubicBezTo>
                <a:pt x="1431471" y="47534"/>
                <a:pt x="1448525" y="4718"/>
                <a:pt x="1469571" y="4355"/>
              </a:cubicBezTo>
              <a:cubicBezTo>
                <a:pt x="1490617" y="3992"/>
                <a:pt x="1512389" y="45720"/>
                <a:pt x="1534886" y="45720"/>
              </a:cubicBezTo>
              <a:cubicBezTo>
                <a:pt x="1557383" y="45720"/>
                <a:pt x="1581694" y="4718"/>
                <a:pt x="1604554" y="4355"/>
              </a:cubicBezTo>
              <a:cubicBezTo>
                <a:pt x="1627414" y="3992"/>
                <a:pt x="1648823" y="43906"/>
                <a:pt x="1672046" y="43543"/>
              </a:cubicBezTo>
              <a:cubicBezTo>
                <a:pt x="1695269" y="43180"/>
                <a:pt x="1721031" y="2177"/>
                <a:pt x="1743891" y="2177"/>
              </a:cubicBezTo>
              <a:cubicBezTo>
                <a:pt x="1766751" y="2177"/>
                <a:pt x="1787435" y="43543"/>
                <a:pt x="1809206" y="43543"/>
              </a:cubicBezTo>
              <a:cubicBezTo>
                <a:pt x="1830977" y="43543"/>
                <a:pt x="1850934" y="1814"/>
                <a:pt x="1874520" y="2177"/>
              </a:cubicBezTo>
              <a:cubicBezTo>
                <a:pt x="1898106" y="2540"/>
                <a:pt x="1927134" y="45357"/>
                <a:pt x="1950720" y="45720"/>
              </a:cubicBezTo>
              <a:cubicBezTo>
                <a:pt x="1974306" y="46083"/>
                <a:pt x="1992811" y="3992"/>
                <a:pt x="2016034" y="4355"/>
              </a:cubicBezTo>
              <a:cubicBezTo>
                <a:pt x="2039257" y="4718"/>
                <a:pt x="2067197" y="48260"/>
                <a:pt x="2090057" y="47897"/>
              </a:cubicBezTo>
              <a:cubicBezTo>
                <a:pt x="2112917" y="47534"/>
                <a:pt x="2130697" y="2177"/>
                <a:pt x="2153194" y="2177"/>
              </a:cubicBezTo>
              <a:cubicBezTo>
                <a:pt x="2175691" y="2177"/>
                <a:pt x="2203269" y="47534"/>
                <a:pt x="2225040" y="47897"/>
              </a:cubicBezTo>
              <a:cubicBezTo>
                <a:pt x="2246811" y="48260"/>
                <a:pt x="2263140" y="4718"/>
                <a:pt x="2283823" y="4355"/>
              </a:cubicBezTo>
              <a:cubicBezTo>
                <a:pt x="2304506" y="3992"/>
                <a:pt x="2327729" y="46083"/>
                <a:pt x="2349137" y="45720"/>
              </a:cubicBezTo>
              <a:cubicBezTo>
                <a:pt x="2370545" y="45357"/>
                <a:pt x="2391954" y="2177"/>
                <a:pt x="2412274" y="2177"/>
              </a:cubicBezTo>
              <a:cubicBezTo>
                <a:pt x="2432594" y="2177"/>
                <a:pt x="2450737" y="44994"/>
                <a:pt x="2471057" y="45720"/>
              </a:cubicBezTo>
              <a:cubicBezTo>
                <a:pt x="2491377" y="46446"/>
                <a:pt x="2509883" y="6532"/>
                <a:pt x="2534194" y="6532"/>
              </a:cubicBezTo>
              <a:cubicBezTo>
                <a:pt x="2558505" y="6532"/>
                <a:pt x="2590800" y="46446"/>
                <a:pt x="2616926" y="45720"/>
              </a:cubicBezTo>
              <a:cubicBezTo>
                <a:pt x="2643052" y="44994"/>
                <a:pt x="2665548" y="2540"/>
                <a:pt x="2690948" y="2177"/>
              </a:cubicBezTo>
              <a:cubicBezTo>
                <a:pt x="2716348" y="1814"/>
                <a:pt x="2743563" y="43180"/>
                <a:pt x="2769326" y="43543"/>
              </a:cubicBezTo>
              <a:cubicBezTo>
                <a:pt x="2795089" y="43906"/>
                <a:pt x="2820852" y="4718"/>
                <a:pt x="2845526" y="4355"/>
              </a:cubicBezTo>
              <a:cubicBezTo>
                <a:pt x="2870200" y="3992"/>
                <a:pt x="2894874" y="42092"/>
                <a:pt x="2917371" y="41366"/>
              </a:cubicBezTo>
              <a:cubicBezTo>
                <a:pt x="2939868" y="40640"/>
                <a:pt x="2980508" y="0"/>
                <a:pt x="2980508" y="0"/>
              </a:cubicBezTo>
            </a:path>
          </a:pathLst>
        </a:custGeom>
        <a:solidFill>
          <a:srgbClr val="FFFFFF"/>
        </a:solidFill>
        <a:ln w="9525" cap="flat" cmpd="sng" algn="ctr">
          <a:solidFill>
            <a:srgbClr val="000000"/>
          </a:solidFill>
          <a:prstDash val="solid"/>
          <a:round/>
          <a:headEnd type="none" w="med" len="med"/>
          <a:tailEnd type="none" w="med" len="med"/>
        </a:ln>
      </xdr:spPr>
    </xdr:sp>
    <xdr:clientData/>
  </xdr:twoCellAnchor>
  <xdr:twoCellAnchor>
    <xdr:from>
      <xdr:col>3</xdr:col>
      <xdr:colOff>182880</xdr:colOff>
      <xdr:row>17</xdr:row>
      <xdr:rowOff>15240</xdr:rowOff>
    </xdr:from>
    <xdr:to>
      <xdr:col>6</xdr:col>
      <xdr:colOff>449580</xdr:colOff>
      <xdr:row>17</xdr:row>
      <xdr:rowOff>60960</xdr:rowOff>
    </xdr:to>
    <xdr:sp macro="" textlink="">
      <xdr:nvSpPr>
        <xdr:cNvPr id="26008" name="Freeform 328">
          <a:extLst>
            <a:ext uri="{FF2B5EF4-FFF2-40B4-BE49-F238E27FC236}">
              <a16:creationId xmlns:a16="http://schemas.microsoft.com/office/drawing/2014/main" id="{00000000-0008-0000-0000-000098650000}"/>
            </a:ext>
          </a:extLst>
        </xdr:cNvPr>
        <xdr:cNvSpPr>
          <a:spLocks/>
        </xdr:cNvSpPr>
      </xdr:nvSpPr>
      <xdr:spPr bwMode="auto">
        <a:xfrm>
          <a:off x="3246120" y="3215640"/>
          <a:ext cx="3078480" cy="45720"/>
        </a:xfrm>
        <a:custGeom>
          <a:avLst/>
          <a:gdLst>
            <a:gd name="T0" fmla="*/ 0 w 2980508"/>
            <a:gd name="T1" fmla="*/ 29666 h 48260"/>
            <a:gd name="T2" fmla="*/ 53895 w 2980508"/>
            <a:gd name="T3" fmla="*/ 1413 h 48260"/>
            <a:gd name="T4" fmla="*/ 106103 w 2980508"/>
            <a:gd name="T5" fmla="*/ 28252 h 48260"/>
            <a:gd name="T6" fmla="*/ 161683 w 2980508"/>
            <a:gd name="T7" fmla="*/ 2825 h 48260"/>
            <a:gd name="T8" fmla="*/ 205469 w 2980508"/>
            <a:gd name="T9" fmla="*/ 29666 h 48260"/>
            <a:gd name="T10" fmla="*/ 255995 w 2980508"/>
            <a:gd name="T11" fmla="*/ 2825 h 48260"/>
            <a:gd name="T12" fmla="*/ 299785 w 2980508"/>
            <a:gd name="T13" fmla="*/ 29666 h 48260"/>
            <a:gd name="T14" fmla="*/ 348625 w 2980508"/>
            <a:gd name="T15" fmla="*/ 1413 h 48260"/>
            <a:gd name="T16" fmla="*/ 392413 w 2980508"/>
            <a:gd name="T17" fmla="*/ 29666 h 48260"/>
            <a:gd name="T18" fmla="*/ 439571 w 2980508"/>
            <a:gd name="T19" fmla="*/ 1413 h 48260"/>
            <a:gd name="T20" fmla="*/ 483359 w 2980508"/>
            <a:gd name="T21" fmla="*/ 26841 h 48260"/>
            <a:gd name="T22" fmla="*/ 532200 w 2980508"/>
            <a:gd name="T23" fmla="*/ 2825 h 48260"/>
            <a:gd name="T24" fmla="*/ 577673 w 2980508"/>
            <a:gd name="T25" fmla="*/ 31078 h 48260"/>
            <a:gd name="T26" fmla="*/ 629883 w 2980508"/>
            <a:gd name="T27" fmla="*/ 2825 h 48260"/>
            <a:gd name="T28" fmla="*/ 675355 w 2980508"/>
            <a:gd name="T29" fmla="*/ 29666 h 48260"/>
            <a:gd name="T30" fmla="*/ 720828 w 2980508"/>
            <a:gd name="T31" fmla="*/ 4238 h 48260"/>
            <a:gd name="T32" fmla="*/ 771353 w 2980508"/>
            <a:gd name="T33" fmla="*/ 28252 h 48260"/>
            <a:gd name="T34" fmla="*/ 816827 w 2980508"/>
            <a:gd name="T35" fmla="*/ 1413 h 48260"/>
            <a:gd name="T36" fmla="*/ 869037 w 2980508"/>
            <a:gd name="T37" fmla="*/ 29666 h 48260"/>
            <a:gd name="T38" fmla="*/ 924615 w 2980508"/>
            <a:gd name="T39" fmla="*/ 1413 h 48260"/>
            <a:gd name="T40" fmla="*/ 976824 w 2980508"/>
            <a:gd name="T41" fmla="*/ 29666 h 48260"/>
            <a:gd name="T42" fmla="*/ 1030717 w 2980508"/>
            <a:gd name="T43" fmla="*/ 4238 h 48260"/>
            <a:gd name="T44" fmla="*/ 1089663 w 2980508"/>
            <a:gd name="T45" fmla="*/ 31078 h 48260"/>
            <a:gd name="T46" fmla="*/ 1136821 w 2980508"/>
            <a:gd name="T47" fmla="*/ 2825 h 48260"/>
            <a:gd name="T48" fmla="*/ 1187346 w 2980508"/>
            <a:gd name="T49" fmla="*/ 29666 h 48260"/>
            <a:gd name="T50" fmla="*/ 1241239 w 2980508"/>
            <a:gd name="T51" fmla="*/ 2825 h 48260"/>
            <a:gd name="T52" fmla="*/ 1293451 w 2980508"/>
            <a:gd name="T53" fmla="*/ 28252 h 48260"/>
            <a:gd name="T54" fmla="*/ 1349027 w 2980508"/>
            <a:gd name="T55" fmla="*/ 1413 h 48260"/>
            <a:gd name="T56" fmla="*/ 1399553 w 2980508"/>
            <a:gd name="T57" fmla="*/ 28252 h 48260"/>
            <a:gd name="T58" fmla="*/ 1450077 w 2980508"/>
            <a:gd name="T59" fmla="*/ 1413 h 48260"/>
            <a:gd name="T60" fmla="*/ 1509023 w 2980508"/>
            <a:gd name="T61" fmla="*/ 29666 h 48260"/>
            <a:gd name="T62" fmla="*/ 1559549 w 2980508"/>
            <a:gd name="T63" fmla="*/ 2825 h 48260"/>
            <a:gd name="T64" fmla="*/ 1616811 w 2980508"/>
            <a:gd name="T65" fmla="*/ 31078 h 48260"/>
            <a:gd name="T66" fmla="*/ 1665652 w 2980508"/>
            <a:gd name="T67" fmla="*/ 1413 h 48260"/>
            <a:gd name="T68" fmla="*/ 1721230 w 2980508"/>
            <a:gd name="T69" fmla="*/ 31078 h 48260"/>
            <a:gd name="T70" fmla="*/ 1766700 w 2980508"/>
            <a:gd name="T71" fmla="*/ 2825 h 48260"/>
            <a:gd name="T72" fmla="*/ 1817226 w 2980508"/>
            <a:gd name="T73" fmla="*/ 29666 h 48260"/>
            <a:gd name="T74" fmla="*/ 1866069 w 2980508"/>
            <a:gd name="T75" fmla="*/ 1413 h 48260"/>
            <a:gd name="T76" fmla="*/ 1911540 w 2980508"/>
            <a:gd name="T77" fmla="*/ 29666 h 48260"/>
            <a:gd name="T78" fmla="*/ 1960383 w 2980508"/>
            <a:gd name="T79" fmla="*/ 4238 h 48260"/>
            <a:gd name="T80" fmla="*/ 2024381 w 2980508"/>
            <a:gd name="T81" fmla="*/ 29666 h 48260"/>
            <a:gd name="T82" fmla="*/ 2081643 w 2980508"/>
            <a:gd name="T83" fmla="*/ 1413 h 48260"/>
            <a:gd name="T84" fmla="*/ 2142275 w 2980508"/>
            <a:gd name="T85" fmla="*/ 28252 h 48260"/>
            <a:gd name="T86" fmla="*/ 2201220 w 2980508"/>
            <a:gd name="T87" fmla="*/ 2825 h 48260"/>
            <a:gd name="T88" fmla="*/ 2256796 w 2980508"/>
            <a:gd name="T89" fmla="*/ 26841 h 48260"/>
            <a:gd name="T90" fmla="*/ 2305639 w 2980508"/>
            <a:gd name="T91" fmla="*/ 0 h 48260"/>
            <a:gd name="T92" fmla="*/ 2305639 w 2980508"/>
            <a:gd name="T93" fmla="*/ 0 h 48260"/>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2980508"/>
            <a:gd name="T142" fmla="*/ 0 h 48260"/>
            <a:gd name="T143" fmla="*/ 2980508 w 2980508"/>
            <a:gd name="T144" fmla="*/ 48260 h 48260"/>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2980508" h="48260">
              <a:moveTo>
                <a:pt x="0" y="45720"/>
              </a:moveTo>
              <a:cubicBezTo>
                <a:pt x="23404" y="24130"/>
                <a:pt x="46808" y="2540"/>
                <a:pt x="69668" y="2177"/>
              </a:cubicBezTo>
              <a:cubicBezTo>
                <a:pt x="92528" y="1814"/>
                <a:pt x="113937" y="43180"/>
                <a:pt x="137160" y="43543"/>
              </a:cubicBezTo>
              <a:cubicBezTo>
                <a:pt x="160383" y="43906"/>
                <a:pt x="187598" y="3992"/>
                <a:pt x="209006" y="4355"/>
              </a:cubicBezTo>
              <a:cubicBezTo>
                <a:pt x="230414" y="4718"/>
                <a:pt x="245291" y="45720"/>
                <a:pt x="265611" y="45720"/>
              </a:cubicBezTo>
              <a:cubicBezTo>
                <a:pt x="285931" y="45720"/>
                <a:pt x="310606" y="4355"/>
                <a:pt x="330926" y="4355"/>
              </a:cubicBezTo>
              <a:cubicBezTo>
                <a:pt x="351246" y="4355"/>
                <a:pt x="367574" y="46083"/>
                <a:pt x="387531" y="45720"/>
              </a:cubicBezTo>
              <a:cubicBezTo>
                <a:pt x="407488" y="45357"/>
                <a:pt x="430711" y="2177"/>
                <a:pt x="450668" y="2177"/>
              </a:cubicBezTo>
              <a:cubicBezTo>
                <a:pt x="470625" y="2177"/>
                <a:pt x="487680" y="45720"/>
                <a:pt x="507274" y="45720"/>
              </a:cubicBezTo>
              <a:cubicBezTo>
                <a:pt x="526868" y="45720"/>
                <a:pt x="548640" y="2903"/>
                <a:pt x="568234" y="2177"/>
              </a:cubicBezTo>
              <a:cubicBezTo>
                <a:pt x="587828" y="1451"/>
                <a:pt x="604883" y="41003"/>
                <a:pt x="624840" y="41366"/>
              </a:cubicBezTo>
              <a:cubicBezTo>
                <a:pt x="644797" y="41729"/>
                <a:pt x="667657" y="3267"/>
                <a:pt x="687977" y="4355"/>
              </a:cubicBezTo>
              <a:cubicBezTo>
                <a:pt x="708297" y="5443"/>
                <a:pt x="725714" y="47897"/>
                <a:pt x="746760" y="47897"/>
              </a:cubicBezTo>
              <a:cubicBezTo>
                <a:pt x="767806" y="47897"/>
                <a:pt x="793205" y="4718"/>
                <a:pt x="814251" y="4355"/>
              </a:cubicBezTo>
              <a:cubicBezTo>
                <a:pt x="835297" y="3992"/>
                <a:pt x="853440" y="45357"/>
                <a:pt x="873034" y="45720"/>
              </a:cubicBezTo>
              <a:cubicBezTo>
                <a:pt x="892628" y="46083"/>
                <a:pt x="911134" y="6895"/>
                <a:pt x="931817" y="6532"/>
              </a:cubicBezTo>
              <a:cubicBezTo>
                <a:pt x="952500" y="6169"/>
                <a:pt x="976448" y="44269"/>
                <a:pt x="997131" y="43543"/>
              </a:cubicBezTo>
              <a:cubicBezTo>
                <a:pt x="1017814" y="42817"/>
                <a:pt x="1034868" y="1814"/>
                <a:pt x="1055914" y="2177"/>
              </a:cubicBezTo>
              <a:cubicBezTo>
                <a:pt x="1076960" y="2540"/>
                <a:pt x="1100183" y="45720"/>
                <a:pt x="1123406" y="45720"/>
              </a:cubicBezTo>
              <a:cubicBezTo>
                <a:pt x="1146629" y="45720"/>
                <a:pt x="1172028" y="2177"/>
                <a:pt x="1195251" y="2177"/>
              </a:cubicBezTo>
              <a:cubicBezTo>
                <a:pt x="1218474" y="2177"/>
                <a:pt x="1239883" y="44994"/>
                <a:pt x="1262743" y="45720"/>
              </a:cubicBezTo>
              <a:cubicBezTo>
                <a:pt x="1285603" y="46446"/>
                <a:pt x="1308100" y="6169"/>
                <a:pt x="1332411" y="6532"/>
              </a:cubicBezTo>
              <a:cubicBezTo>
                <a:pt x="1356722" y="6895"/>
                <a:pt x="1385751" y="48260"/>
                <a:pt x="1408611" y="47897"/>
              </a:cubicBezTo>
              <a:cubicBezTo>
                <a:pt x="1431471" y="47534"/>
                <a:pt x="1448525" y="4718"/>
                <a:pt x="1469571" y="4355"/>
              </a:cubicBezTo>
              <a:cubicBezTo>
                <a:pt x="1490617" y="3992"/>
                <a:pt x="1512389" y="45720"/>
                <a:pt x="1534886" y="45720"/>
              </a:cubicBezTo>
              <a:cubicBezTo>
                <a:pt x="1557383" y="45720"/>
                <a:pt x="1581694" y="4718"/>
                <a:pt x="1604554" y="4355"/>
              </a:cubicBezTo>
              <a:cubicBezTo>
                <a:pt x="1627414" y="3992"/>
                <a:pt x="1648823" y="43906"/>
                <a:pt x="1672046" y="43543"/>
              </a:cubicBezTo>
              <a:cubicBezTo>
                <a:pt x="1695269" y="43180"/>
                <a:pt x="1721031" y="2177"/>
                <a:pt x="1743891" y="2177"/>
              </a:cubicBezTo>
              <a:cubicBezTo>
                <a:pt x="1766751" y="2177"/>
                <a:pt x="1787435" y="43543"/>
                <a:pt x="1809206" y="43543"/>
              </a:cubicBezTo>
              <a:cubicBezTo>
                <a:pt x="1830977" y="43543"/>
                <a:pt x="1850934" y="1814"/>
                <a:pt x="1874520" y="2177"/>
              </a:cubicBezTo>
              <a:cubicBezTo>
                <a:pt x="1898106" y="2540"/>
                <a:pt x="1927134" y="45357"/>
                <a:pt x="1950720" y="45720"/>
              </a:cubicBezTo>
              <a:cubicBezTo>
                <a:pt x="1974306" y="46083"/>
                <a:pt x="1992811" y="3992"/>
                <a:pt x="2016034" y="4355"/>
              </a:cubicBezTo>
              <a:cubicBezTo>
                <a:pt x="2039257" y="4718"/>
                <a:pt x="2067197" y="48260"/>
                <a:pt x="2090057" y="47897"/>
              </a:cubicBezTo>
              <a:cubicBezTo>
                <a:pt x="2112917" y="47534"/>
                <a:pt x="2130697" y="2177"/>
                <a:pt x="2153194" y="2177"/>
              </a:cubicBezTo>
              <a:cubicBezTo>
                <a:pt x="2175691" y="2177"/>
                <a:pt x="2203269" y="47534"/>
                <a:pt x="2225040" y="47897"/>
              </a:cubicBezTo>
              <a:cubicBezTo>
                <a:pt x="2246811" y="48260"/>
                <a:pt x="2263140" y="4718"/>
                <a:pt x="2283823" y="4355"/>
              </a:cubicBezTo>
              <a:cubicBezTo>
                <a:pt x="2304506" y="3992"/>
                <a:pt x="2327729" y="46083"/>
                <a:pt x="2349137" y="45720"/>
              </a:cubicBezTo>
              <a:cubicBezTo>
                <a:pt x="2370545" y="45357"/>
                <a:pt x="2391954" y="2177"/>
                <a:pt x="2412274" y="2177"/>
              </a:cubicBezTo>
              <a:cubicBezTo>
                <a:pt x="2432594" y="2177"/>
                <a:pt x="2450737" y="44994"/>
                <a:pt x="2471057" y="45720"/>
              </a:cubicBezTo>
              <a:cubicBezTo>
                <a:pt x="2491377" y="46446"/>
                <a:pt x="2509883" y="6532"/>
                <a:pt x="2534194" y="6532"/>
              </a:cubicBezTo>
              <a:cubicBezTo>
                <a:pt x="2558505" y="6532"/>
                <a:pt x="2590800" y="46446"/>
                <a:pt x="2616926" y="45720"/>
              </a:cubicBezTo>
              <a:cubicBezTo>
                <a:pt x="2643052" y="44994"/>
                <a:pt x="2665548" y="2540"/>
                <a:pt x="2690948" y="2177"/>
              </a:cubicBezTo>
              <a:cubicBezTo>
                <a:pt x="2716348" y="1814"/>
                <a:pt x="2743563" y="43180"/>
                <a:pt x="2769326" y="43543"/>
              </a:cubicBezTo>
              <a:cubicBezTo>
                <a:pt x="2795089" y="43906"/>
                <a:pt x="2820852" y="4718"/>
                <a:pt x="2845526" y="4355"/>
              </a:cubicBezTo>
              <a:cubicBezTo>
                <a:pt x="2870200" y="3992"/>
                <a:pt x="2894874" y="42092"/>
                <a:pt x="2917371" y="41366"/>
              </a:cubicBezTo>
              <a:cubicBezTo>
                <a:pt x="2939868" y="40640"/>
                <a:pt x="2980508" y="0"/>
                <a:pt x="2980508" y="0"/>
              </a:cubicBezTo>
            </a:path>
          </a:pathLst>
        </a:custGeom>
        <a:solidFill>
          <a:srgbClr val="FFFFFF"/>
        </a:solidFill>
        <a:ln w="9525" cap="flat" cmpd="sng" algn="ctr">
          <a:solidFill>
            <a:srgbClr val="000000"/>
          </a:solidFill>
          <a:prstDash val="solid"/>
          <a:round/>
          <a:headEnd type="none" w="med" len="med"/>
          <a:tailEnd type="none" w="med" len="med"/>
        </a:ln>
      </xdr:spPr>
    </xdr:sp>
    <xdr:clientData/>
  </xdr:twoCellAnchor>
  <xdr:twoCellAnchor>
    <xdr:from>
      <xdr:col>4</xdr:col>
      <xdr:colOff>594360</xdr:colOff>
      <xdr:row>14</xdr:row>
      <xdr:rowOff>175260</xdr:rowOff>
    </xdr:from>
    <xdr:to>
      <xdr:col>4</xdr:col>
      <xdr:colOff>670560</xdr:colOff>
      <xdr:row>14</xdr:row>
      <xdr:rowOff>175260</xdr:rowOff>
    </xdr:to>
    <xdr:cxnSp macro="">
      <xdr:nvCxnSpPr>
        <xdr:cNvPr id="26009" name="Straight Connector 330">
          <a:extLst>
            <a:ext uri="{FF2B5EF4-FFF2-40B4-BE49-F238E27FC236}">
              <a16:creationId xmlns:a16="http://schemas.microsoft.com/office/drawing/2014/main" id="{00000000-0008-0000-0000-000099650000}"/>
            </a:ext>
          </a:extLst>
        </xdr:cNvPr>
        <xdr:cNvCxnSpPr>
          <a:cxnSpLocks noChangeShapeType="1"/>
        </xdr:cNvCxnSpPr>
      </xdr:nvCxnSpPr>
      <xdr:spPr bwMode="auto">
        <a:xfrm>
          <a:off x="4861560" y="2804160"/>
          <a:ext cx="76200" cy="0"/>
        </a:xfrm>
        <a:prstGeom prst="line">
          <a:avLst/>
        </a:prstGeom>
        <a:noFill/>
        <a:ln w="3175" algn="ctr">
          <a:solidFill>
            <a:srgbClr val="000000"/>
          </a:solidFill>
          <a:round/>
          <a:headEnd/>
          <a:tailEnd/>
        </a:ln>
      </xdr:spPr>
    </xdr:cxnSp>
    <xdr:clientData/>
  </xdr:twoCellAnchor>
  <xdr:twoCellAnchor>
    <xdr:from>
      <xdr:col>4</xdr:col>
      <xdr:colOff>815340</xdr:colOff>
      <xdr:row>14</xdr:row>
      <xdr:rowOff>22860</xdr:rowOff>
    </xdr:from>
    <xdr:to>
      <xdr:col>5</xdr:col>
      <xdr:colOff>175260</xdr:colOff>
      <xdr:row>14</xdr:row>
      <xdr:rowOff>22860</xdr:rowOff>
    </xdr:to>
    <xdr:cxnSp macro="">
      <xdr:nvCxnSpPr>
        <xdr:cNvPr id="26010" name="Straight Arrow Connector 352">
          <a:extLst>
            <a:ext uri="{FF2B5EF4-FFF2-40B4-BE49-F238E27FC236}">
              <a16:creationId xmlns:a16="http://schemas.microsoft.com/office/drawing/2014/main" id="{00000000-0008-0000-0000-00009A650000}"/>
            </a:ext>
          </a:extLst>
        </xdr:cNvPr>
        <xdr:cNvCxnSpPr>
          <a:cxnSpLocks noChangeShapeType="1"/>
        </xdr:cNvCxnSpPr>
      </xdr:nvCxnSpPr>
      <xdr:spPr bwMode="auto">
        <a:xfrm flipV="1">
          <a:off x="5082540" y="2651760"/>
          <a:ext cx="190500" cy="0"/>
        </a:xfrm>
        <a:prstGeom prst="straightConnector1">
          <a:avLst/>
        </a:prstGeom>
        <a:noFill/>
        <a:ln w="3175" algn="ctr">
          <a:solidFill>
            <a:srgbClr val="000000"/>
          </a:solidFill>
          <a:round/>
          <a:headEnd/>
          <a:tailEnd type="stealth" w="sm" len="sm"/>
        </a:ln>
      </xdr:spPr>
    </xdr:cxnSp>
    <xdr:clientData/>
  </xdr:twoCellAnchor>
  <xdr:twoCellAnchor>
    <xdr:from>
      <xdr:col>4</xdr:col>
      <xdr:colOff>822960</xdr:colOff>
      <xdr:row>18</xdr:row>
      <xdr:rowOff>7620</xdr:rowOff>
    </xdr:from>
    <xdr:to>
      <xdr:col>5</xdr:col>
      <xdr:colOff>175260</xdr:colOff>
      <xdr:row>18</xdr:row>
      <xdr:rowOff>15240</xdr:rowOff>
    </xdr:to>
    <xdr:cxnSp macro="">
      <xdr:nvCxnSpPr>
        <xdr:cNvPr id="26011" name="Straight Arrow Connector 359">
          <a:extLst>
            <a:ext uri="{FF2B5EF4-FFF2-40B4-BE49-F238E27FC236}">
              <a16:creationId xmlns:a16="http://schemas.microsoft.com/office/drawing/2014/main" id="{00000000-0008-0000-0000-00009B650000}"/>
            </a:ext>
          </a:extLst>
        </xdr:cNvPr>
        <xdr:cNvCxnSpPr>
          <a:cxnSpLocks noChangeShapeType="1"/>
        </xdr:cNvCxnSpPr>
      </xdr:nvCxnSpPr>
      <xdr:spPr bwMode="auto">
        <a:xfrm flipV="1">
          <a:off x="5090160" y="3398520"/>
          <a:ext cx="182880" cy="7620"/>
        </a:xfrm>
        <a:prstGeom prst="straightConnector1">
          <a:avLst/>
        </a:prstGeom>
        <a:noFill/>
        <a:ln w="3175" algn="ctr">
          <a:solidFill>
            <a:srgbClr val="000000"/>
          </a:solidFill>
          <a:round/>
          <a:headEnd/>
          <a:tailEnd type="stealth" w="sm" len="sm"/>
        </a:ln>
      </xdr:spPr>
    </xdr:cxnSp>
    <xdr:clientData/>
  </xdr:twoCellAnchor>
  <xdr:twoCellAnchor>
    <xdr:from>
      <xdr:col>4</xdr:col>
      <xdr:colOff>822960</xdr:colOff>
      <xdr:row>14</xdr:row>
      <xdr:rowOff>22860</xdr:rowOff>
    </xdr:from>
    <xdr:to>
      <xdr:col>4</xdr:col>
      <xdr:colOff>822960</xdr:colOff>
      <xdr:row>14</xdr:row>
      <xdr:rowOff>114300</xdr:rowOff>
    </xdr:to>
    <xdr:cxnSp macro="">
      <xdr:nvCxnSpPr>
        <xdr:cNvPr id="26012" name="Straight Connector 361">
          <a:extLst>
            <a:ext uri="{FF2B5EF4-FFF2-40B4-BE49-F238E27FC236}">
              <a16:creationId xmlns:a16="http://schemas.microsoft.com/office/drawing/2014/main" id="{00000000-0008-0000-0000-00009C650000}"/>
            </a:ext>
          </a:extLst>
        </xdr:cNvPr>
        <xdr:cNvCxnSpPr>
          <a:cxnSpLocks noChangeShapeType="1"/>
        </xdr:cNvCxnSpPr>
      </xdr:nvCxnSpPr>
      <xdr:spPr bwMode="auto">
        <a:xfrm rot="5400000">
          <a:off x="5044440" y="2697480"/>
          <a:ext cx="91440" cy="0"/>
        </a:xfrm>
        <a:prstGeom prst="line">
          <a:avLst/>
        </a:prstGeom>
        <a:noFill/>
        <a:ln w="6350" algn="ctr">
          <a:solidFill>
            <a:srgbClr val="000000"/>
          </a:solidFill>
          <a:round/>
          <a:headEnd/>
          <a:tailEnd/>
        </a:ln>
      </xdr:spPr>
    </xdr:cxnSp>
    <xdr:clientData/>
  </xdr:twoCellAnchor>
  <xdr:twoCellAnchor>
    <xdr:from>
      <xdr:col>4</xdr:col>
      <xdr:colOff>822960</xdr:colOff>
      <xdr:row>17</xdr:row>
      <xdr:rowOff>106680</xdr:rowOff>
    </xdr:from>
    <xdr:to>
      <xdr:col>4</xdr:col>
      <xdr:colOff>822960</xdr:colOff>
      <xdr:row>18</xdr:row>
      <xdr:rowOff>15240</xdr:rowOff>
    </xdr:to>
    <xdr:cxnSp macro="">
      <xdr:nvCxnSpPr>
        <xdr:cNvPr id="26013" name="Straight Connector 363">
          <a:extLst>
            <a:ext uri="{FF2B5EF4-FFF2-40B4-BE49-F238E27FC236}">
              <a16:creationId xmlns:a16="http://schemas.microsoft.com/office/drawing/2014/main" id="{00000000-0008-0000-0000-00009D650000}"/>
            </a:ext>
          </a:extLst>
        </xdr:cNvPr>
        <xdr:cNvCxnSpPr>
          <a:cxnSpLocks noChangeShapeType="1"/>
        </xdr:cNvCxnSpPr>
      </xdr:nvCxnSpPr>
      <xdr:spPr bwMode="auto">
        <a:xfrm rot="5400000">
          <a:off x="5040630" y="3356610"/>
          <a:ext cx="99060" cy="0"/>
        </a:xfrm>
        <a:prstGeom prst="line">
          <a:avLst/>
        </a:prstGeom>
        <a:noFill/>
        <a:ln w="6350" algn="ctr">
          <a:solidFill>
            <a:srgbClr val="000000"/>
          </a:solidFill>
          <a:round/>
          <a:headEnd/>
          <a:tailEnd/>
        </a:ln>
      </xdr:spPr>
    </xdr:cxnSp>
    <xdr:clientData/>
  </xdr:twoCellAnchor>
  <xdr:twoCellAnchor>
    <xdr:from>
      <xdr:col>6</xdr:col>
      <xdr:colOff>323850</xdr:colOff>
      <xdr:row>18</xdr:row>
      <xdr:rowOff>55245</xdr:rowOff>
    </xdr:from>
    <xdr:to>
      <xdr:col>8</xdr:col>
      <xdr:colOff>266700</xdr:colOff>
      <xdr:row>19</xdr:row>
      <xdr:rowOff>76201</xdr:rowOff>
    </xdr:to>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3981450" y="3240405"/>
          <a:ext cx="1162050" cy="188596"/>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SEE</a:t>
          </a:r>
          <a:r>
            <a:rPr lang="en-US" sz="800" baseline="0"/>
            <a:t> SETAIL "B"</a:t>
          </a:r>
          <a:endParaRPr lang="en-US" sz="800"/>
        </a:p>
      </xdr:txBody>
    </xdr:sp>
    <xdr:clientData/>
  </xdr:twoCellAnchor>
  <xdr:twoCellAnchor>
    <xdr:from>
      <xdr:col>6</xdr:col>
      <xdr:colOff>167640</xdr:colOff>
      <xdr:row>17</xdr:row>
      <xdr:rowOff>160020</xdr:rowOff>
    </xdr:from>
    <xdr:to>
      <xdr:col>6</xdr:col>
      <xdr:colOff>327660</xdr:colOff>
      <xdr:row>18</xdr:row>
      <xdr:rowOff>160020</xdr:rowOff>
    </xdr:to>
    <xdr:cxnSp macro="">
      <xdr:nvCxnSpPr>
        <xdr:cNvPr id="26015" name="Straight Connector 369">
          <a:extLst>
            <a:ext uri="{FF2B5EF4-FFF2-40B4-BE49-F238E27FC236}">
              <a16:creationId xmlns:a16="http://schemas.microsoft.com/office/drawing/2014/main" id="{00000000-0008-0000-0000-00009F650000}"/>
            </a:ext>
          </a:extLst>
        </xdr:cNvPr>
        <xdr:cNvCxnSpPr>
          <a:cxnSpLocks noChangeShapeType="1"/>
          <a:stCxn id="25901" idx="4"/>
          <a:endCxn id="120" idx="1"/>
        </xdr:cNvCxnSpPr>
      </xdr:nvCxnSpPr>
      <xdr:spPr bwMode="auto">
        <a:xfrm rot="16200000" flipH="1">
          <a:off x="6027420" y="3375660"/>
          <a:ext cx="190500" cy="160020"/>
        </a:xfrm>
        <a:prstGeom prst="line">
          <a:avLst/>
        </a:prstGeom>
        <a:noFill/>
        <a:ln w="3175" algn="ctr">
          <a:solidFill>
            <a:srgbClr val="000000"/>
          </a:solidFill>
          <a:round/>
          <a:headEnd/>
          <a:tailEnd/>
        </a:ln>
      </xdr:spPr>
    </xdr:cxnSp>
    <xdr:clientData/>
  </xdr:twoCellAnchor>
  <xdr:twoCellAnchor>
    <xdr:from>
      <xdr:col>3</xdr:col>
      <xdr:colOff>1150620</xdr:colOff>
      <xdr:row>14</xdr:row>
      <xdr:rowOff>175260</xdr:rowOff>
    </xdr:from>
    <xdr:to>
      <xdr:col>4</xdr:col>
      <xdr:colOff>129540</xdr:colOff>
      <xdr:row>15</xdr:row>
      <xdr:rowOff>91440</xdr:rowOff>
    </xdr:to>
    <xdr:cxnSp macro="">
      <xdr:nvCxnSpPr>
        <xdr:cNvPr id="26016" name="Straight Arrow Connector 371">
          <a:extLst>
            <a:ext uri="{FF2B5EF4-FFF2-40B4-BE49-F238E27FC236}">
              <a16:creationId xmlns:a16="http://schemas.microsoft.com/office/drawing/2014/main" id="{00000000-0008-0000-0000-0000A0650000}"/>
            </a:ext>
          </a:extLst>
        </xdr:cNvPr>
        <xdr:cNvCxnSpPr>
          <a:cxnSpLocks noChangeShapeType="1"/>
        </xdr:cNvCxnSpPr>
      </xdr:nvCxnSpPr>
      <xdr:spPr bwMode="auto">
        <a:xfrm flipV="1">
          <a:off x="4213860" y="2804160"/>
          <a:ext cx="182880" cy="106680"/>
        </a:xfrm>
        <a:prstGeom prst="straightConnector1">
          <a:avLst/>
        </a:prstGeom>
        <a:noFill/>
        <a:ln w="3175" algn="ctr">
          <a:solidFill>
            <a:srgbClr val="000000"/>
          </a:solidFill>
          <a:round/>
          <a:headEnd/>
          <a:tailEnd type="stealth" w="sm" len="sm"/>
        </a:ln>
      </xdr:spPr>
    </xdr:cxnSp>
    <xdr:clientData/>
  </xdr:twoCellAnchor>
  <xdr:twoCellAnchor>
    <xdr:from>
      <xdr:col>3</xdr:col>
      <xdr:colOff>1165860</xdr:colOff>
      <xdr:row>16</xdr:row>
      <xdr:rowOff>35560</xdr:rowOff>
    </xdr:from>
    <xdr:to>
      <xdr:col>4</xdr:col>
      <xdr:colOff>198120</xdr:colOff>
      <xdr:row>17</xdr:row>
      <xdr:rowOff>15240</xdr:rowOff>
    </xdr:to>
    <xdr:cxnSp macro="">
      <xdr:nvCxnSpPr>
        <xdr:cNvPr id="26017" name="Straight Arrow Connector 374">
          <a:extLst>
            <a:ext uri="{FF2B5EF4-FFF2-40B4-BE49-F238E27FC236}">
              <a16:creationId xmlns:a16="http://schemas.microsoft.com/office/drawing/2014/main" id="{00000000-0008-0000-0000-0000A1650000}"/>
            </a:ext>
          </a:extLst>
        </xdr:cNvPr>
        <xdr:cNvCxnSpPr>
          <a:cxnSpLocks noChangeShapeType="1"/>
        </xdr:cNvCxnSpPr>
      </xdr:nvCxnSpPr>
      <xdr:spPr bwMode="auto">
        <a:xfrm>
          <a:off x="4229100" y="3045460"/>
          <a:ext cx="236220" cy="170180"/>
        </a:xfrm>
        <a:prstGeom prst="straightConnector1">
          <a:avLst/>
        </a:prstGeom>
        <a:noFill/>
        <a:ln w="3175" algn="ctr">
          <a:solidFill>
            <a:srgbClr val="000000"/>
          </a:solidFill>
          <a:round/>
          <a:headEnd/>
          <a:tailEnd type="stealth" w="sm" len="sm"/>
        </a:ln>
      </xdr:spPr>
    </xdr:cxnSp>
    <xdr:clientData/>
  </xdr:twoCellAnchor>
  <xdr:twoCellAnchor>
    <xdr:from>
      <xdr:col>3</xdr:col>
      <xdr:colOff>716280</xdr:colOff>
      <xdr:row>17</xdr:row>
      <xdr:rowOff>99060</xdr:rowOff>
    </xdr:from>
    <xdr:to>
      <xdr:col>3</xdr:col>
      <xdr:colOff>716280</xdr:colOff>
      <xdr:row>18</xdr:row>
      <xdr:rowOff>45720</xdr:rowOff>
    </xdr:to>
    <xdr:cxnSp macro="">
      <xdr:nvCxnSpPr>
        <xdr:cNvPr id="26018" name="Straight Connector 379">
          <a:extLst>
            <a:ext uri="{FF2B5EF4-FFF2-40B4-BE49-F238E27FC236}">
              <a16:creationId xmlns:a16="http://schemas.microsoft.com/office/drawing/2014/main" id="{00000000-0008-0000-0000-0000A2650000}"/>
            </a:ext>
          </a:extLst>
        </xdr:cNvPr>
        <xdr:cNvCxnSpPr>
          <a:cxnSpLocks noChangeShapeType="1"/>
        </xdr:cNvCxnSpPr>
      </xdr:nvCxnSpPr>
      <xdr:spPr bwMode="auto">
        <a:xfrm rot="5400000">
          <a:off x="3710940" y="3368040"/>
          <a:ext cx="137160" cy="0"/>
        </a:xfrm>
        <a:prstGeom prst="line">
          <a:avLst/>
        </a:prstGeom>
        <a:noFill/>
        <a:ln w="3175" algn="ctr">
          <a:solidFill>
            <a:srgbClr val="000000"/>
          </a:solidFill>
          <a:round/>
          <a:headEnd/>
          <a:tailEnd/>
        </a:ln>
      </xdr:spPr>
    </xdr:cxnSp>
    <xdr:clientData/>
  </xdr:twoCellAnchor>
  <xdr:twoCellAnchor>
    <xdr:from>
      <xdr:col>3</xdr:col>
      <xdr:colOff>830580</xdr:colOff>
      <xdr:row>17</xdr:row>
      <xdr:rowOff>99060</xdr:rowOff>
    </xdr:from>
    <xdr:to>
      <xdr:col>3</xdr:col>
      <xdr:colOff>830580</xdr:colOff>
      <xdr:row>18</xdr:row>
      <xdr:rowOff>45720</xdr:rowOff>
    </xdr:to>
    <xdr:cxnSp macro="">
      <xdr:nvCxnSpPr>
        <xdr:cNvPr id="26019" name="Straight Connector 380">
          <a:extLst>
            <a:ext uri="{FF2B5EF4-FFF2-40B4-BE49-F238E27FC236}">
              <a16:creationId xmlns:a16="http://schemas.microsoft.com/office/drawing/2014/main" id="{00000000-0008-0000-0000-0000A3650000}"/>
            </a:ext>
          </a:extLst>
        </xdr:cNvPr>
        <xdr:cNvCxnSpPr>
          <a:cxnSpLocks noChangeShapeType="1"/>
        </xdr:cNvCxnSpPr>
      </xdr:nvCxnSpPr>
      <xdr:spPr bwMode="auto">
        <a:xfrm rot="5400000">
          <a:off x="3825240" y="3368040"/>
          <a:ext cx="137160" cy="0"/>
        </a:xfrm>
        <a:prstGeom prst="line">
          <a:avLst/>
        </a:prstGeom>
        <a:noFill/>
        <a:ln w="3175" algn="ctr">
          <a:solidFill>
            <a:srgbClr val="000000"/>
          </a:solidFill>
          <a:round/>
          <a:headEnd/>
          <a:tailEnd/>
        </a:ln>
      </xdr:spPr>
    </xdr:cxnSp>
    <xdr:clientData/>
  </xdr:twoCellAnchor>
  <xdr:twoCellAnchor>
    <xdr:from>
      <xdr:col>3</xdr:col>
      <xdr:colOff>525780</xdr:colOff>
      <xdr:row>17</xdr:row>
      <xdr:rowOff>182880</xdr:rowOff>
    </xdr:from>
    <xdr:to>
      <xdr:col>3</xdr:col>
      <xdr:colOff>716280</xdr:colOff>
      <xdr:row>17</xdr:row>
      <xdr:rowOff>182880</xdr:rowOff>
    </xdr:to>
    <xdr:cxnSp macro="">
      <xdr:nvCxnSpPr>
        <xdr:cNvPr id="26020" name="Straight Arrow Connector 384">
          <a:extLst>
            <a:ext uri="{FF2B5EF4-FFF2-40B4-BE49-F238E27FC236}">
              <a16:creationId xmlns:a16="http://schemas.microsoft.com/office/drawing/2014/main" id="{00000000-0008-0000-0000-0000A4650000}"/>
            </a:ext>
          </a:extLst>
        </xdr:cNvPr>
        <xdr:cNvCxnSpPr>
          <a:cxnSpLocks noChangeShapeType="1"/>
        </xdr:cNvCxnSpPr>
      </xdr:nvCxnSpPr>
      <xdr:spPr bwMode="auto">
        <a:xfrm flipV="1">
          <a:off x="3589020" y="3383280"/>
          <a:ext cx="190500" cy="0"/>
        </a:xfrm>
        <a:prstGeom prst="straightConnector1">
          <a:avLst/>
        </a:prstGeom>
        <a:noFill/>
        <a:ln w="3175" algn="ctr">
          <a:solidFill>
            <a:srgbClr val="000000"/>
          </a:solidFill>
          <a:round/>
          <a:headEnd/>
          <a:tailEnd type="stealth" w="med" len="sm"/>
        </a:ln>
      </xdr:spPr>
    </xdr:cxnSp>
    <xdr:clientData/>
  </xdr:twoCellAnchor>
  <xdr:twoCellAnchor>
    <xdr:from>
      <xdr:col>3</xdr:col>
      <xdr:colOff>830580</xdr:colOff>
      <xdr:row>17</xdr:row>
      <xdr:rowOff>182880</xdr:rowOff>
    </xdr:from>
    <xdr:to>
      <xdr:col>3</xdr:col>
      <xdr:colOff>1005840</xdr:colOff>
      <xdr:row>17</xdr:row>
      <xdr:rowOff>182880</xdr:rowOff>
    </xdr:to>
    <xdr:cxnSp macro="">
      <xdr:nvCxnSpPr>
        <xdr:cNvPr id="26021" name="Straight Arrow Connector 393">
          <a:extLst>
            <a:ext uri="{FF2B5EF4-FFF2-40B4-BE49-F238E27FC236}">
              <a16:creationId xmlns:a16="http://schemas.microsoft.com/office/drawing/2014/main" id="{00000000-0008-0000-0000-0000A5650000}"/>
            </a:ext>
          </a:extLst>
        </xdr:cNvPr>
        <xdr:cNvCxnSpPr>
          <a:cxnSpLocks noChangeShapeType="1"/>
        </xdr:cNvCxnSpPr>
      </xdr:nvCxnSpPr>
      <xdr:spPr bwMode="auto">
        <a:xfrm rot="10800000">
          <a:off x="3893820" y="3383280"/>
          <a:ext cx="175260" cy="0"/>
        </a:xfrm>
        <a:prstGeom prst="straightConnector1">
          <a:avLst/>
        </a:prstGeom>
        <a:noFill/>
        <a:ln w="3175" algn="ctr">
          <a:solidFill>
            <a:srgbClr val="000000"/>
          </a:solidFill>
          <a:round/>
          <a:headEnd/>
          <a:tailEnd type="stealth" w="sm" len="sm"/>
        </a:ln>
      </xdr:spPr>
    </xdr:cxnSp>
    <xdr:clientData/>
  </xdr:twoCellAnchor>
  <xdr:twoCellAnchor>
    <xdr:from>
      <xdr:col>4</xdr:col>
      <xdr:colOff>247650</xdr:colOff>
      <xdr:row>18</xdr:row>
      <xdr:rowOff>99060</xdr:rowOff>
    </xdr:from>
    <xdr:to>
      <xdr:col>5</xdr:col>
      <xdr:colOff>586740</xdr:colOff>
      <xdr:row>20</xdr:row>
      <xdr:rowOff>76200</xdr:rowOff>
    </xdr:to>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2686050" y="3284220"/>
          <a:ext cx="948690" cy="312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baseline="0"/>
            <a:t>ELEVATION</a:t>
          </a:r>
        </a:p>
      </xdr:txBody>
    </xdr:sp>
    <xdr:clientData/>
  </xdr:twoCellAnchor>
  <xdr:twoCellAnchor>
    <xdr:from>
      <xdr:col>2</xdr:col>
      <xdr:colOff>1303020</xdr:colOff>
      <xdr:row>24</xdr:row>
      <xdr:rowOff>45720</xdr:rowOff>
    </xdr:from>
    <xdr:to>
      <xdr:col>4</xdr:col>
      <xdr:colOff>769620</xdr:colOff>
      <xdr:row>26</xdr:row>
      <xdr:rowOff>0</xdr:rowOff>
    </xdr:to>
    <xdr:sp macro="" textlink="">
      <xdr:nvSpPr>
        <xdr:cNvPr id="26023" name="Freeform 449">
          <a:extLst>
            <a:ext uri="{FF2B5EF4-FFF2-40B4-BE49-F238E27FC236}">
              <a16:creationId xmlns:a16="http://schemas.microsoft.com/office/drawing/2014/main" id="{00000000-0008-0000-0000-0000A7650000}"/>
            </a:ext>
          </a:extLst>
        </xdr:cNvPr>
        <xdr:cNvSpPr>
          <a:spLocks/>
        </xdr:cNvSpPr>
      </xdr:nvSpPr>
      <xdr:spPr bwMode="auto">
        <a:xfrm>
          <a:off x="2369820" y="4579620"/>
          <a:ext cx="2667000" cy="335280"/>
        </a:xfrm>
        <a:custGeom>
          <a:avLst/>
          <a:gdLst>
            <a:gd name="T0" fmla="*/ 0 w 2570480"/>
            <a:gd name="T1" fmla="*/ 0 h 340360"/>
            <a:gd name="T2" fmla="*/ 305588 w 2570480"/>
            <a:gd name="T3" fmla="*/ 258684 h 340360"/>
            <a:gd name="T4" fmla="*/ 656749 w 2570480"/>
            <a:gd name="T5" fmla="*/ 0 h 340360"/>
            <a:gd name="T6" fmla="*/ 1022651 w 2570480"/>
            <a:gd name="T7" fmla="*/ 258684 h 340360"/>
            <a:gd name="T8" fmla="*/ 1356388 w 2570480"/>
            <a:gd name="T9" fmla="*/ 0 h 340360"/>
            <a:gd name="T10" fmla="*/ 1356388 w 2570480"/>
            <a:gd name="T11" fmla="*/ 0 h 340360"/>
            <a:gd name="T12" fmla="*/ 0 60000 65536"/>
            <a:gd name="T13" fmla="*/ 0 60000 65536"/>
            <a:gd name="T14" fmla="*/ 0 60000 65536"/>
            <a:gd name="T15" fmla="*/ 0 60000 65536"/>
            <a:gd name="T16" fmla="*/ 0 60000 65536"/>
            <a:gd name="T17" fmla="*/ 0 60000 65536"/>
            <a:gd name="T18" fmla="*/ 0 w 2570480"/>
            <a:gd name="T19" fmla="*/ 0 h 340360"/>
            <a:gd name="T20" fmla="*/ 2570480 w 2570480"/>
            <a:gd name="T21" fmla="*/ 340360 h 340360"/>
          </a:gdLst>
          <a:ahLst/>
          <a:cxnLst>
            <a:cxn ang="T12">
              <a:pos x="T0" y="T1"/>
            </a:cxn>
            <a:cxn ang="T13">
              <a:pos x="T2" y="T3"/>
            </a:cxn>
            <a:cxn ang="T14">
              <a:pos x="T4" y="T5"/>
            </a:cxn>
            <a:cxn ang="T15">
              <a:pos x="T6" y="T7"/>
            </a:cxn>
            <a:cxn ang="T16">
              <a:pos x="T8" y="T9"/>
            </a:cxn>
            <a:cxn ang="T17">
              <a:pos x="T10" y="T11"/>
            </a:cxn>
          </a:cxnLst>
          <a:rect l="T18" t="T19" r="T20" b="T21"/>
          <a:pathLst>
            <a:path w="2570480" h="340360">
              <a:moveTo>
                <a:pt x="0" y="0"/>
              </a:moveTo>
              <a:cubicBezTo>
                <a:pt x="185843" y="170180"/>
                <a:pt x="371687" y="340360"/>
                <a:pt x="579120" y="340360"/>
              </a:cubicBezTo>
              <a:cubicBezTo>
                <a:pt x="786553" y="340360"/>
                <a:pt x="1018117" y="0"/>
                <a:pt x="1244600" y="0"/>
              </a:cubicBezTo>
              <a:cubicBezTo>
                <a:pt x="1471083" y="0"/>
                <a:pt x="1717040" y="340360"/>
                <a:pt x="1938020" y="340360"/>
              </a:cubicBezTo>
              <a:cubicBezTo>
                <a:pt x="2159000" y="340360"/>
                <a:pt x="2570480" y="0"/>
                <a:pt x="2570480" y="0"/>
              </a:cubicBezTo>
            </a:path>
          </a:pathLst>
        </a:custGeom>
        <a:noFill/>
        <a:ln w="9525" cap="flat" cmpd="sng" algn="ctr">
          <a:solidFill>
            <a:srgbClr val="000000"/>
          </a:solidFill>
          <a:prstDash val="solid"/>
          <a:round/>
          <a:headEnd type="none" w="med" len="med"/>
          <a:tailEnd type="none" w="med" len="med"/>
        </a:ln>
      </xdr:spPr>
    </xdr:sp>
    <xdr:clientData/>
  </xdr:twoCellAnchor>
  <xdr:twoCellAnchor>
    <xdr:from>
      <xdr:col>2</xdr:col>
      <xdr:colOff>1303020</xdr:colOff>
      <xdr:row>23</xdr:row>
      <xdr:rowOff>121920</xdr:rowOff>
    </xdr:from>
    <xdr:to>
      <xdr:col>4</xdr:col>
      <xdr:colOff>769620</xdr:colOff>
      <xdr:row>25</xdr:row>
      <xdr:rowOff>83820</xdr:rowOff>
    </xdr:to>
    <xdr:sp macro="" textlink="">
      <xdr:nvSpPr>
        <xdr:cNvPr id="26024" name="Freeform 448">
          <a:extLst>
            <a:ext uri="{FF2B5EF4-FFF2-40B4-BE49-F238E27FC236}">
              <a16:creationId xmlns:a16="http://schemas.microsoft.com/office/drawing/2014/main" id="{00000000-0008-0000-0000-0000A8650000}"/>
            </a:ext>
          </a:extLst>
        </xdr:cNvPr>
        <xdr:cNvSpPr>
          <a:spLocks/>
        </xdr:cNvSpPr>
      </xdr:nvSpPr>
      <xdr:spPr bwMode="auto">
        <a:xfrm>
          <a:off x="2369820" y="4465320"/>
          <a:ext cx="2667000" cy="342900"/>
        </a:xfrm>
        <a:custGeom>
          <a:avLst/>
          <a:gdLst>
            <a:gd name="T0" fmla="*/ 0 w 2570480"/>
            <a:gd name="T1" fmla="*/ 0 h 340360"/>
            <a:gd name="T2" fmla="*/ 305588 w 2570480"/>
            <a:gd name="T3" fmla="*/ 313057 h 340360"/>
            <a:gd name="T4" fmla="*/ 656749 w 2570480"/>
            <a:gd name="T5" fmla="*/ 0 h 340360"/>
            <a:gd name="T6" fmla="*/ 1022651 w 2570480"/>
            <a:gd name="T7" fmla="*/ 313057 h 340360"/>
            <a:gd name="T8" fmla="*/ 1356388 w 2570480"/>
            <a:gd name="T9" fmla="*/ 0 h 340360"/>
            <a:gd name="T10" fmla="*/ 1356388 w 2570480"/>
            <a:gd name="T11" fmla="*/ 0 h 340360"/>
            <a:gd name="T12" fmla="*/ 0 60000 65536"/>
            <a:gd name="T13" fmla="*/ 0 60000 65536"/>
            <a:gd name="T14" fmla="*/ 0 60000 65536"/>
            <a:gd name="T15" fmla="*/ 0 60000 65536"/>
            <a:gd name="T16" fmla="*/ 0 60000 65536"/>
            <a:gd name="T17" fmla="*/ 0 60000 65536"/>
            <a:gd name="T18" fmla="*/ 0 w 2570480"/>
            <a:gd name="T19" fmla="*/ 0 h 340360"/>
            <a:gd name="T20" fmla="*/ 2570480 w 2570480"/>
            <a:gd name="T21" fmla="*/ 340360 h 340360"/>
          </a:gdLst>
          <a:ahLst/>
          <a:cxnLst>
            <a:cxn ang="T12">
              <a:pos x="T0" y="T1"/>
            </a:cxn>
            <a:cxn ang="T13">
              <a:pos x="T2" y="T3"/>
            </a:cxn>
            <a:cxn ang="T14">
              <a:pos x="T4" y="T5"/>
            </a:cxn>
            <a:cxn ang="T15">
              <a:pos x="T6" y="T7"/>
            </a:cxn>
            <a:cxn ang="T16">
              <a:pos x="T8" y="T9"/>
            </a:cxn>
            <a:cxn ang="T17">
              <a:pos x="T10" y="T11"/>
            </a:cxn>
          </a:cxnLst>
          <a:rect l="T18" t="T19" r="T20" b="T21"/>
          <a:pathLst>
            <a:path w="2570480" h="340360">
              <a:moveTo>
                <a:pt x="0" y="0"/>
              </a:moveTo>
              <a:cubicBezTo>
                <a:pt x="185843" y="170180"/>
                <a:pt x="371687" y="340360"/>
                <a:pt x="579120" y="340360"/>
              </a:cubicBezTo>
              <a:cubicBezTo>
                <a:pt x="786553" y="340360"/>
                <a:pt x="1018117" y="0"/>
                <a:pt x="1244600" y="0"/>
              </a:cubicBezTo>
              <a:cubicBezTo>
                <a:pt x="1471083" y="0"/>
                <a:pt x="1717040" y="340360"/>
                <a:pt x="1938020" y="340360"/>
              </a:cubicBezTo>
              <a:cubicBezTo>
                <a:pt x="2159000" y="340360"/>
                <a:pt x="2570480" y="0"/>
                <a:pt x="2570480" y="0"/>
              </a:cubicBezTo>
            </a:path>
          </a:pathLst>
        </a:custGeom>
        <a:noFill/>
        <a:ln w="9525" cap="flat" cmpd="sng" algn="ctr">
          <a:solidFill>
            <a:srgbClr val="000000"/>
          </a:solidFill>
          <a:prstDash val="solid"/>
          <a:round/>
          <a:headEnd type="none" w="med" len="med"/>
          <a:tailEnd type="none" w="med" len="med"/>
        </a:ln>
      </xdr:spPr>
    </xdr:sp>
    <xdr:clientData/>
  </xdr:twoCellAnchor>
  <xdr:twoCellAnchor>
    <xdr:from>
      <xdr:col>2</xdr:col>
      <xdr:colOff>1295400</xdr:colOff>
      <xdr:row>23</xdr:row>
      <xdr:rowOff>30480</xdr:rowOff>
    </xdr:from>
    <xdr:to>
      <xdr:col>2</xdr:col>
      <xdr:colOff>1295400</xdr:colOff>
      <xdr:row>23</xdr:row>
      <xdr:rowOff>175260</xdr:rowOff>
    </xdr:to>
    <xdr:cxnSp macro="">
      <xdr:nvCxnSpPr>
        <xdr:cNvPr id="26025" name="Straight Connector 451">
          <a:extLst>
            <a:ext uri="{FF2B5EF4-FFF2-40B4-BE49-F238E27FC236}">
              <a16:creationId xmlns:a16="http://schemas.microsoft.com/office/drawing/2014/main" id="{00000000-0008-0000-0000-0000A9650000}"/>
            </a:ext>
          </a:extLst>
        </xdr:cNvPr>
        <xdr:cNvCxnSpPr>
          <a:cxnSpLocks noChangeShapeType="1"/>
        </xdr:cNvCxnSpPr>
      </xdr:nvCxnSpPr>
      <xdr:spPr bwMode="auto">
        <a:xfrm rot="5400000">
          <a:off x="2289810" y="4446270"/>
          <a:ext cx="144780" cy="0"/>
        </a:xfrm>
        <a:prstGeom prst="line">
          <a:avLst/>
        </a:prstGeom>
        <a:noFill/>
        <a:ln w="3175" algn="ctr">
          <a:solidFill>
            <a:srgbClr val="000000"/>
          </a:solidFill>
          <a:round/>
          <a:headEnd/>
          <a:tailEnd/>
        </a:ln>
      </xdr:spPr>
    </xdr:cxnSp>
    <xdr:clientData/>
  </xdr:twoCellAnchor>
  <xdr:twoCellAnchor>
    <xdr:from>
      <xdr:col>2</xdr:col>
      <xdr:colOff>1295400</xdr:colOff>
      <xdr:row>23</xdr:row>
      <xdr:rowOff>175260</xdr:rowOff>
    </xdr:from>
    <xdr:to>
      <xdr:col>2</xdr:col>
      <xdr:colOff>1325880</xdr:colOff>
      <xdr:row>23</xdr:row>
      <xdr:rowOff>175260</xdr:rowOff>
    </xdr:to>
    <xdr:cxnSp macro="">
      <xdr:nvCxnSpPr>
        <xdr:cNvPr id="26026" name="Straight Connector 453">
          <a:extLst>
            <a:ext uri="{FF2B5EF4-FFF2-40B4-BE49-F238E27FC236}">
              <a16:creationId xmlns:a16="http://schemas.microsoft.com/office/drawing/2014/main" id="{00000000-0008-0000-0000-0000AA650000}"/>
            </a:ext>
          </a:extLst>
        </xdr:cNvPr>
        <xdr:cNvCxnSpPr>
          <a:cxnSpLocks noChangeShapeType="1"/>
        </xdr:cNvCxnSpPr>
      </xdr:nvCxnSpPr>
      <xdr:spPr bwMode="auto">
        <a:xfrm>
          <a:off x="2362200" y="4518660"/>
          <a:ext cx="30480" cy="0"/>
        </a:xfrm>
        <a:prstGeom prst="line">
          <a:avLst/>
        </a:prstGeom>
        <a:noFill/>
        <a:ln w="3175" algn="ctr">
          <a:solidFill>
            <a:srgbClr val="000000"/>
          </a:solidFill>
          <a:round/>
          <a:headEnd/>
          <a:tailEnd/>
        </a:ln>
      </xdr:spPr>
    </xdr:cxnSp>
    <xdr:clientData/>
  </xdr:twoCellAnchor>
  <xdr:twoCellAnchor>
    <xdr:from>
      <xdr:col>2</xdr:col>
      <xdr:colOff>1249680</xdr:colOff>
      <xdr:row>23</xdr:row>
      <xdr:rowOff>175260</xdr:rowOff>
    </xdr:from>
    <xdr:to>
      <xdr:col>2</xdr:col>
      <xdr:colOff>1333500</xdr:colOff>
      <xdr:row>24</xdr:row>
      <xdr:rowOff>22860</xdr:rowOff>
    </xdr:to>
    <xdr:cxnSp macro="">
      <xdr:nvCxnSpPr>
        <xdr:cNvPr id="26027" name="Straight Connector 455">
          <a:extLst>
            <a:ext uri="{FF2B5EF4-FFF2-40B4-BE49-F238E27FC236}">
              <a16:creationId xmlns:a16="http://schemas.microsoft.com/office/drawing/2014/main" id="{00000000-0008-0000-0000-0000AB650000}"/>
            </a:ext>
          </a:extLst>
        </xdr:cNvPr>
        <xdr:cNvCxnSpPr>
          <a:cxnSpLocks noChangeShapeType="1"/>
        </xdr:cNvCxnSpPr>
      </xdr:nvCxnSpPr>
      <xdr:spPr bwMode="auto">
        <a:xfrm rot="10800000" flipV="1">
          <a:off x="2316480" y="4518660"/>
          <a:ext cx="83820" cy="38100"/>
        </a:xfrm>
        <a:prstGeom prst="line">
          <a:avLst/>
        </a:prstGeom>
        <a:noFill/>
        <a:ln w="3175" algn="ctr">
          <a:solidFill>
            <a:srgbClr val="000000"/>
          </a:solidFill>
          <a:round/>
          <a:headEnd/>
          <a:tailEnd/>
        </a:ln>
      </xdr:spPr>
    </xdr:cxnSp>
    <xdr:clientData/>
  </xdr:twoCellAnchor>
  <xdr:twoCellAnchor>
    <xdr:from>
      <xdr:col>2</xdr:col>
      <xdr:colOff>1242060</xdr:colOff>
      <xdr:row>24</xdr:row>
      <xdr:rowOff>30480</xdr:rowOff>
    </xdr:from>
    <xdr:to>
      <xdr:col>2</xdr:col>
      <xdr:colOff>1295400</xdr:colOff>
      <xdr:row>24</xdr:row>
      <xdr:rowOff>30480</xdr:rowOff>
    </xdr:to>
    <xdr:cxnSp macro="">
      <xdr:nvCxnSpPr>
        <xdr:cNvPr id="26028" name="Straight Connector 457">
          <a:extLst>
            <a:ext uri="{FF2B5EF4-FFF2-40B4-BE49-F238E27FC236}">
              <a16:creationId xmlns:a16="http://schemas.microsoft.com/office/drawing/2014/main" id="{00000000-0008-0000-0000-0000AC650000}"/>
            </a:ext>
          </a:extLst>
        </xdr:cNvPr>
        <xdr:cNvCxnSpPr>
          <a:cxnSpLocks noChangeShapeType="1"/>
        </xdr:cNvCxnSpPr>
      </xdr:nvCxnSpPr>
      <xdr:spPr bwMode="auto">
        <a:xfrm>
          <a:off x="2308860" y="4564380"/>
          <a:ext cx="53340" cy="0"/>
        </a:xfrm>
        <a:prstGeom prst="line">
          <a:avLst/>
        </a:prstGeom>
        <a:noFill/>
        <a:ln w="3175" algn="ctr">
          <a:solidFill>
            <a:srgbClr val="000000"/>
          </a:solidFill>
          <a:round/>
          <a:headEnd/>
          <a:tailEnd/>
        </a:ln>
      </xdr:spPr>
    </xdr:cxnSp>
    <xdr:clientData/>
  </xdr:twoCellAnchor>
  <xdr:twoCellAnchor>
    <xdr:from>
      <xdr:col>2</xdr:col>
      <xdr:colOff>1303020</xdr:colOff>
      <xdr:row>24</xdr:row>
      <xdr:rowOff>22860</xdr:rowOff>
    </xdr:from>
    <xdr:to>
      <xdr:col>2</xdr:col>
      <xdr:colOff>1303020</xdr:colOff>
      <xdr:row>24</xdr:row>
      <xdr:rowOff>144780</xdr:rowOff>
    </xdr:to>
    <xdr:cxnSp macro="">
      <xdr:nvCxnSpPr>
        <xdr:cNvPr id="26029" name="Straight Connector 459">
          <a:extLst>
            <a:ext uri="{FF2B5EF4-FFF2-40B4-BE49-F238E27FC236}">
              <a16:creationId xmlns:a16="http://schemas.microsoft.com/office/drawing/2014/main" id="{00000000-0008-0000-0000-0000AD650000}"/>
            </a:ext>
          </a:extLst>
        </xdr:cNvPr>
        <xdr:cNvCxnSpPr>
          <a:cxnSpLocks noChangeShapeType="1"/>
        </xdr:cNvCxnSpPr>
      </xdr:nvCxnSpPr>
      <xdr:spPr bwMode="auto">
        <a:xfrm rot="5400000">
          <a:off x="2308860" y="4617720"/>
          <a:ext cx="121920" cy="0"/>
        </a:xfrm>
        <a:prstGeom prst="line">
          <a:avLst/>
        </a:prstGeom>
        <a:noFill/>
        <a:ln w="3175" algn="ctr">
          <a:solidFill>
            <a:srgbClr val="000000"/>
          </a:solidFill>
          <a:round/>
          <a:headEnd/>
          <a:tailEnd/>
        </a:ln>
      </xdr:spPr>
    </xdr:cxnSp>
    <xdr:clientData/>
  </xdr:twoCellAnchor>
  <xdr:twoCellAnchor>
    <xdr:from>
      <xdr:col>4</xdr:col>
      <xdr:colOff>769620</xdr:colOff>
      <xdr:row>23</xdr:row>
      <xdr:rowOff>22860</xdr:rowOff>
    </xdr:from>
    <xdr:to>
      <xdr:col>4</xdr:col>
      <xdr:colOff>769620</xdr:colOff>
      <xdr:row>23</xdr:row>
      <xdr:rowOff>160020</xdr:rowOff>
    </xdr:to>
    <xdr:cxnSp macro="">
      <xdr:nvCxnSpPr>
        <xdr:cNvPr id="26030" name="Straight Connector 460">
          <a:extLst>
            <a:ext uri="{FF2B5EF4-FFF2-40B4-BE49-F238E27FC236}">
              <a16:creationId xmlns:a16="http://schemas.microsoft.com/office/drawing/2014/main" id="{00000000-0008-0000-0000-0000AE650000}"/>
            </a:ext>
          </a:extLst>
        </xdr:cNvPr>
        <xdr:cNvCxnSpPr>
          <a:cxnSpLocks noChangeShapeType="1"/>
        </xdr:cNvCxnSpPr>
      </xdr:nvCxnSpPr>
      <xdr:spPr bwMode="auto">
        <a:xfrm rot="5400000">
          <a:off x="4968240" y="4434840"/>
          <a:ext cx="137160" cy="0"/>
        </a:xfrm>
        <a:prstGeom prst="line">
          <a:avLst/>
        </a:prstGeom>
        <a:noFill/>
        <a:ln w="3175" algn="ctr">
          <a:solidFill>
            <a:srgbClr val="000000"/>
          </a:solidFill>
          <a:round/>
          <a:headEnd/>
          <a:tailEnd/>
        </a:ln>
      </xdr:spPr>
    </xdr:cxnSp>
    <xdr:clientData/>
  </xdr:twoCellAnchor>
  <xdr:twoCellAnchor>
    <xdr:from>
      <xdr:col>4</xdr:col>
      <xdr:colOff>723900</xdr:colOff>
      <xdr:row>23</xdr:row>
      <xdr:rowOff>167640</xdr:rowOff>
    </xdr:from>
    <xdr:to>
      <xdr:col>4</xdr:col>
      <xdr:colOff>800100</xdr:colOff>
      <xdr:row>24</xdr:row>
      <xdr:rowOff>15240</xdr:rowOff>
    </xdr:to>
    <xdr:cxnSp macro="">
      <xdr:nvCxnSpPr>
        <xdr:cNvPr id="26031" name="Straight Connector 461">
          <a:extLst>
            <a:ext uri="{FF2B5EF4-FFF2-40B4-BE49-F238E27FC236}">
              <a16:creationId xmlns:a16="http://schemas.microsoft.com/office/drawing/2014/main" id="{00000000-0008-0000-0000-0000AF650000}"/>
            </a:ext>
          </a:extLst>
        </xdr:cNvPr>
        <xdr:cNvCxnSpPr>
          <a:cxnSpLocks noChangeShapeType="1"/>
        </xdr:cNvCxnSpPr>
      </xdr:nvCxnSpPr>
      <xdr:spPr bwMode="auto">
        <a:xfrm rot="10800000" flipV="1">
          <a:off x="4991100" y="4511040"/>
          <a:ext cx="76200" cy="38100"/>
        </a:xfrm>
        <a:prstGeom prst="line">
          <a:avLst/>
        </a:prstGeom>
        <a:noFill/>
        <a:ln w="3175" algn="ctr">
          <a:solidFill>
            <a:srgbClr val="000000"/>
          </a:solidFill>
          <a:round/>
          <a:headEnd/>
          <a:tailEnd/>
        </a:ln>
      </xdr:spPr>
    </xdr:cxnSp>
    <xdr:clientData/>
  </xdr:twoCellAnchor>
  <xdr:twoCellAnchor>
    <xdr:from>
      <xdr:col>4</xdr:col>
      <xdr:colOff>716280</xdr:colOff>
      <xdr:row>24</xdr:row>
      <xdr:rowOff>15240</xdr:rowOff>
    </xdr:from>
    <xdr:to>
      <xdr:col>4</xdr:col>
      <xdr:colOff>769620</xdr:colOff>
      <xdr:row>24</xdr:row>
      <xdr:rowOff>15240</xdr:rowOff>
    </xdr:to>
    <xdr:cxnSp macro="">
      <xdr:nvCxnSpPr>
        <xdr:cNvPr id="26032" name="Straight Connector 462">
          <a:extLst>
            <a:ext uri="{FF2B5EF4-FFF2-40B4-BE49-F238E27FC236}">
              <a16:creationId xmlns:a16="http://schemas.microsoft.com/office/drawing/2014/main" id="{00000000-0008-0000-0000-0000B0650000}"/>
            </a:ext>
          </a:extLst>
        </xdr:cNvPr>
        <xdr:cNvCxnSpPr>
          <a:cxnSpLocks noChangeShapeType="1"/>
        </xdr:cNvCxnSpPr>
      </xdr:nvCxnSpPr>
      <xdr:spPr bwMode="auto">
        <a:xfrm>
          <a:off x="4983480" y="4549140"/>
          <a:ext cx="53340" cy="0"/>
        </a:xfrm>
        <a:prstGeom prst="line">
          <a:avLst/>
        </a:prstGeom>
        <a:noFill/>
        <a:ln w="3175" algn="ctr">
          <a:solidFill>
            <a:srgbClr val="000000"/>
          </a:solidFill>
          <a:round/>
          <a:headEnd/>
          <a:tailEnd/>
        </a:ln>
      </xdr:spPr>
    </xdr:cxnSp>
    <xdr:clientData/>
  </xdr:twoCellAnchor>
  <xdr:twoCellAnchor>
    <xdr:from>
      <xdr:col>4</xdr:col>
      <xdr:colOff>777240</xdr:colOff>
      <xdr:row>24</xdr:row>
      <xdr:rowOff>15240</xdr:rowOff>
    </xdr:from>
    <xdr:to>
      <xdr:col>4</xdr:col>
      <xdr:colOff>777240</xdr:colOff>
      <xdr:row>24</xdr:row>
      <xdr:rowOff>129540</xdr:rowOff>
    </xdr:to>
    <xdr:cxnSp macro="">
      <xdr:nvCxnSpPr>
        <xdr:cNvPr id="26033" name="Straight Connector 463">
          <a:extLst>
            <a:ext uri="{FF2B5EF4-FFF2-40B4-BE49-F238E27FC236}">
              <a16:creationId xmlns:a16="http://schemas.microsoft.com/office/drawing/2014/main" id="{00000000-0008-0000-0000-0000B1650000}"/>
            </a:ext>
          </a:extLst>
        </xdr:cNvPr>
        <xdr:cNvCxnSpPr>
          <a:cxnSpLocks noChangeShapeType="1"/>
        </xdr:cNvCxnSpPr>
      </xdr:nvCxnSpPr>
      <xdr:spPr bwMode="auto">
        <a:xfrm rot="5400000">
          <a:off x="4987290" y="4606290"/>
          <a:ext cx="114300" cy="0"/>
        </a:xfrm>
        <a:prstGeom prst="line">
          <a:avLst/>
        </a:prstGeom>
        <a:noFill/>
        <a:ln w="3175" algn="ctr">
          <a:solidFill>
            <a:srgbClr val="000000"/>
          </a:solidFill>
          <a:round/>
          <a:headEnd/>
          <a:tailEnd/>
        </a:ln>
      </xdr:spPr>
    </xdr:cxnSp>
    <xdr:clientData/>
  </xdr:twoCellAnchor>
  <xdr:twoCellAnchor>
    <xdr:from>
      <xdr:col>4</xdr:col>
      <xdr:colOff>769620</xdr:colOff>
      <xdr:row>23</xdr:row>
      <xdr:rowOff>160020</xdr:rowOff>
    </xdr:from>
    <xdr:to>
      <xdr:col>4</xdr:col>
      <xdr:colOff>800100</xdr:colOff>
      <xdr:row>23</xdr:row>
      <xdr:rowOff>160020</xdr:rowOff>
    </xdr:to>
    <xdr:cxnSp macro="">
      <xdr:nvCxnSpPr>
        <xdr:cNvPr id="26034" name="Straight Connector 464">
          <a:extLst>
            <a:ext uri="{FF2B5EF4-FFF2-40B4-BE49-F238E27FC236}">
              <a16:creationId xmlns:a16="http://schemas.microsoft.com/office/drawing/2014/main" id="{00000000-0008-0000-0000-0000B2650000}"/>
            </a:ext>
          </a:extLst>
        </xdr:cNvPr>
        <xdr:cNvCxnSpPr>
          <a:cxnSpLocks noChangeShapeType="1"/>
        </xdr:cNvCxnSpPr>
      </xdr:nvCxnSpPr>
      <xdr:spPr bwMode="auto">
        <a:xfrm>
          <a:off x="5036820" y="4503420"/>
          <a:ext cx="30480" cy="0"/>
        </a:xfrm>
        <a:prstGeom prst="line">
          <a:avLst/>
        </a:prstGeom>
        <a:noFill/>
        <a:ln w="3175" algn="ctr">
          <a:solidFill>
            <a:srgbClr val="000000"/>
          </a:solidFill>
          <a:round/>
          <a:headEnd/>
          <a:tailEnd/>
        </a:ln>
      </xdr:spPr>
    </xdr:cxnSp>
    <xdr:clientData/>
  </xdr:twoCellAnchor>
  <xdr:twoCellAnchor>
    <xdr:from>
      <xdr:col>2</xdr:col>
      <xdr:colOff>1455420</xdr:colOff>
      <xdr:row>24</xdr:row>
      <xdr:rowOff>114300</xdr:rowOff>
    </xdr:from>
    <xdr:to>
      <xdr:col>2</xdr:col>
      <xdr:colOff>1516380</xdr:colOff>
      <xdr:row>24</xdr:row>
      <xdr:rowOff>175260</xdr:rowOff>
    </xdr:to>
    <xdr:cxnSp macro="">
      <xdr:nvCxnSpPr>
        <xdr:cNvPr id="26035" name="Straight Connector 466">
          <a:extLst>
            <a:ext uri="{FF2B5EF4-FFF2-40B4-BE49-F238E27FC236}">
              <a16:creationId xmlns:a16="http://schemas.microsoft.com/office/drawing/2014/main" id="{00000000-0008-0000-0000-0000B3650000}"/>
            </a:ext>
          </a:extLst>
        </xdr:cNvPr>
        <xdr:cNvCxnSpPr>
          <a:cxnSpLocks noChangeShapeType="1"/>
        </xdr:cNvCxnSpPr>
      </xdr:nvCxnSpPr>
      <xdr:spPr bwMode="auto">
        <a:xfrm rot="5400000">
          <a:off x="2522220" y="4648200"/>
          <a:ext cx="60960" cy="60960"/>
        </a:xfrm>
        <a:prstGeom prst="line">
          <a:avLst/>
        </a:prstGeom>
        <a:noFill/>
        <a:ln w="3175" algn="ctr">
          <a:solidFill>
            <a:srgbClr val="000000"/>
          </a:solidFill>
          <a:round/>
          <a:headEnd/>
          <a:tailEnd/>
        </a:ln>
      </xdr:spPr>
    </xdr:cxnSp>
    <xdr:clientData/>
  </xdr:twoCellAnchor>
  <xdr:twoCellAnchor>
    <xdr:from>
      <xdr:col>2</xdr:col>
      <xdr:colOff>1478280</xdr:colOff>
      <xdr:row>24</xdr:row>
      <xdr:rowOff>144780</xdr:rowOff>
    </xdr:from>
    <xdr:to>
      <xdr:col>2</xdr:col>
      <xdr:colOff>1531620</xdr:colOff>
      <xdr:row>25</xdr:row>
      <xdr:rowOff>7620</xdr:rowOff>
    </xdr:to>
    <xdr:cxnSp macro="">
      <xdr:nvCxnSpPr>
        <xdr:cNvPr id="26036" name="Straight Connector 467">
          <a:extLst>
            <a:ext uri="{FF2B5EF4-FFF2-40B4-BE49-F238E27FC236}">
              <a16:creationId xmlns:a16="http://schemas.microsoft.com/office/drawing/2014/main" id="{00000000-0008-0000-0000-0000B4650000}"/>
            </a:ext>
          </a:extLst>
        </xdr:cNvPr>
        <xdr:cNvCxnSpPr>
          <a:cxnSpLocks noChangeShapeType="1"/>
        </xdr:cNvCxnSpPr>
      </xdr:nvCxnSpPr>
      <xdr:spPr bwMode="auto">
        <a:xfrm rot="5400000">
          <a:off x="2545080" y="4678680"/>
          <a:ext cx="53340" cy="53340"/>
        </a:xfrm>
        <a:prstGeom prst="line">
          <a:avLst/>
        </a:prstGeom>
        <a:noFill/>
        <a:ln w="3175" algn="ctr">
          <a:solidFill>
            <a:srgbClr val="000000"/>
          </a:solidFill>
          <a:round/>
          <a:headEnd/>
          <a:tailEnd/>
        </a:ln>
      </xdr:spPr>
    </xdr:cxnSp>
    <xdr:clientData/>
  </xdr:twoCellAnchor>
  <xdr:twoCellAnchor>
    <xdr:from>
      <xdr:col>3</xdr:col>
      <xdr:colOff>175260</xdr:colOff>
      <xdr:row>24</xdr:row>
      <xdr:rowOff>121920</xdr:rowOff>
    </xdr:from>
    <xdr:to>
      <xdr:col>3</xdr:col>
      <xdr:colOff>220980</xdr:colOff>
      <xdr:row>25</xdr:row>
      <xdr:rowOff>76200</xdr:rowOff>
    </xdr:to>
    <xdr:cxnSp macro="">
      <xdr:nvCxnSpPr>
        <xdr:cNvPr id="26037" name="Straight Connector 469">
          <a:extLst>
            <a:ext uri="{FF2B5EF4-FFF2-40B4-BE49-F238E27FC236}">
              <a16:creationId xmlns:a16="http://schemas.microsoft.com/office/drawing/2014/main" id="{00000000-0008-0000-0000-0000B5650000}"/>
            </a:ext>
          </a:extLst>
        </xdr:cNvPr>
        <xdr:cNvCxnSpPr>
          <a:cxnSpLocks noChangeShapeType="1"/>
        </xdr:cNvCxnSpPr>
      </xdr:nvCxnSpPr>
      <xdr:spPr bwMode="auto">
        <a:xfrm rot="5400000">
          <a:off x="3188970" y="4705350"/>
          <a:ext cx="144780" cy="45720"/>
        </a:xfrm>
        <a:prstGeom prst="line">
          <a:avLst/>
        </a:prstGeom>
        <a:noFill/>
        <a:ln w="3175" algn="ctr">
          <a:solidFill>
            <a:srgbClr val="000000"/>
          </a:solidFill>
          <a:round/>
          <a:headEnd/>
          <a:tailEnd/>
        </a:ln>
      </xdr:spPr>
    </xdr:cxnSp>
    <xdr:clientData/>
  </xdr:twoCellAnchor>
  <xdr:twoCellAnchor>
    <xdr:from>
      <xdr:col>3</xdr:col>
      <xdr:colOff>236220</xdr:colOff>
      <xdr:row>24</xdr:row>
      <xdr:rowOff>68580</xdr:rowOff>
    </xdr:from>
    <xdr:to>
      <xdr:col>3</xdr:col>
      <xdr:colOff>281940</xdr:colOff>
      <xdr:row>25</xdr:row>
      <xdr:rowOff>22860</xdr:rowOff>
    </xdr:to>
    <xdr:cxnSp macro="">
      <xdr:nvCxnSpPr>
        <xdr:cNvPr id="26038" name="Straight Connector 471">
          <a:extLst>
            <a:ext uri="{FF2B5EF4-FFF2-40B4-BE49-F238E27FC236}">
              <a16:creationId xmlns:a16="http://schemas.microsoft.com/office/drawing/2014/main" id="{00000000-0008-0000-0000-0000B6650000}"/>
            </a:ext>
          </a:extLst>
        </xdr:cNvPr>
        <xdr:cNvCxnSpPr>
          <a:cxnSpLocks noChangeShapeType="1"/>
        </xdr:cNvCxnSpPr>
      </xdr:nvCxnSpPr>
      <xdr:spPr bwMode="auto">
        <a:xfrm rot="5400000">
          <a:off x="3249930" y="4652010"/>
          <a:ext cx="144780" cy="45720"/>
        </a:xfrm>
        <a:prstGeom prst="line">
          <a:avLst/>
        </a:prstGeom>
        <a:noFill/>
        <a:ln w="3175" algn="ctr">
          <a:solidFill>
            <a:srgbClr val="000000"/>
          </a:solidFill>
          <a:round/>
          <a:headEnd/>
          <a:tailEnd/>
        </a:ln>
      </xdr:spPr>
    </xdr:cxnSp>
    <xdr:clientData/>
  </xdr:twoCellAnchor>
  <xdr:twoCellAnchor>
    <xdr:from>
      <xdr:col>3</xdr:col>
      <xdr:colOff>914400</xdr:colOff>
      <xdr:row>24</xdr:row>
      <xdr:rowOff>121920</xdr:rowOff>
    </xdr:from>
    <xdr:to>
      <xdr:col>3</xdr:col>
      <xdr:colOff>990600</xdr:colOff>
      <xdr:row>24</xdr:row>
      <xdr:rowOff>175260</xdr:rowOff>
    </xdr:to>
    <xdr:cxnSp macro="">
      <xdr:nvCxnSpPr>
        <xdr:cNvPr id="26039" name="Straight Connector 474">
          <a:extLst>
            <a:ext uri="{FF2B5EF4-FFF2-40B4-BE49-F238E27FC236}">
              <a16:creationId xmlns:a16="http://schemas.microsoft.com/office/drawing/2014/main" id="{00000000-0008-0000-0000-0000B7650000}"/>
            </a:ext>
          </a:extLst>
        </xdr:cNvPr>
        <xdr:cNvCxnSpPr>
          <a:cxnSpLocks noChangeShapeType="1"/>
        </xdr:cNvCxnSpPr>
      </xdr:nvCxnSpPr>
      <xdr:spPr bwMode="auto">
        <a:xfrm rot="10800000" flipV="1">
          <a:off x="3977640" y="4655820"/>
          <a:ext cx="76200" cy="53340"/>
        </a:xfrm>
        <a:prstGeom prst="line">
          <a:avLst/>
        </a:prstGeom>
        <a:noFill/>
        <a:ln w="3175" algn="ctr">
          <a:solidFill>
            <a:srgbClr val="000000"/>
          </a:solidFill>
          <a:round/>
          <a:headEnd/>
          <a:tailEnd/>
        </a:ln>
      </xdr:spPr>
    </xdr:cxnSp>
    <xdr:clientData/>
  </xdr:twoCellAnchor>
  <xdr:twoCellAnchor>
    <xdr:from>
      <xdr:col>3</xdr:col>
      <xdr:colOff>952500</xdr:colOff>
      <xdr:row>24</xdr:row>
      <xdr:rowOff>160020</xdr:rowOff>
    </xdr:from>
    <xdr:to>
      <xdr:col>3</xdr:col>
      <xdr:colOff>1028700</xdr:colOff>
      <xdr:row>25</xdr:row>
      <xdr:rowOff>15240</xdr:rowOff>
    </xdr:to>
    <xdr:cxnSp macro="">
      <xdr:nvCxnSpPr>
        <xdr:cNvPr id="26040" name="Straight Connector 476">
          <a:extLst>
            <a:ext uri="{FF2B5EF4-FFF2-40B4-BE49-F238E27FC236}">
              <a16:creationId xmlns:a16="http://schemas.microsoft.com/office/drawing/2014/main" id="{00000000-0008-0000-0000-0000B8650000}"/>
            </a:ext>
          </a:extLst>
        </xdr:cNvPr>
        <xdr:cNvCxnSpPr>
          <a:cxnSpLocks noChangeShapeType="1"/>
        </xdr:cNvCxnSpPr>
      </xdr:nvCxnSpPr>
      <xdr:spPr bwMode="auto">
        <a:xfrm rot="10800000" flipV="1">
          <a:off x="4015740" y="4693920"/>
          <a:ext cx="76200" cy="45720"/>
        </a:xfrm>
        <a:prstGeom prst="line">
          <a:avLst/>
        </a:prstGeom>
        <a:noFill/>
        <a:ln w="3175" algn="ctr">
          <a:solidFill>
            <a:srgbClr val="000000"/>
          </a:solidFill>
          <a:round/>
          <a:headEnd/>
          <a:tailEnd/>
        </a:ln>
      </xdr:spPr>
    </xdr:cxnSp>
    <xdr:clientData/>
  </xdr:twoCellAnchor>
  <xdr:twoCellAnchor>
    <xdr:from>
      <xdr:col>4</xdr:col>
      <xdr:colOff>396240</xdr:colOff>
      <xdr:row>24</xdr:row>
      <xdr:rowOff>152400</xdr:rowOff>
    </xdr:from>
    <xdr:to>
      <xdr:col>4</xdr:col>
      <xdr:colOff>449580</xdr:colOff>
      <xdr:row>25</xdr:row>
      <xdr:rowOff>91440</xdr:rowOff>
    </xdr:to>
    <xdr:cxnSp macro="">
      <xdr:nvCxnSpPr>
        <xdr:cNvPr id="26041" name="Straight Connector 478">
          <a:extLst>
            <a:ext uri="{FF2B5EF4-FFF2-40B4-BE49-F238E27FC236}">
              <a16:creationId xmlns:a16="http://schemas.microsoft.com/office/drawing/2014/main" id="{00000000-0008-0000-0000-0000B9650000}"/>
            </a:ext>
          </a:extLst>
        </xdr:cNvPr>
        <xdr:cNvCxnSpPr>
          <a:cxnSpLocks noChangeShapeType="1"/>
        </xdr:cNvCxnSpPr>
      </xdr:nvCxnSpPr>
      <xdr:spPr bwMode="auto">
        <a:xfrm rot="5400000">
          <a:off x="4625340" y="4724400"/>
          <a:ext cx="129540" cy="53340"/>
        </a:xfrm>
        <a:prstGeom prst="line">
          <a:avLst/>
        </a:prstGeom>
        <a:noFill/>
        <a:ln w="3175" algn="ctr">
          <a:solidFill>
            <a:srgbClr val="000000"/>
          </a:solidFill>
          <a:round/>
          <a:headEnd/>
          <a:tailEnd/>
        </a:ln>
      </xdr:spPr>
    </xdr:cxnSp>
    <xdr:clientData/>
  </xdr:twoCellAnchor>
  <xdr:twoCellAnchor>
    <xdr:from>
      <xdr:col>4</xdr:col>
      <xdr:colOff>457200</xdr:colOff>
      <xdr:row>24</xdr:row>
      <xdr:rowOff>114300</xdr:rowOff>
    </xdr:from>
    <xdr:to>
      <xdr:col>4</xdr:col>
      <xdr:colOff>510540</xdr:colOff>
      <xdr:row>25</xdr:row>
      <xdr:rowOff>60960</xdr:rowOff>
    </xdr:to>
    <xdr:cxnSp macro="">
      <xdr:nvCxnSpPr>
        <xdr:cNvPr id="26042" name="Straight Connector 480">
          <a:extLst>
            <a:ext uri="{FF2B5EF4-FFF2-40B4-BE49-F238E27FC236}">
              <a16:creationId xmlns:a16="http://schemas.microsoft.com/office/drawing/2014/main" id="{00000000-0008-0000-0000-0000BA650000}"/>
            </a:ext>
          </a:extLst>
        </xdr:cNvPr>
        <xdr:cNvCxnSpPr>
          <a:cxnSpLocks noChangeShapeType="1"/>
        </xdr:cNvCxnSpPr>
      </xdr:nvCxnSpPr>
      <xdr:spPr bwMode="auto">
        <a:xfrm rot="5400000">
          <a:off x="4682490" y="4690110"/>
          <a:ext cx="137160" cy="53340"/>
        </a:xfrm>
        <a:prstGeom prst="line">
          <a:avLst/>
        </a:prstGeom>
        <a:noFill/>
        <a:ln w="3175" algn="ctr">
          <a:solidFill>
            <a:srgbClr val="000000"/>
          </a:solidFill>
          <a:round/>
          <a:headEnd/>
          <a:tailEnd/>
        </a:ln>
      </xdr:spPr>
    </xdr:cxnSp>
    <xdr:clientData/>
  </xdr:twoCellAnchor>
  <xdr:twoCellAnchor>
    <xdr:from>
      <xdr:col>2</xdr:col>
      <xdr:colOff>1866900</xdr:colOff>
      <xdr:row>26</xdr:row>
      <xdr:rowOff>45720</xdr:rowOff>
    </xdr:from>
    <xdr:to>
      <xdr:col>2</xdr:col>
      <xdr:colOff>1866900</xdr:colOff>
      <xdr:row>27</xdr:row>
      <xdr:rowOff>304800</xdr:rowOff>
    </xdr:to>
    <xdr:cxnSp macro="">
      <xdr:nvCxnSpPr>
        <xdr:cNvPr id="26043" name="Straight Connector 482">
          <a:extLst>
            <a:ext uri="{FF2B5EF4-FFF2-40B4-BE49-F238E27FC236}">
              <a16:creationId xmlns:a16="http://schemas.microsoft.com/office/drawing/2014/main" id="{00000000-0008-0000-0000-0000BB650000}"/>
            </a:ext>
          </a:extLst>
        </xdr:cNvPr>
        <xdr:cNvCxnSpPr>
          <a:cxnSpLocks noChangeShapeType="1"/>
        </xdr:cNvCxnSpPr>
      </xdr:nvCxnSpPr>
      <xdr:spPr bwMode="auto">
        <a:xfrm rot="5400000">
          <a:off x="2708910" y="5185410"/>
          <a:ext cx="449580" cy="0"/>
        </a:xfrm>
        <a:prstGeom prst="line">
          <a:avLst/>
        </a:prstGeom>
        <a:noFill/>
        <a:ln w="6350" algn="ctr">
          <a:solidFill>
            <a:srgbClr val="000000"/>
          </a:solidFill>
          <a:round/>
          <a:headEnd/>
          <a:tailEnd/>
        </a:ln>
      </xdr:spPr>
    </xdr:cxnSp>
    <xdr:clientData/>
  </xdr:twoCellAnchor>
  <xdr:twoCellAnchor>
    <xdr:from>
      <xdr:col>4</xdr:col>
      <xdr:colOff>152400</xdr:colOff>
      <xdr:row>26</xdr:row>
      <xdr:rowOff>38100</xdr:rowOff>
    </xdr:from>
    <xdr:to>
      <xdr:col>4</xdr:col>
      <xdr:colOff>152400</xdr:colOff>
      <xdr:row>27</xdr:row>
      <xdr:rowOff>327660</xdr:rowOff>
    </xdr:to>
    <xdr:cxnSp macro="">
      <xdr:nvCxnSpPr>
        <xdr:cNvPr id="26044" name="Straight Connector 484">
          <a:extLst>
            <a:ext uri="{FF2B5EF4-FFF2-40B4-BE49-F238E27FC236}">
              <a16:creationId xmlns:a16="http://schemas.microsoft.com/office/drawing/2014/main" id="{00000000-0008-0000-0000-0000BC650000}"/>
            </a:ext>
          </a:extLst>
        </xdr:cNvPr>
        <xdr:cNvCxnSpPr>
          <a:cxnSpLocks noChangeShapeType="1"/>
        </xdr:cNvCxnSpPr>
      </xdr:nvCxnSpPr>
      <xdr:spPr bwMode="auto">
        <a:xfrm rot="5400000">
          <a:off x="4179570" y="5193030"/>
          <a:ext cx="480060" cy="0"/>
        </a:xfrm>
        <a:prstGeom prst="line">
          <a:avLst/>
        </a:prstGeom>
        <a:noFill/>
        <a:ln w="6350" algn="ctr">
          <a:solidFill>
            <a:srgbClr val="000000"/>
          </a:solidFill>
          <a:round/>
          <a:headEnd/>
          <a:tailEnd/>
        </a:ln>
      </xdr:spPr>
    </xdr:cxnSp>
    <xdr:clientData/>
  </xdr:twoCellAnchor>
  <xdr:twoCellAnchor>
    <xdr:from>
      <xdr:col>3</xdr:col>
      <xdr:colOff>594360</xdr:colOff>
      <xdr:row>21</xdr:row>
      <xdr:rowOff>137160</xdr:rowOff>
    </xdr:from>
    <xdr:to>
      <xdr:col>4</xdr:col>
      <xdr:colOff>236220</xdr:colOff>
      <xdr:row>23</xdr:row>
      <xdr:rowOff>91440</xdr:rowOff>
    </xdr:to>
    <xdr:cxnSp macro="">
      <xdr:nvCxnSpPr>
        <xdr:cNvPr id="26045" name="Straight Connector 493">
          <a:extLst>
            <a:ext uri="{FF2B5EF4-FFF2-40B4-BE49-F238E27FC236}">
              <a16:creationId xmlns:a16="http://schemas.microsoft.com/office/drawing/2014/main" id="{00000000-0008-0000-0000-0000BD650000}"/>
            </a:ext>
          </a:extLst>
        </xdr:cNvPr>
        <xdr:cNvCxnSpPr>
          <a:cxnSpLocks noChangeShapeType="1"/>
        </xdr:cNvCxnSpPr>
      </xdr:nvCxnSpPr>
      <xdr:spPr bwMode="auto">
        <a:xfrm flipV="1">
          <a:off x="3657600" y="4099560"/>
          <a:ext cx="845820" cy="335280"/>
        </a:xfrm>
        <a:prstGeom prst="line">
          <a:avLst/>
        </a:prstGeom>
        <a:noFill/>
        <a:ln w="6350" algn="ctr">
          <a:solidFill>
            <a:srgbClr val="000000"/>
          </a:solidFill>
          <a:round/>
          <a:headEnd/>
          <a:tailEnd/>
        </a:ln>
      </xdr:spPr>
    </xdr:cxnSp>
    <xdr:clientData/>
  </xdr:twoCellAnchor>
  <xdr:twoCellAnchor>
    <xdr:from>
      <xdr:col>3</xdr:col>
      <xdr:colOff>586740</xdr:colOff>
      <xdr:row>22</xdr:row>
      <xdr:rowOff>60960</xdr:rowOff>
    </xdr:from>
    <xdr:to>
      <xdr:col>4</xdr:col>
      <xdr:colOff>228600</xdr:colOff>
      <xdr:row>24</xdr:row>
      <xdr:rowOff>22860</xdr:rowOff>
    </xdr:to>
    <xdr:cxnSp macro="">
      <xdr:nvCxnSpPr>
        <xdr:cNvPr id="26046" name="Straight Connector 494">
          <a:extLst>
            <a:ext uri="{FF2B5EF4-FFF2-40B4-BE49-F238E27FC236}">
              <a16:creationId xmlns:a16="http://schemas.microsoft.com/office/drawing/2014/main" id="{00000000-0008-0000-0000-0000BE650000}"/>
            </a:ext>
          </a:extLst>
        </xdr:cNvPr>
        <xdr:cNvCxnSpPr>
          <a:cxnSpLocks noChangeShapeType="1"/>
        </xdr:cNvCxnSpPr>
      </xdr:nvCxnSpPr>
      <xdr:spPr bwMode="auto">
        <a:xfrm flipV="1">
          <a:off x="3649980" y="4213860"/>
          <a:ext cx="845820" cy="342900"/>
        </a:xfrm>
        <a:prstGeom prst="line">
          <a:avLst/>
        </a:prstGeom>
        <a:noFill/>
        <a:ln w="6350" algn="ctr">
          <a:solidFill>
            <a:srgbClr val="000000"/>
          </a:solidFill>
          <a:round/>
          <a:headEnd/>
          <a:tailEnd/>
        </a:ln>
      </xdr:spPr>
    </xdr:cxnSp>
    <xdr:clientData/>
  </xdr:twoCellAnchor>
  <xdr:twoCellAnchor>
    <xdr:from>
      <xdr:col>3</xdr:col>
      <xdr:colOff>1097280</xdr:colOff>
      <xdr:row>23</xdr:row>
      <xdr:rowOff>7620</xdr:rowOff>
    </xdr:from>
    <xdr:to>
      <xdr:col>3</xdr:col>
      <xdr:colOff>1097280</xdr:colOff>
      <xdr:row>24</xdr:row>
      <xdr:rowOff>38100</xdr:rowOff>
    </xdr:to>
    <xdr:cxnSp macro="">
      <xdr:nvCxnSpPr>
        <xdr:cNvPr id="26047" name="Straight Arrow Connector 496">
          <a:extLst>
            <a:ext uri="{FF2B5EF4-FFF2-40B4-BE49-F238E27FC236}">
              <a16:creationId xmlns:a16="http://schemas.microsoft.com/office/drawing/2014/main" id="{00000000-0008-0000-0000-0000BF650000}"/>
            </a:ext>
          </a:extLst>
        </xdr:cNvPr>
        <xdr:cNvCxnSpPr>
          <a:cxnSpLocks noChangeShapeType="1"/>
        </xdr:cNvCxnSpPr>
      </xdr:nvCxnSpPr>
      <xdr:spPr bwMode="auto">
        <a:xfrm rot="5400000" flipH="1" flipV="1">
          <a:off x="4050030" y="4461510"/>
          <a:ext cx="220980" cy="0"/>
        </a:xfrm>
        <a:prstGeom prst="straightConnector1">
          <a:avLst/>
        </a:prstGeom>
        <a:noFill/>
        <a:ln w="3175" algn="ctr">
          <a:solidFill>
            <a:srgbClr val="000000"/>
          </a:solidFill>
          <a:round/>
          <a:headEnd/>
          <a:tailEnd type="stealth" w="sm" len="sm"/>
        </a:ln>
      </xdr:spPr>
    </xdr:cxnSp>
    <xdr:clientData/>
  </xdr:twoCellAnchor>
  <xdr:twoCellAnchor>
    <xdr:from>
      <xdr:col>3</xdr:col>
      <xdr:colOff>1097280</xdr:colOff>
      <xdr:row>21</xdr:row>
      <xdr:rowOff>22860</xdr:rowOff>
    </xdr:from>
    <xdr:to>
      <xdr:col>3</xdr:col>
      <xdr:colOff>1097280</xdr:colOff>
      <xdr:row>22</xdr:row>
      <xdr:rowOff>83820</xdr:rowOff>
    </xdr:to>
    <xdr:cxnSp macro="">
      <xdr:nvCxnSpPr>
        <xdr:cNvPr id="26048" name="Straight Arrow Connector 498">
          <a:extLst>
            <a:ext uri="{FF2B5EF4-FFF2-40B4-BE49-F238E27FC236}">
              <a16:creationId xmlns:a16="http://schemas.microsoft.com/office/drawing/2014/main" id="{00000000-0008-0000-0000-0000C0650000}"/>
            </a:ext>
          </a:extLst>
        </xdr:cNvPr>
        <xdr:cNvCxnSpPr>
          <a:cxnSpLocks noChangeShapeType="1"/>
        </xdr:cNvCxnSpPr>
      </xdr:nvCxnSpPr>
      <xdr:spPr bwMode="auto">
        <a:xfrm rot="5400000">
          <a:off x="4034790" y="4110990"/>
          <a:ext cx="251460" cy="0"/>
        </a:xfrm>
        <a:prstGeom prst="straightConnector1">
          <a:avLst/>
        </a:prstGeom>
        <a:noFill/>
        <a:ln w="3175" algn="ctr">
          <a:solidFill>
            <a:srgbClr val="000000"/>
          </a:solidFill>
          <a:round/>
          <a:headEnd/>
          <a:tailEnd type="stealth" w="sm" len="sm"/>
        </a:ln>
      </xdr:spPr>
    </xdr:cxnSp>
    <xdr:clientData/>
  </xdr:twoCellAnchor>
  <xdr:twoCellAnchor>
    <xdr:from>
      <xdr:col>2</xdr:col>
      <xdr:colOff>1264920</xdr:colOff>
      <xdr:row>27</xdr:row>
      <xdr:rowOff>285750</xdr:rowOff>
    </xdr:from>
    <xdr:to>
      <xdr:col>5</xdr:col>
      <xdr:colOff>15240</xdr:colOff>
      <xdr:row>27</xdr:row>
      <xdr:rowOff>701040</xdr:rowOff>
    </xdr:to>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2331720" y="5391150"/>
          <a:ext cx="2781300" cy="415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none"/>
            <a:t>                              </a:t>
          </a:r>
          <a:r>
            <a:rPr lang="en-US" sz="1100" b="1" u="sng"/>
            <a:t>DETAIL B</a:t>
          </a:r>
          <a:endParaRPr lang="en-US" sz="1100" b="1" u="sng" baseline="0"/>
        </a:p>
        <a:p>
          <a:r>
            <a:rPr lang="en-US" sz="800" u="none" baseline="0"/>
            <a:t>            (METAL CORRUGATEION &amp; GAGE INFORMATION)</a:t>
          </a:r>
          <a:endParaRPr lang="en-US" sz="800" u="none"/>
        </a:p>
      </xdr:txBody>
    </xdr:sp>
    <xdr:clientData/>
  </xdr:twoCellAnchor>
  <xdr:twoCellAnchor>
    <xdr:from>
      <xdr:col>3</xdr:col>
      <xdr:colOff>411480</xdr:colOff>
      <xdr:row>27</xdr:row>
      <xdr:rowOff>36195</xdr:rowOff>
    </xdr:from>
    <xdr:to>
      <xdr:col>3</xdr:col>
      <xdr:colOff>632460</xdr:colOff>
      <xdr:row>27</xdr:row>
      <xdr:rowOff>226695</xdr:rowOff>
    </xdr:to>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2240280" y="4730115"/>
          <a:ext cx="198120" cy="1295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C</a:t>
          </a:r>
        </a:p>
      </xdr:txBody>
    </xdr:sp>
    <xdr:clientData/>
  </xdr:twoCellAnchor>
  <xdr:twoCellAnchor>
    <xdr:from>
      <xdr:col>2</xdr:col>
      <xdr:colOff>1859280</xdr:colOff>
      <xdr:row>27</xdr:row>
      <xdr:rowOff>243840</xdr:rowOff>
    </xdr:from>
    <xdr:to>
      <xdr:col>4</xdr:col>
      <xdr:colOff>152400</xdr:colOff>
      <xdr:row>27</xdr:row>
      <xdr:rowOff>243840</xdr:rowOff>
    </xdr:to>
    <xdr:cxnSp macro="">
      <xdr:nvCxnSpPr>
        <xdr:cNvPr id="26051" name="Straight Arrow Connector 486">
          <a:extLst>
            <a:ext uri="{FF2B5EF4-FFF2-40B4-BE49-F238E27FC236}">
              <a16:creationId xmlns:a16="http://schemas.microsoft.com/office/drawing/2014/main" id="{00000000-0008-0000-0000-0000C3650000}"/>
            </a:ext>
          </a:extLst>
        </xdr:cNvPr>
        <xdr:cNvCxnSpPr>
          <a:cxnSpLocks noChangeShapeType="1"/>
        </xdr:cNvCxnSpPr>
      </xdr:nvCxnSpPr>
      <xdr:spPr bwMode="auto">
        <a:xfrm>
          <a:off x="2926080" y="5349240"/>
          <a:ext cx="149352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3</xdr:col>
      <xdr:colOff>553720</xdr:colOff>
      <xdr:row>24</xdr:row>
      <xdr:rowOff>117475</xdr:rowOff>
    </xdr:from>
    <xdr:to>
      <xdr:col>3</xdr:col>
      <xdr:colOff>774700</xdr:colOff>
      <xdr:row>25</xdr:row>
      <xdr:rowOff>117475</xdr:rowOff>
    </xdr:to>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2382520" y="4308475"/>
          <a:ext cx="5334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d</a:t>
          </a:r>
        </a:p>
      </xdr:txBody>
    </xdr:sp>
    <xdr:clientData/>
  </xdr:twoCellAnchor>
  <xdr:twoCellAnchor>
    <xdr:from>
      <xdr:col>2</xdr:col>
      <xdr:colOff>1988820</xdr:colOff>
      <xdr:row>26</xdr:row>
      <xdr:rowOff>0</xdr:rowOff>
    </xdr:from>
    <xdr:to>
      <xdr:col>3</xdr:col>
      <xdr:colOff>708660</xdr:colOff>
      <xdr:row>26</xdr:row>
      <xdr:rowOff>0</xdr:rowOff>
    </xdr:to>
    <xdr:cxnSp macro="">
      <xdr:nvCxnSpPr>
        <xdr:cNvPr id="26053" name="Straight Connector 488">
          <a:extLst>
            <a:ext uri="{FF2B5EF4-FFF2-40B4-BE49-F238E27FC236}">
              <a16:creationId xmlns:a16="http://schemas.microsoft.com/office/drawing/2014/main" id="{00000000-0008-0000-0000-0000C5650000}"/>
            </a:ext>
          </a:extLst>
        </xdr:cNvPr>
        <xdr:cNvCxnSpPr>
          <a:cxnSpLocks noChangeShapeType="1"/>
        </xdr:cNvCxnSpPr>
      </xdr:nvCxnSpPr>
      <xdr:spPr bwMode="auto">
        <a:xfrm>
          <a:off x="3055620" y="4914900"/>
          <a:ext cx="716280" cy="0"/>
        </a:xfrm>
        <a:prstGeom prst="line">
          <a:avLst/>
        </a:prstGeom>
        <a:noFill/>
        <a:ln w="6350" algn="ctr">
          <a:solidFill>
            <a:srgbClr val="000000"/>
          </a:solidFill>
          <a:round/>
          <a:headEnd/>
          <a:tailEnd/>
        </a:ln>
      </xdr:spPr>
    </xdr:cxnSp>
    <xdr:clientData/>
  </xdr:twoCellAnchor>
  <xdr:twoCellAnchor>
    <xdr:from>
      <xdr:col>3</xdr:col>
      <xdr:colOff>586740</xdr:colOff>
      <xdr:row>24</xdr:row>
      <xdr:rowOff>45720</xdr:rowOff>
    </xdr:from>
    <xdr:to>
      <xdr:col>3</xdr:col>
      <xdr:colOff>594360</xdr:colOff>
      <xdr:row>25</xdr:row>
      <xdr:rowOff>190500</xdr:rowOff>
    </xdr:to>
    <xdr:cxnSp macro="">
      <xdr:nvCxnSpPr>
        <xdr:cNvPr id="26054" name="Straight Arrow Connector 490">
          <a:extLst>
            <a:ext uri="{FF2B5EF4-FFF2-40B4-BE49-F238E27FC236}">
              <a16:creationId xmlns:a16="http://schemas.microsoft.com/office/drawing/2014/main" id="{00000000-0008-0000-0000-0000C6650000}"/>
            </a:ext>
          </a:extLst>
        </xdr:cNvPr>
        <xdr:cNvCxnSpPr>
          <a:cxnSpLocks noChangeShapeType="1"/>
        </xdr:cNvCxnSpPr>
      </xdr:nvCxnSpPr>
      <xdr:spPr bwMode="auto">
        <a:xfrm>
          <a:off x="3649980" y="4579620"/>
          <a:ext cx="7620" cy="335280"/>
        </a:xfrm>
        <a:prstGeom prst="straightConnector1">
          <a:avLst/>
        </a:prstGeom>
        <a:noFill/>
        <a:ln w="3175" algn="ctr">
          <a:solidFill>
            <a:srgbClr val="000000"/>
          </a:solidFill>
          <a:round/>
          <a:headEnd type="stealth" w="sm" len="sm"/>
          <a:tailEnd type="stealth" w="sm" len="sm"/>
        </a:ln>
      </xdr:spPr>
    </xdr:cxnSp>
    <xdr:clientData/>
  </xdr:twoCellAnchor>
  <xdr:twoCellAnchor>
    <xdr:from>
      <xdr:col>3</xdr:col>
      <xdr:colOff>515621</xdr:colOff>
      <xdr:row>20</xdr:row>
      <xdr:rowOff>95885</xdr:rowOff>
    </xdr:from>
    <xdr:to>
      <xdr:col>3</xdr:col>
      <xdr:colOff>828040</xdr:colOff>
      <xdr:row>21</xdr:row>
      <xdr:rowOff>132080</xdr:rowOff>
    </xdr:to>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3578861" y="3867785"/>
          <a:ext cx="312419" cy="22669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t</a:t>
          </a:r>
        </a:p>
      </xdr:txBody>
    </xdr:sp>
    <xdr:clientData/>
  </xdr:twoCellAnchor>
  <xdr:twoCellAnchor>
    <xdr:from>
      <xdr:col>3</xdr:col>
      <xdr:colOff>701040</xdr:colOff>
      <xdr:row>21</xdr:row>
      <xdr:rowOff>22860</xdr:rowOff>
    </xdr:from>
    <xdr:to>
      <xdr:col>3</xdr:col>
      <xdr:colOff>1097280</xdr:colOff>
      <xdr:row>21</xdr:row>
      <xdr:rowOff>22860</xdr:rowOff>
    </xdr:to>
    <xdr:cxnSp macro="">
      <xdr:nvCxnSpPr>
        <xdr:cNvPr id="26056" name="Straight Connector 502">
          <a:extLst>
            <a:ext uri="{FF2B5EF4-FFF2-40B4-BE49-F238E27FC236}">
              <a16:creationId xmlns:a16="http://schemas.microsoft.com/office/drawing/2014/main" id="{00000000-0008-0000-0000-0000C8650000}"/>
            </a:ext>
          </a:extLst>
        </xdr:cNvPr>
        <xdr:cNvCxnSpPr>
          <a:cxnSpLocks noChangeShapeType="1"/>
        </xdr:cNvCxnSpPr>
      </xdr:nvCxnSpPr>
      <xdr:spPr bwMode="auto">
        <a:xfrm rot="10800000">
          <a:off x="3764280" y="3985260"/>
          <a:ext cx="396240" cy="0"/>
        </a:xfrm>
        <a:prstGeom prst="line">
          <a:avLst/>
        </a:prstGeom>
        <a:noFill/>
        <a:ln w="6350" algn="ctr">
          <a:solidFill>
            <a:srgbClr val="000000"/>
          </a:solidFill>
          <a:round/>
          <a:headEnd/>
          <a:tailEnd/>
        </a:ln>
      </xdr:spPr>
    </xdr:cxnSp>
    <xdr:clientData/>
  </xdr:twoCellAnchor>
  <xdr:twoCellAnchor>
    <xdr:from>
      <xdr:col>5</xdr:col>
      <xdr:colOff>655320</xdr:colOff>
      <xdr:row>24</xdr:row>
      <xdr:rowOff>22860</xdr:rowOff>
    </xdr:from>
    <xdr:to>
      <xdr:col>5</xdr:col>
      <xdr:colOff>754380</xdr:colOff>
      <xdr:row>24</xdr:row>
      <xdr:rowOff>114300</xdr:rowOff>
    </xdr:to>
    <xdr:sp macro="" textlink="">
      <xdr:nvSpPr>
        <xdr:cNvPr id="26058" name="Rectangle 510">
          <a:extLst>
            <a:ext uri="{FF2B5EF4-FFF2-40B4-BE49-F238E27FC236}">
              <a16:creationId xmlns:a16="http://schemas.microsoft.com/office/drawing/2014/main" id="{00000000-0008-0000-0000-0000CA650000}"/>
            </a:ext>
          </a:extLst>
        </xdr:cNvPr>
        <xdr:cNvSpPr>
          <a:spLocks noChangeArrowheads="1"/>
        </xdr:cNvSpPr>
      </xdr:nvSpPr>
      <xdr:spPr bwMode="auto">
        <a:xfrm>
          <a:off x="5753100" y="4556760"/>
          <a:ext cx="99060" cy="91440"/>
        </a:xfrm>
        <a:prstGeom prst="rect">
          <a:avLst/>
        </a:prstGeom>
        <a:solidFill>
          <a:srgbClr val="FFFFFF"/>
        </a:solidFill>
        <a:ln w="9525" algn="ctr">
          <a:solidFill>
            <a:srgbClr val="000000"/>
          </a:solidFill>
          <a:round/>
          <a:headEnd/>
          <a:tailEnd/>
        </a:ln>
      </xdr:spPr>
    </xdr:sp>
    <xdr:clientData/>
  </xdr:twoCellAnchor>
  <xdr:twoCellAnchor>
    <xdr:from>
      <xdr:col>8</xdr:col>
      <xdr:colOff>83820</xdr:colOff>
      <xdr:row>24</xdr:row>
      <xdr:rowOff>22860</xdr:rowOff>
    </xdr:from>
    <xdr:to>
      <xdr:col>8</xdr:col>
      <xdr:colOff>190500</xdr:colOff>
      <xdr:row>24</xdr:row>
      <xdr:rowOff>114300</xdr:rowOff>
    </xdr:to>
    <xdr:sp macro="" textlink="">
      <xdr:nvSpPr>
        <xdr:cNvPr id="26059" name="Rectangle 511">
          <a:extLst>
            <a:ext uri="{FF2B5EF4-FFF2-40B4-BE49-F238E27FC236}">
              <a16:creationId xmlns:a16="http://schemas.microsoft.com/office/drawing/2014/main" id="{00000000-0008-0000-0000-0000CB650000}"/>
            </a:ext>
          </a:extLst>
        </xdr:cNvPr>
        <xdr:cNvSpPr>
          <a:spLocks noChangeArrowheads="1"/>
        </xdr:cNvSpPr>
      </xdr:nvSpPr>
      <xdr:spPr bwMode="auto">
        <a:xfrm>
          <a:off x="6896100" y="4556760"/>
          <a:ext cx="106680" cy="91440"/>
        </a:xfrm>
        <a:prstGeom prst="rect">
          <a:avLst/>
        </a:prstGeom>
        <a:solidFill>
          <a:srgbClr val="FFFFFF"/>
        </a:solidFill>
        <a:ln w="9525" algn="ctr">
          <a:solidFill>
            <a:srgbClr val="000000"/>
          </a:solidFill>
          <a:round/>
          <a:headEnd/>
          <a:tailEnd/>
        </a:ln>
      </xdr:spPr>
    </xdr:sp>
    <xdr:clientData/>
  </xdr:twoCellAnchor>
  <xdr:twoCellAnchor>
    <xdr:from>
      <xdr:col>5</xdr:col>
      <xdr:colOff>384983</xdr:colOff>
      <xdr:row>20</xdr:row>
      <xdr:rowOff>33771</xdr:rowOff>
    </xdr:from>
    <xdr:to>
      <xdr:col>6</xdr:col>
      <xdr:colOff>514523</xdr:colOff>
      <xdr:row>22</xdr:row>
      <xdr:rowOff>46396</xdr:rowOff>
    </xdr:to>
    <xdr:sp macro="" textlink="">
      <xdr:nvSpPr>
        <xdr:cNvPr id="26060" name="Oval 559">
          <a:extLst>
            <a:ext uri="{FF2B5EF4-FFF2-40B4-BE49-F238E27FC236}">
              <a16:creationId xmlns:a16="http://schemas.microsoft.com/office/drawing/2014/main" id="{00000000-0008-0000-0000-0000CC650000}"/>
            </a:ext>
          </a:extLst>
        </xdr:cNvPr>
        <xdr:cNvSpPr>
          <a:spLocks noChangeArrowheads="1"/>
        </xdr:cNvSpPr>
      </xdr:nvSpPr>
      <xdr:spPr bwMode="auto">
        <a:xfrm rot="-1263441">
          <a:off x="5482763" y="3805671"/>
          <a:ext cx="906780" cy="393625"/>
        </a:xfrm>
        <a:prstGeom prst="ellipse">
          <a:avLst/>
        </a:prstGeom>
        <a:noFill/>
        <a:ln w="3175" algn="ctr">
          <a:solidFill>
            <a:srgbClr val="000000"/>
          </a:solidFill>
          <a:round/>
          <a:headEnd/>
          <a:tailEnd/>
        </a:ln>
      </xdr:spPr>
    </xdr:sp>
    <xdr:clientData/>
  </xdr:twoCellAnchor>
  <xdr:twoCellAnchor>
    <xdr:from>
      <xdr:col>5</xdr:col>
      <xdr:colOff>160020</xdr:colOff>
      <xdr:row>21</xdr:row>
      <xdr:rowOff>30480</xdr:rowOff>
    </xdr:from>
    <xdr:to>
      <xdr:col>5</xdr:col>
      <xdr:colOff>624840</xdr:colOff>
      <xdr:row>22</xdr:row>
      <xdr:rowOff>60960</xdr:rowOff>
    </xdr:to>
    <xdr:cxnSp macro="">
      <xdr:nvCxnSpPr>
        <xdr:cNvPr id="26061" name="Straight Connector 546">
          <a:extLst>
            <a:ext uri="{FF2B5EF4-FFF2-40B4-BE49-F238E27FC236}">
              <a16:creationId xmlns:a16="http://schemas.microsoft.com/office/drawing/2014/main" id="{00000000-0008-0000-0000-0000CD650000}"/>
            </a:ext>
          </a:extLst>
        </xdr:cNvPr>
        <xdr:cNvCxnSpPr>
          <a:cxnSpLocks noChangeShapeType="1"/>
        </xdr:cNvCxnSpPr>
      </xdr:nvCxnSpPr>
      <xdr:spPr bwMode="auto">
        <a:xfrm rot="10800000" flipV="1">
          <a:off x="5257800" y="3992880"/>
          <a:ext cx="464820" cy="220980"/>
        </a:xfrm>
        <a:prstGeom prst="line">
          <a:avLst/>
        </a:prstGeom>
        <a:noFill/>
        <a:ln w="3175" algn="ctr">
          <a:solidFill>
            <a:srgbClr val="000000"/>
          </a:solidFill>
          <a:round/>
          <a:headEnd/>
          <a:tailEnd/>
        </a:ln>
      </xdr:spPr>
    </xdr:cxnSp>
    <xdr:clientData/>
  </xdr:twoCellAnchor>
  <xdr:twoCellAnchor>
    <xdr:from>
      <xdr:col>5</xdr:col>
      <xdr:colOff>579120</xdr:colOff>
      <xdr:row>20</xdr:row>
      <xdr:rowOff>91440</xdr:rowOff>
    </xdr:from>
    <xdr:to>
      <xdr:col>8</xdr:col>
      <xdr:colOff>274320</xdr:colOff>
      <xdr:row>24</xdr:row>
      <xdr:rowOff>30480</xdr:rowOff>
    </xdr:to>
    <xdr:sp macro="" textlink="">
      <xdr:nvSpPr>
        <xdr:cNvPr id="26062" name="Freeform 544">
          <a:extLst>
            <a:ext uri="{FF2B5EF4-FFF2-40B4-BE49-F238E27FC236}">
              <a16:creationId xmlns:a16="http://schemas.microsoft.com/office/drawing/2014/main" id="{00000000-0008-0000-0000-0000CE650000}"/>
            </a:ext>
          </a:extLst>
        </xdr:cNvPr>
        <xdr:cNvSpPr>
          <a:spLocks/>
        </xdr:cNvSpPr>
      </xdr:nvSpPr>
      <xdr:spPr bwMode="auto">
        <a:xfrm>
          <a:off x="5676900" y="3863340"/>
          <a:ext cx="1409700" cy="701040"/>
        </a:xfrm>
        <a:custGeom>
          <a:avLst/>
          <a:gdLst>
            <a:gd name="T0" fmla="*/ 132378 w 1410208"/>
            <a:gd name="T1" fmla="*/ 583297 h 704596"/>
            <a:gd name="T2" fmla="*/ 1097 w 1410208"/>
            <a:gd name="T3" fmla="*/ 277981 h 704596"/>
            <a:gd name="T4" fmla="*/ 125815 w 1410208"/>
            <a:gd name="T5" fmla="*/ 83687 h 704596"/>
            <a:gd name="T6" fmla="*/ 733002 w 1410208"/>
            <a:gd name="T7" fmla="*/ 421 h 704596"/>
            <a:gd name="T8" fmla="*/ 1379577 w 1410208"/>
            <a:gd name="T9" fmla="*/ 86212 h 704596"/>
            <a:gd name="T10" fmla="*/ 1517423 w 1410208"/>
            <a:gd name="T11" fmla="*/ 275458 h 704596"/>
            <a:gd name="T12" fmla="*/ 1373012 w 1410208"/>
            <a:gd name="T13" fmla="*/ 580773 h 704596"/>
            <a:gd name="T14" fmla="*/ 1373012 w 1410208"/>
            <a:gd name="T15" fmla="*/ 580773 h 704596"/>
            <a:gd name="T16" fmla="*/ 0 60000 65536"/>
            <a:gd name="T17" fmla="*/ 0 60000 65536"/>
            <a:gd name="T18" fmla="*/ 0 60000 65536"/>
            <a:gd name="T19" fmla="*/ 0 60000 65536"/>
            <a:gd name="T20" fmla="*/ 0 60000 65536"/>
            <a:gd name="T21" fmla="*/ 0 60000 65536"/>
            <a:gd name="T22" fmla="*/ 0 60000 65536"/>
            <a:gd name="T23" fmla="*/ 0 60000 65536"/>
            <a:gd name="T24" fmla="*/ 0 w 1410208"/>
            <a:gd name="T25" fmla="*/ 0 h 704596"/>
            <a:gd name="T26" fmla="*/ 1410208 w 1410208"/>
            <a:gd name="T27" fmla="*/ 704596 h 70459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410208" h="704596">
              <a:moveTo>
                <a:pt x="122936" y="704596"/>
              </a:moveTo>
              <a:cubicBezTo>
                <a:pt x="62484" y="570484"/>
                <a:pt x="2032" y="436372"/>
                <a:pt x="1016" y="335788"/>
              </a:cubicBezTo>
              <a:cubicBezTo>
                <a:pt x="0" y="235204"/>
                <a:pt x="3556" y="156972"/>
                <a:pt x="116840" y="101092"/>
              </a:cubicBezTo>
              <a:cubicBezTo>
                <a:pt x="230124" y="45212"/>
                <a:pt x="486664" y="0"/>
                <a:pt x="680720" y="508"/>
              </a:cubicBezTo>
              <a:cubicBezTo>
                <a:pt x="874776" y="1016"/>
                <a:pt x="1159764" y="48768"/>
                <a:pt x="1281176" y="104140"/>
              </a:cubicBezTo>
              <a:cubicBezTo>
                <a:pt x="1402588" y="159512"/>
                <a:pt x="1410208" y="233172"/>
                <a:pt x="1409192" y="332740"/>
              </a:cubicBezTo>
              <a:cubicBezTo>
                <a:pt x="1408176" y="432308"/>
                <a:pt x="1275080" y="701548"/>
                <a:pt x="1275080" y="701548"/>
              </a:cubicBezTo>
            </a:path>
          </a:pathLst>
        </a:custGeom>
        <a:noFill/>
        <a:ln w="9525" cap="flat" cmpd="sng" algn="ctr">
          <a:solidFill>
            <a:srgbClr val="000000"/>
          </a:solidFill>
          <a:prstDash val="solid"/>
          <a:round/>
          <a:headEnd type="none" w="med" len="med"/>
          <a:tailEnd type="none" w="med" len="med"/>
        </a:ln>
      </xdr:spPr>
    </xdr:sp>
    <xdr:clientData/>
  </xdr:twoCellAnchor>
  <xdr:twoCellAnchor>
    <xdr:from>
      <xdr:col>5</xdr:col>
      <xdr:colOff>190500</xdr:colOff>
      <xdr:row>21</xdr:row>
      <xdr:rowOff>160020</xdr:rowOff>
    </xdr:from>
    <xdr:to>
      <xdr:col>5</xdr:col>
      <xdr:colOff>556260</xdr:colOff>
      <xdr:row>22</xdr:row>
      <xdr:rowOff>137160</xdr:rowOff>
    </xdr:to>
    <xdr:cxnSp macro="">
      <xdr:nvCxnSpPr>
        <xdr:cNvPr id="26063" name="Straight Connector 548">
          <a:extLst>
            <a:ext uri="{FF2B5EF4-FFF2-40B4-BE49-F238E27FC236}">
              <a16:creationId xmlns:a16="http://schemas.microsoft.com/office/drawing/2014/main" id="{00000000-0008-0000-0000-0000CF650000}"/>
            </a:ext>
          </a:extLst>
        </xdr:cNvPr>
        <xdr:cNvCxnSpPr>
          <a:cxnSpLocks noChangeShapeType="1"/>
        </xdr:cNvCxnSpPr>
      </xdr:nvCxnSpPr>
      <xdr:spPr bwMode="auto">
        <a:xfrm flipV="1">
          <a:off x="5288280" y="4122420"/>
          <a:ext cx="365760" cy="167640"/>
        </a:xfrm>
        <a:prstGeom prst="line">
          <a:avLst/>
        </a:prstGeom>
        <a:noFill/>
        <a:ln w="3175" algn="ctr">
          <a:solidFill>
            <a:srgbClr val="000000"/>
          </a:solidFill>
          <a:round/>
          <a:headEnd/>
          <a:tailEnd/>
        </a:ln>
      </xdr:spPr>
    </xdr:cxnSp>
    <xdr:clientData/>
  </xdr:twoCellAnchor>
  <xdr:twoCellAnchor>
    <xdr:from>
      <xdr:col>6</xdr:col>
      <xdr:colOff>45720</xdr:colOff>
      <xdr:row>22</xdr:row>
      <xdr:rowOff>68580</xdr:rowOff>
    </xdr:from>
    <xdr:to>
      <xdr:col>7</xdr:col>
      <xdr:colOff>152400</xdr:colOff>
      <xdr:row>22</xdr:row>
      <xdr:rowOff>167640</xdr:rowOff>
    </xdr:to>
    <xdr:sp macro="" textlink="">
      <xdr:nvSpPr>
        <xdr:cNvPr id="26064" name="Rectangle 572">
          <a:extLst>
            <a:ext uri="{FF2B5EF4-FFF2-40B4-BE49-F238E27FC236}">
              <a16:creationId xmlns:a16="http://schemas.microsoft.com/office/drawing/2014/main" id="{00000000-0008-0000-0000-0000D0650000}"/>
            </a:ext>
          </a:extLst>
        </xdr:cNvPr>
        <xdr:cNvSpPr>
          <a:spLocks noChangeArrowheads="1"/>
        </xdr:cNvSpPr>
      </xdr:nvSpPr>
      <xdr:spPr bwMode="auto">
        <a:xfrm rot="-1369869">
          <a:off x="5920740" y="4221480"/>
          <a:ext cx="838200" cy="99060"/>
        </a:xfrm>
        <a:prstGeom prst="rect">
          <a:avLst/>
        </a:prstGeom>
        <a:noFill/>
        <a:ln w="6350" algn="ctr">
          <a:solidFill>
            <a:srgbClr val="000000"/>
          </a:solidFill>
          <a:round/>
          <a:headEnd/>
          <a:tailEnd/>
        </a:ln>
      </xdr:spPr>
    </xdr:sp>
    <xdr:clientData/>
  </xdr:twoCellAnchor>
  <xdr:twoCellAnchor>
    <xdr:from>
      <xdr:col>6</xdr:col>
      <xdr:colOff>441960</xdr:colOff>
      <xdr:row>22</xdr:row>
      <xdr:rowOff>76200</xdr:rowOff>
    </xdr:from>
    <xdr:to>
      <xdr:col>6</xdr:col>
      <xdr:colOff>480060</xdr:colOff>
      <xdr:row>22</xdr:row>
      <xdr:rowOff>167640</xdr:rowOff>
    </xdr:to>
    <xdr:cxnSp macro="">
      <xdr:nvCxnSpPr>
        <xdr:cNvPr id="26065" name="Straight Connector 574">
          <a:extLst>
            <a:ext uri="{FF2B5EF4-FFF2-40B4-BE49-F238E27FC236}">
              <a16:creationId xmlns:a16="http://schemas.microsoft.com/office/drawing/2014/main" id="{00000000-0008-0000-0000-0000D1650000}"/>
            </a:ext>
          </a:extLst>
        </xdr:cNvPr>
        <xdr:cNvCxnSpPr>
          <a:cxnSpLocks noChangeShapeType="1"/>
          <a:stCxn id="26064" idx="0"/>
          <a:endCxn id="26064" idx="2"/>
        </xdr:cNvCxnSpPr>
      </xdr:nvCxnSpPr>
      <xdr:spPr bwMode="auto">
        <a:xfrm rot="16200000" flipH="1">
          <a:off x="6290310" y="4255770"/>
          <a:ext cx="91440" cy="38100"/>
        </a:xfrm>
        <a:prstGeom prst="line">
          <a:avLst/>
        </a:prstGeom>
        <a:noFill/>
        <a:ln w="3175" algn="ctr">
          <a:solidFill>
            <a:srgbClr val="000000"/>
          </a:solidFill>
          <a:round/>
          <a:headEnd/>
          <a:tailEnd/>
        </a:ln>
      </xdr:spPr>
    </xdr:cxnSp>
    <xdr:clientData/>
  </xdr:twoCellAnchor>
  <xdr:twoCellAnchor>
    <xdr:from>
      <xdr:col>6</xdr:col>
      <xdr:colOff>472440</xdr:colOff>
      <xdr:row>22</xdr:row>
      <xdr:rowOff>114300</xdr:rowOff>
    </xdr:from>
    <xdr:to>
      <xdr:col>6</xdr:col>
      <xdr:colOff>518160</xdr:colOff>
      <xdr:row>22</xdr:row>
      <xdr:rowOff>160020</xdr:rowOff>
    </xdr:to>
    <xdr:sp macro="" textlink="">
      <xdr:nvSpPr>
        <xdr:cNvPr id="26066" name="Rectangle 575">
          <a:extLst>
            <a:ext uri="{FF2B5EF4-FFF2-40B4-BE49-F238E27FC236}">
              <a16:creationId xmlns:a16="http://schemas.microsoft.com/office/drawing/2014/main" id="{00000000-0008-0000-0000-0000D2650000}"/>
            </a:ext>
          </a:extLst>
        </xdr:cNvPr>
        <xdr:cNvSpPr>
          <a:spLocks noChangeArrowheads="1"/>
        </xdr:cNvSpPr>
      </xdr:nvSpPr>
      <xdr:spPr bwMode="auto">
        <a:xfrm rot="-1318092">
          <a:off x="6347460" y="4267200"/>
          <a:ext cx="45720" cy="45720"/>
        </a:xfrm>
        <a:prstGeom prst="rect">
          <a:avLst/>
        </a:prstGeom>
        <a:noFill/>
        <a:ln w="3175" algn="ctr">
          <a:solidFill>
            <a:srgbClr val="000000"/>
          </a:solidFill>
          <a:round/>
          <a:headEnd/>
          <a:tailEnd/>
        </a:ln>
      </xdr:spPr>
    </xdr:sp>
    <xdr:clientData/>
  </xdr:twoCellAnchor>
  <xdr:twoCellAnchor>
    <xdr:from>
      <xdr:col>6</xdr:col>
      <xdr:colOff>114300</xdr:colOff>
      <xdr:row>23</xdr:row>
      <xdr:rowOff>167640</xdr:rowOff>
    </xdr:from>
    <xdr:to>
      <xdr:col>6</xdr:col>
      <xdr:colOff>198120</xdr:colOff>
      <xdr:row>24</xdr:row>
      <xdr:rowOff>160020</xdr:rowOff>
    </xdr:to>
    <xdr:cxnSp macro="">
      <xdr:nvCxnSpPr>
        <xdr:cNvPr id="26067" name="Straight Connector 578">
          <a:extLst>
            <a:ext uri="{FF2B5EF4-FFF2-40B4-BE49-F238E27FC236}">
              <a16:creationId xmlns:a16="http://schemas.microsoft.com/office/drawing/2014/main" id="{00000000-0008-0000-0000-0000D3650000}"/>
            </a:ext>
          </a:extLst>
        </xdr:cNvPr>
        <xdr:cNvCxnSpPr>
          <a:cxnSpLocks noChangeShapeType="1"/>
        </xdr:cNvCxnSpPr>
      </xdr:nvCxnSpPr>
      <xdr:spPr bwMode="auto">
        <a:xfrm rot="16200000" flipH="1">
          <a:off x="5939790" y="4560570"/>
          <a:ext cx="182880" cy="83820"/>
        </a:xfrm>
        <a:prstGeom prst="line">
          <a:avLst/>
        </a:prstGeom>
        <a:noFill/>
        <a:ln w="3175" algn="ctr">
          <a:solidFill>
            <a:srgbClr val="000000"/>
          </a:solidFill>
          <a:round/>
          <a:headEnd/>
          <a:tailEnd/>
        </a:ln>
      </xdr:spPr>
    </xdr:cxnSp>
    <xdr:clientData/>
  </xdr:twoCellAnchor>
  <xdr:twoCellAnchor>
    <xdr:from>
      <xdr:col>7</xdr:col>
      <xdr:colOff>144780</xdr:colOff>
      <xdr:row>22</xdr:row>
      <xdr:rowOff>22860</xdr:rowOff>
    </xdr:from>
    <xdr:to>
      <xdr:col>8</xdr:col>
      <xdr:colOff>15240</xdr:colOff>
      <xdr:row>23</xdr:row>
      <xdr:rowOff>15240</xdr:rowOff>
    </xdr:to>
    <xdr:cxnSp macro="">
      <xdr:nvCxnSpPr>
        <xdr:cNvPr id="26068" name="Straight Connector 579">
          <a:extLst>
            <a:ext uri="{FF2B5EF4-FFF2-40B4-BE49-F238E27FC236}">
              <a16:creationId xmlns:a16="http://schemas.microsoft.com/office/drawing/2014/main" id="{00000000-0008-0000-0000-0000D4650000}"/>
            </a:ext>
          </a:extLst>
        </xdr:cNvPr>
        <xdr:cNvCxnSpPr>
          <a:cxnSpLocks noChangeShapeType="1"/>
        </xdr:cNvCxnSpPr>
      </xdr:nvCxnSpPr>
      <xdr:spPr bwMode="auto">
        <a:xfrm rot="16200000" flipH="1">
          <a:off x="6697980" y="4229100"/>
          <a:ext cx="182880" cy="76200"/>
        </a:xfrm>
        <a:prstGeom prst="line">
          <a:avLst/>
        </a:prstGeom>
        <a:noFill/>
        <a:ln w="3175" algn="ctr">
          <a:solidFill>
            <a:srgbClr val="000000"/>
          </a:solidFill>
          <a:round/>
          <a:headEnd/>
          <a:tailEnd/>
        </a:ln>
      </xdr:spPr>
    </xdr:cxnSp>
    <xdr:clientData/>
  </xdr:twoCellAnchor>
  <xdr:twoCellAnchor>
    <xdr:from>
      <xdr:col>6</xdr:col>
      <xdr:colOff>167640</xdr:colOff>
      <xdr:row>22</xdr:row>
      <xdr:rowOff>160020</xdr:rowOff>
    </xdr:from>
    <xdr:to>
      <xdr:col>8</xdr:col>
      <xdr:colOff>0</xdr:colOff>
      <xdr:row>24</xdr:row>
      <xdr:rowOff>106680</xdr:rowOff>
    </xdr:to>
    <xdr:cxnSp macro="">
      <xdr:nvCxnSpPr>
        <xdr:cNvPr id="26069" name="Straight Arrow Connector 581">
          <a:extLst>
            <a:ext uri="{FF2B5EF4-FFF2-40B4-BE49-F238E27FC236}">
              <a16:creationId xmlns:a16="http://schemas.microsoft.com/office/drawing/2014/main" id="{00000000-0008-0000-0000-0000D5650000}"/>
            </a:ext>
          </a:extLst>
        </xdr:cNvPr>
        <xdr:cNvCxnSpPr>
          <a:cxnSpLocks noChangeShapeType="1"/>
        </xdr:cNvCxnSpPr>
      </xdr:nvCxnSpPr>
      <xdr:spPr bwMode="auto">
        <a:xfrm flipV="1">
          <a:off x="6042660" y="4312920"/>
          <a:ext cx="769620" cy="327660"/>
        </a:xfrm>
        <a:prstGeom prst="straightConnector1">
          <a:avLst/>
        </a:prstGeom>
        <a:noFill/>
        <a:ln w="3175" algn="ctr">
          <a:solidFill>
            <a:srgbClr val="000000"/>
          </a:solidFill>
          <a:round/>
          <a:headEnd type="stealth" w="sm" len="sm"/>
          <a:tailEnd type="stealth" w="sm" len="sm"/>
        </a:ln>
      </xdr:spPr>
    </xdr:cxnSp>
    <xdr:clientData/>
  </xdr:twoCellAnchor>
  <xdr:twoCellAnchor>
    <xdr:from>
      <xdr:col>6</xdr:col>
      <xdr:colOff>131847</xdr:colOff>
      <xdr:row>22</xdr:row>
      <xdr:rowOff>33253</xdr:rowOff>
    </xdr:from>
    <xdr:to>
      <xdr:col>6</xdr:col>
      <xdr:colOff>243840</xdr:colOff>
      <xdr:row>22</xdr:row>
      <xdr:rowOff>160019</xdr:rowOff>
    </xdr:to>
    <xdr:cxnSp macro="">
      <xdr:nvCxnSpPr>
        <xdr:cNvPr id="26070" name="Straight Arrow Connector 583">
          <a:extLst>
            <a:ext uri="{FF2B5EF4-FFF2-40B4-BE49-F238E27FC236}">
              <a16:creationId xmlns:a16="http://schemas.microsoft.com/office/drawing/2014/main" id="{00000000-0008-0000-0000-0000D6650000}"/>
            </a:ext>
          </a:extLst>
        </xdr:cNvPr>
        <xdr:cNvCxnSpPr>
          <a:cxnSpLocks noChangeShapeType="1"/>
          <a:stCxn id="26060" idx="4"/>
        </xdr:cNvCxnSpPr>
      </xdr:nvCxnSpPr>
      <xdr:spPr bwMode="auto">
        <a:xfrm rot="16200000" flipH="1">
          <a:off x="5999481" y="4193539"/>
          <a:ext cx="126766" cy="111993"/>
        </a:xfrm>
        <a:prstGeom prst="straightConnector1">
          <a:avLst/>
        </a:prstGeom>
        <a:noFill/>
        <a:ln w="3175" algn="ctr">
          <a:solidFill>
            <a:srgbClr val="000000"/>
          </a:solidFill>
          <a:round/>
          <a:headEnd/>
          <a:tailEnd type="stealth" w="sm" len="sm"/>
        </a:ln>
      </xdr:spPr>
    </xdr:cxnSp>
    <xdr:clientData/>
  </xdr:twoCellAnchor>
  <xdr:twoCellAnchor>
    <xdr:from>
      <xdr:col>5</xdr:col>
      <xdr:colOff>579120</xdr:colOff>
      <xdr:row>21</xdr:row>
      <xdr:rowOff>30480</xdr:rowOff>
    </xdr:from>
    <xdr:to>
      <xdr:col>6</xdr:col>
      <xdr:colOff>350520</xdr:colOff>
      <xdr:row>21</xdr:row>
      <xdr:rowOff>76200</xdr:rowOff>
    </xdr:to>
    <xdr:sp macro="" textlink="">
      <xdr:nvSpPr>
        <xdr:cNvPr id="26072" name="Rectangle 590">
          <a:extLst>
            <a:ext uri="{FF2B5EF4-FFF2-40B4-BE49-F238E27FC236}">
              <a16:creationId xmlns:a16="http://schemas.microsoft.com/office/drawing/2014/main" id="{00000000-0008-0000-0000-0000D8650000}"/>
            </a:ext>
          </a:extLst>
        </xdr:cNvPr>
        <xdr:cNvSpPr>
          <a:spLocks noChangeArrowheads="1"/>
        </xdr:cNvSpPr>
      </xdr:nvSpPr>
      <xdr:spPr bwMode="auto">
        <a:xfrm rot="-1458266">
          <a:off x="5676900" y="3992880"/>
          <a:ext cx="548640" cy="45720"/>
        </a:xfrm>
        <a:prstGeom prst="rect">
          <a:avLst/>
        </a:prstGeom>
        <a:noFill/>
        <a:ln w="6350" algn="ctr">
          <a:solidFill>
            <a:srgbClr val="000000"/>
          </a:solidFill>
          <a:round/>
          <a:headEnd/>
          <a:tailEnd/>
        </a:ln>
      </xdr:spPr>
    </xdr:sp>
    <xdr:clientData/>
  </xdr:twoCellAnchor>
  <xdr:twoCellAnchor>
    <xdr:from>
      <xdr:col>5</xdr:col>
      <xdr:colOff>152400</xdr:colOff>
      <xdr:row>21</xdr:row>
      <xdr:rowOff>60960</xdr:rowOff>
    </xdr:from>
    <xdr:to>
      <xdr:col>5</xdr:col>
      <xdr:colOff>228600</xdr:colOff>
      <xdr:row>22</xdr:row>
      <xdr:rowOff>30480</xdr:rowOff>
    </xdr:to>
    <xdr:cxnSp macro="">
      <xdr:nvCxnSpPr>
        <xdr:cNvPr id="26073" name="Straight Arrow Connector 602">
          <a:extLst>
            <a:ext uri="{FF2B5EF4-FFF2-40B4-BE49-F238E27FC236}">
              <a16:creationId xmlns:a16="http://schemas.microsoft.com/office/drawing/2014/main" id="{00000000-0008-0000-0000-0000D9650000}"/>
            </a:ext>
          </a:extLst>
        </xdr:cNvPr>
        <xdr:cNvCxnSpPr>
          <a:cxnSpLocks noChangeShapeType="1"/>
        </xdr:cNvCxnSpPr>
      </xdr:nvCxnSpPr>
      <xdr:spPr bwMode="auto">
        <a:xfrm rot="16200000" flipH="1">
          <a:off x="5208270" y="4065270"/>
          <a:ext cx="160020" cy="76200"/>
        </a:xfrm>
        <a:prstGeom prst="straightConnector1">
          <a:avLst/>
        </a:prstGeom>
        <a:noFill/>
        <a:ln w="3175" algn="ctr">
          <a:solidFill>
            <a:srgbClr val="000000"/>
          </a:solidFill>
          <a:round/>
          <a:headEnd/>
          <a:tailEnd type="stealth" w="sm" len="sm"/>
        </a:ln>
      </xdr:spPr>
    </xdr:cxnSp>
    <xdr:clientData/>
  </xdr:twoCellAnchor>
  <xdr:twoCellAnchor>
    <xdr:from>
      <xdr:col>5</xdr:col>
      <xdr:colOff>259080</xdr:colOff>
      <xdr:row>22</xdr:row>
      <xdr:rowOff>106680</xdr:rowOff>
    </xdr:from>
    <xdr:to>
      <xdr:col>5</xdr:col>
      <xdr:colOff>327660</xdr:colOff>
      <xdr:row>23</xdr:row>
      <xdr:rowOff>68580</xdr:rowOff>
    </xdr:to>
    <xdr:cxnSp macro="">
      <xdr:nvCxnSpPr>
        <xdr:cNvPr id="26074" name="Straight Arrow Connector 604">
          <a:extLst>
            <a:ext uri="{FF2B5EF4-FFF2-40B4-BE49-F238E27FC236}">
              <a16:creationId xmlns:a16="http://schemas.microsoft.com/office/drawing/2014/main" id="{00000000-0008-0000-0000-0000DA650000}"/>
            </a:ext>
          </a:extLst>
        </xdr:cNvPr>
        <xdr:cNvCxnSpPr>
          <a:cxnSpLocks noChangeShapeType="1"/>
        </xdr:cNvCxnSpPr>
      </xdr:nvCxnSpPr>
      <xdr:spPr bwMode="auto">
        <a:xfrm rot="16200000" flipV="1">
          <a:off x="5314950" y="4301490"/>
          <a:ext cx="152400" cy="68580"/>
        </a:xfrm>
        <a:prstGeom prst="straightConnector1">
          <a:avLst/>
        </a:prstGeom>
        <a:noFill/>
        <a:ln w="3175" algn="ctr">
          <a:solidFill>
            <a:srgbClr val="000000"/>
          </a:solidFill>
          <a:round/>
          <a:headEnd/>
          <a:tailEnd type="stealth" w="sm" len="sm"/>
        </a:ln>
      </xdr:spPr>
    </xdr:cxnSp>
    <xdr:clientData/>
  </xdr:twoCellAnchor>
  <xdr:twoCellAnchor>
    <xdr:from>
      <xdr:col>5</xdr:col>
      <xdr:colOff>110490</xdr:colOff>
      <xdr:row>27</xdr:row>
      <xdr:rowOff>222250</xdr:rowOff>
    </xdr:from>
    <xdr:to>
      <xdr:col>8</xdr:col>
      <xdr:colOff>243840</xdr:colOff>
      <xdr:row>27</xdr:row>
      <xdr:rowOff>647700</xdr:rowOff>
    </xdr:to>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5208270" y="5327650"/>
          <a:ext cx="1847850" cy="42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Determining Actual</a:t>
          </a:r>
          <a:r>
            <a:rPr lang="en-US" sz="1100" b="1" u="sng" baseline="0"/>
            <a:t> Radius </a:t>
          </a:r>
          <a:r>
            <a:rPr lang="en-US" sz="1100" b="1" u="none" baseline="0">
              <a:solidFill>
                <a:srgbClr val="FF0000"/>
              </a:solidFill>
            </a:rPr>
            <a:t>*</a:t>
          </a:r>
        </a:p>
        <a:p>
          <a:r>
            <a:rPr lang="en-US" sz="800" u="none" baseline="0"/>
            <a:t>           (from field measurement)</a:t>
          </a:r>
          <a:endParaRPr lang="en-US" sz="800" u="none"/>
        </a:p>
      </xdr:txBody>
    </xdr:sp>
    <xdr:clientData/>
  </xdr:twoCellAnchor>
  <xdr:twoCellAnchor>
    <xdr:from>
      <xdr:col>6</xdr:col>
      <xdr:colOff>402287</xdr:colOff>
      <xdr:row>22</xdr:row>
      <xdr:rowOff>156074</xdr:rowOff>
    </xdr:from>
    <xdr:to>
      <xdr:col>6</xdr:col>
      <xdr:colOff>642405</xdr:colOff>
      <xdr:row>24</xdr:row>
      <xdr:rowOff>34736</xdr:rowOff>
    </xdr:to>
    <xdr:sp macro="" textlink="">
      <xdr:nvSpPr>
        <xdr:cNvPr id="182" name="TextBox 181">
          <a:extLst>
            <a:ext uri="{FF2B5EF4-FFF2-40B4-BE49-F238E27FC236}">
              <a16:creationId xmlns:a16="http://schemas.microsoft.com/office/drawing/2014/main" id="{00000000-0008-0000-0000-0000B6000000}"/>
            </a:ext>
          </a:extLst>
        </xdr:cNvPr>
        <xdr:cNvSpPr txBox="1"/>
      </xdr:nvSpPr>
      <xdr:spPr>
        <a:xfrm rot="20415639">
          <a:off x="4059887" y="4011794"/>
          <a:ext cx="209638" cy="213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P</a:t>
          </a:r>
        </a:p>
      </xdr:txBody>
    </xdr:sp>
    <xdr:clientData/>
  </xdr:twoCellAnchor>
  <xdr:twoCellAnchor>
    <xdr:from>
      <xdr:col>5</xdr:col>
      <xdr:colOff>68580</xdr:colOff>
      <xdr:row>21</xdr:row>
      <xdr:rowOff>60960</xdr:rowOff>
    </xdr:from>
    <xdr:to>
      <xdr:col>5</xdr:col>
      <xdr:colOff>152400</xdr:colOff>
      <xdr:row>21</xdr:row>
      <xdr:rowOff>60960</xdr:rowOff>
    </xdr:to>
    <xdr:cxnSp macro="">
      <xdr:nvCxnSpPr>
        <xdr:cNvPr id="26077" name="Straight Connector 612">
          <a:extLst>
            <a:ext uri="{FF2B5EF4-FFF2-40B4-BE49-F238E27FC236}">
              <a16:creationId xmlns:a16="http://schemas.microsoft.com/office/drawing/2014/main" id="{00000000-0008-0000-0000-0000DD650000}"/>
            </a:ext>
          </a:extLst>
        </xdr:cNvPr>
        <xdr:cNvCxnSpPr>
          <a:cxnSpLocks noChangeShapeType="1"/>
        </xdr:cNvCxnSpPr>
      </xdr:nvCxnSpPr>
      <xdr:spPr bwMode="auto">
        <a:xfrm rot="10800000">
          <a:off x="5166360" y="4023360"/>
          <a:ext cx="83820" cy="0"/>
        </a:xfrm>
        <a:prstGeom prst="line">
          <a:avLst/>
        </a:prstGeom>
        <a:noFill/>
        <a:ln w="6350" algn="ctr">
          <a:solidFill>
            <a:srgbClr val="000000"/>
          </a:solidFill>
          <a:round/>
          <a:headEnd/>
          <a:tailEnd/>
        </a:ln>
      </xdr:spPr>
    </xdr:cxnSp>
    <xdr:clientData/>
  </xdr:twoCellAnchor>
  <xdr:twoCellAnchor>
    <xdr:from>
      <xdr:col>4</xdr:col>
      <xdr:colOff>680720</xdr:colOff>
      <xdr:row>20</xdr:row>
      <xdr:rowOff>109220</xdr:rowOff>
    </xdr:from>
    <xdr:to>
      <xdr:col>5</xdr:col>
      <xdr:colOff>109220</xdr:colOff>
      <xdr:row>21</xdr:row>
      <xdr:rowOff>180340</xdr:rowOff>
    </xdr:to>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3050540" y="3629660"/>
          <a:ext cx="106680" cy="223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M</a:t>
          </a:r>
        </a:p>
      </xdr:txBody>
    </xdr:sp>
    <xdr:clientData/>
  </xdr:twoCellAnchor>
  <xdr:twoCellAnchor>
    <xdr:from>
      <xdr:col>5</xdr:col>
      <xdr:colOff>45720</xdr:colOff>
      <xdr:row>25</xdr:row>
      <xdr:rowOff>38100</xdr:rowOff>
    </xdr:from>
    <xdr:to>
      <xdr:col>9</xdr:col>
      <xdr:colOff>99060</xdr:colOff>
      <xdr:row>27</xdr:row>
      <xdr:rowOff>419100</xdr:rowOff>
    </xdr:to>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5143500" y="4762500"/>
          <a:ext cx="22098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1"/>
            <a:t>Straight edge mid ordinate to check curvature:</a:t>
          </a:r>
        </a:p>
        <a:p>
          <a:r>
            <a:rPr lang="en-US" sz="800"/>
            <a:t>Radius = M/2</a:t>
          </a:r>
          <a:r>
            <a:rPr lang="en-US" sz="800" baseline="0"/>
            <a:t> + P</a:t>
          </a:r>
          <a:r>
            <a:rPr lang="en-US" sz="800" baseline="30000"/>
            <a:t>2</a:t>
          </a:r>
          <a:r>
            <a:rPr lang="en-US" sz="800" baseline="0"/>
            <a:t>/(8M)</a:t>
          </a:r>
          <a:endParaRPr lang="en-US" sz="800"/>
        </a:p>
        <a:p>
          <a:r>
            <a:rPr lang="en-US" sz="800"/>
            <a:t>P = Length</a:t>
          </a:r>
          <a:r>
            <a:rPr lang="en-US" sz="800" baseline="0"/>
            <a:t> of straight edge</a:t>
          </a:r>
        </a:p>
        <a:p>
          <a:r>
            <a:rPr lang="en-US" sz="800" baseline="0"/>
            <a:t>M = Mid Ordinate</a:t>
          </a:r>
          <a:endParaRPr lang="en-US" sz="800"/>
        </a:p>
      </xdr:txBody>
    </xdr:sp>
    <xdr:clientData/>
  </xdr:twoCellAnchor>
  <xdr:twoCellAnchor>
    <xdr:from>
      <xdr:col>5</xdr:col>
      <xdr:colOff>365760</xdr:colOff>
      <xdr:row>9</xdr:row>
      <xdr:rowOff>76200</xdr:rowOff>
    </xdr:from>
    <xdr:to>
      <xdr:col>6</xdr:col>
      <xdr:colOff>236220</xdr:colOff>
      <xdr:row>11</xdr:row>
      <xdr:rowOff>0</xdr:rowOff>
    </xdr:to>
    <xdr:cxnSp macro="">
      <xdr:nvCxnSpPr>
        <xdr:cNvPr id="26080" name="Straight Connector 187">
          <a:extLst>
            <a:ext uri="{FF2B5EF4-FFF2-40B4-BE49-F238E27FC236}">
              <a16:creationId xmlns:a16="http://schemas.microsoft.com/office/drawing/2014/main" id="{00000000-0008-0000-0000-0000E0650000}"/>
            </a:ext>
          </a:extLst>
        </xdr:cNvPr>
        <xdr:cNvCxnSpPr>
          <a:cxnSpLocks noChangeShapeType="1"/>
        </xdr:cNvCxnSpPr>
      </xdr:nvCxnSpPr>
      <xdr:spPr bwMode="auto">
        <a:xfrm flipV="1">
          <a:off x="5463540" y="1752600"/>
          <a:ext cx="647700" cy="304800"/>
        </a:xfrm>
        <a:prstGeom prst="line">
          <a:avLst/>
        </a:prstGeom>
        <a:noFill/>
        <a:ln w="6350" algn="ctr">
          <a:solidFill>
            <a:srgbClr val="000000"/>
          </a:solidFill>
          <a:round/>
          <a:headEnd/>
          <a:tailEnd/>
        </a:ln>
      </xdr:spPr>
    </xdr:cxnSp>
    <xdr:clientData/>
  </xdr:twoCellAnchor>
  <xdr:twoCellAnchor>
    <xdr:from>
      <xdr:col>5</xdr:col>
      <xdr:colOff>419100</xdr:colOff>
      <xdr:row>12</xdr:row>
      <xdr:rowOff>182880</xdr:rowOff>
    </xdr:from>
    <xdr:to>
      <xdr:col>6</xdr:col>
      <xdr:colOff>304800</xdr:colOff>
      <xdr:row>14</xdr:row>
      <xdr:rowOff>114300</xdr:rowOff>
    </xdr:to>
    <xdr:cxnSp macro="">
      <xdr:nvCxnSpPr>
        <xdr:cNvPr id="26081" name="Straight Connector 188">
          <a:extLst>
            <a:ext uri="{FF2B5EF4-FFF2-40B4-BE49-F238E27FC236}">
              <a16:creationId xmlns:a16="http://schemas.microsoft.com/office/drawing/2014/main" id="{00000000-0008-0000-0000-0000E1650000}"/>
            </a:ext>
          </a:extLst>
        </xdr:cNvPr>
        <xdr:cNvCxnSpPr>
          <a:cxnSpLocks noChangeShapeType="1"/>
        </xdr:cNvCxnSpPr>
      </xdr:nvCxnSpPr>
      <xdr:spPr bwMode="auto">
        <a:xfrm flipV="1">
          <a:off x="5516880" y="2430780"/>
          <a:ext cx="662940" cy="312420"/>
        </a:xfrm>
        <a:prstGeom prst="line">
          <a:avLst/>
        </a:prstGeom>
        <a:noFill/>
        <a:ln w="6350" algn="ctr">
          <a:solidFill>
            <a:srgbClr val="000000"/>
          </a:solidFill>
          <a:round/>
          <a:headEnd/>
          <a:tailEnd/>
        </a:ln>
      </xdr:spPr>
    </xdr:cxnSp>
    <xdr:clientData/>
  </xdr:twoCellAnchor>
  <xdr:twoCellAnchor>
    <xdr:from>
      <xdr:col>6</xdr:col>
      <xdr:colOff>148589</xdr:colOff>
      <xdr:row>10</xdr:row>
      <xdr:rowOff>100965</xdr:rowOff>
    </xdr:from>
    <xdr:to>
      <xdr:col>8</xdr:col>
      <xdr:colOff>218440</xdr:colOff>
      <xdr:row>12</xdr:row>
      <xdr:rowOff>85725</xdr:rowOff>
    </xdr:to>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3806189" y="1945005"/>
          <a:ext cx="1289051" cy="3200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Fill Depth@</a:t>
          </a:r>
          <a:r>
            <a:rPr lang="en-US" sz="800" baseline="0"/>
            <a:t> Edge of Pavement "H</a:t>
          </a:r>
          <a:r>
            <a:rPr lang="en-US" sz="800" baseline="-25000"/>
            <a:t>2</a:t>
          </a:r>
          <a:r>
            <a:rPr lang="en-US" sz="800" baseline="0"/>
            <a:t>"</a:t>
          </a:r>
          <a:endParaRPr lang="en-US" sz="800"/>
        </a:p>
      </xdr:txBody>
    </xdr:sp>
    <xdr:clientData/>
  </xdr:twoCellAnchor>
  <xdr:twoCellAnchor>
    <xdr:from>
      <xdr:col>6</xdr:col>
      <xdr:colOff>198120</xdr:colOff>
      <xdr:row>9</xdr:row>
      <xdr:rowOff>99060</xdr:rowOff>
    </xdr:from>
    <xdr:to>
      <xdr:col>6</xdr:col>
      <xdr:colOff>198120</xdr:colOff>
      <xdr:row>13</xdr:row>
      <xdr:rowOff>30480</xdr:rowOff>
    </xdr:to>
    <xdr:cxnSp macro="">
      <xdr:nvCxnSpPr>
        <xdr:cNvPr id="26083" name="Straight Arrow Connector 170">
          <a:extLst>
            <a:ext uri="{FF2B5EF4-FFF2-40B4-BE49-F238E27FC236}">
              <a16:creationId xmlns:a16="http://schemas.microsoft.com/office/drawing/2014/main" id="{00000000-0008-0000-0000-0000E3650000}"/>
            </a:ext>
          </a:extLst>
        </xdr:cNvPr>
        <xdr:cNvCxnSpPr>
          <a:cxnSpLocks noChangeShapeType="1"/>
        </xdr:cNvCxnSpPr>
      </xdr:nvCxnSpPr>
      <xdr:spPr bwMode="auto">
        <a:xfrm rot="5400000">
          <a:off x="5726430" y="2122170"/>
          <a:ext cx="69342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5</xdr:col>
      <xdr:colOff>411480</xdr:colOff>
      <xdr:row>9</xdr:row>
      <xdr:rowOff>144780</xdr:rowOff>
    </xdr:from>
    <xdr:to>
      <xdr:col>5</xdr:col>
      <xdr:colOff>411480</xdr:colOff>
      <xdr:row>11</xdr:row>
      <xdr:rowOff>53340</xdr:rowOff>
    </xdr:to>
    <xdr:cxnSp macro="">
      <xdr:nvCxnSpPr>
        <xdr:cNvPr id="26084" name="Straight Connector 222">
          <a:extLst>
            <a:ext uri="{FF2B5EF4-FFF2-40B4-BE49-F238E27FC236}">
              <a16:creationId xmlns:a16="http://schemas.microsoft.com/office/drawing/2014/main" id="{00000000-0008-0000-0000-0000E4650000}"/>
            </a:ext>
          </a:extLst>
        </xdr:cNvPr>
        <xdr:cNvCxnSpPr>
          <a:cxnSpLocks noChangeShapeType="1"/>
        </xdr:cNvCxnSpPr>
      </xdr:nvCxnSpPr>
      <xdr:spPr bwMode="auto">
        <a:xfrm rot="5400000" flipH="1" flipV="1">
          <a:off x="5364480" y="1965960"/>
          <a:ext cx="289560" cy="0"/>
        </a:xfrm>
        <a:prstGeom prst="line">
          <a:avLst/>
        </a:prstGeom>
        <a:noFill/>
        <a:ln w="3175" algn="ctr">
          <a:solidFill>
            <a:srgbClr val="000000"/>
          </a:solidFill>
          <a:round/>
          <a:headEnd/>
          <a:tailEnd/>
        </a:ln>
      </xdr:spPr>
    </xdr:cxnSp>
    <xdr:clientData/>
  </xdr:twoCellAnchor>
  <xdr:twoCellAnchor>
    <xdr:from>
      <xdr:col>6</xdr:col>
      <xdr:colOff>40005</xdr:colOff>
      <xdr:row>20</xdr:row>
      <xdr:rowOff>148590</xdr:rowOff>
    </xdr:from>
    <xdr:to>
      <xdr:col>6</xdr:col>
      <xdr:colOff>66791</xdr:colOff>
      <xdr:row>21</xdr:row>
      <xdr:rowOff>32506</xdr:rowOff>
    </xdr:to>
    <xdr:cxnSp macro="">
      <xdr:nvCxnSpPr>
        <xdr:cNvPr id="204" name="Straight Connector 203">
          <a:extLst>
            <a:ext uri="{FF2B5EF4-FFF2-40B4-BE49-F238E27FC236}">
              <a16:creationId xmlns:a16="http://schemas.microsoft.com/office/drawing/2014/main" id="{00000000-0008-0000-0000-0000CC000000}"/>
            </a:ext>
          </a:extLst>
        </xdr:cNvPr>
        <xdr:cNvCxnSpPr>
          <a:stCxn id="26072" idx="0"/>
        </xdr:cNvCxnSpPr>
      </xdr:nvCxnSpPr>
      <xdr:spPr bwMode="auto">
        <a:xfrm rot="16200000" flipV="1">
          <a:off x="5891210" y="3944305"/>
          <a:ext cx="74416" cy="26786"/>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796075</xdr:colOff>
      <xdr:row>107</xdr:row>
      <xdr:rowOff>146925</xdr:rowOff>
    </xdr:from>
    <xdr:to>
      <xdr:col>1</xdr:col>
      <xdr:colOff>582715</xdr:colOff>
      <xdr:row>109</xdr:row>
      <xdr:rowOff>55485</xdr:rowOff>
    </xdr:to>
    <xdr:sp macro="" textlink="">
      <xdr:nvSpPr>
        <xdr:cNvPr id="14" name="Flowchart: Data 13">
          <a:extLst>
            <a:ext uri="{FF2B5EF4-FFF2-40B4-BE49-F238E27FC236}">
              <a16:creationId xmlns:a16="http://schemas.microsoft.com/office/drawing/2014/main" id="{00000000-0008-0000-0100-00000E000000}"/>
            </a:ext>
          </a:extLst>
        </xdr:cNvPr>
        <xdr:cNvSpPr/>
      </xdr:nvSpPr>
      <xdr:spPr bwMode="auto">
        <a:xfrm rot="19739516" flipH="1">
          <a:off x="796075" y="18572085"/>
          <a:ext cx="731520" cy="274320"/>
        </a:xfrm>
        <a:prstGeom prst="flowChartInputOutpu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3000000" scaled="0"/>
        </a:gra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0</xdr:col>
      <xdr:colOff>682152</xdr:colOff>
      <xdr:row>109</xdr:row>
      <xdr:rowOff>172217</xdr:rowOff>
    </xdr:from>
    <xdr:to>
      <xdr:col>1</xdr:col>
      <xdr:colOff>1017432</xdr:colOff>
      <xdr:row>112</xdr:row>
      <xdr:rowOff>172217</xdr:rowOff>
    </xdr:to>
    <xdr:sp macro="" textlink="">
      <xdr:nvSpPr>
        <xdr:cNvPr id="15" name="Flowchart: Data 14">
          <a:extLst>
            <a:ext uri="{FF2B5EF4-FFF2-40B4-BE49-F238E27FC236}">
              <a16:creationId xmlns:a16="http://schemas.microsoft.com/office/drawing/2014/main" id="{00000000-0008-0000-0100-00000F000000}"/>
            </a:ext>
          </a:extLst>
        </xdr:cNvPr>
        <xdr:cNvSpPr/>
      </xdr:nvSpPr>
      <xdr:spPr bwMode="auto">
        <a:xfrm rot="19739516" flipH="1">
          <a:off x="682152" y="18963137"/>
          <a:ext cx="1280160" cy="548640"/>
        </a:xfrm>
        <a:prstGeom prst="flowChartInputOutpu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0</xdr:col>
      <xdr:colOff>773974</xdr:colOff>
      <xdr:row>107</xdr:row>
      <xdr:rowOff>69668</xdr:rowOff>
    </xdr:from>
    <xdr:to>
      <xdr:col>1</xdr:col>
      <xdr:colOff>166279</xdr:colOff>
      <xdr:row>108</xdr:row>
      <xdr:rowOff>98243</xdr:rowOff>
    </xdr:to>
    <xdr:cxnSp macro="">
      <xdr:nvCxnSpPr>
        <xdr:cNvPr id="57" name="Straight Arrow Connector 56">
          <a:extLst>
            <a:ext uri="{FF2B5EF4-FFF2-40B4-BE49-F238E27FC236}">
              <a16:creationId xmlns:a16="http://schemas.microsoft.com/office/drawing/2014/main" id="{00000000-0008-0000-0100-000039000000}"/>
            </a:ext>
          </a:extLst>
        </xdr:cNvPr>
        <xdr:cNvCxnSpPr/>
      </xdr:nvCxnSpPr>
      <xdr:spPr bwMode="auto">
        <a:xfrm>
          <a:off x="773974" y="18494828"/>
          <a:ext cx="337185" cy="211455"/>
        </a:xfrm>
        <a:prstGeom prst="straightConnector1">
          <a:avLst/>
        </a:prstGeom>
        <a:solidFill>
          <a:srgbClr val="FFFFFF"/>
        </a:solidFill>
        <a:ln w="3175" cap="flat" cmpd="sng" algn="ctr">
          <a:solidFill>
            <a:srgbClr val="000000"/>
          </a:solidFill>
          <a:prstDash val="solid"/>
          <a:round/>
          <a:headEnd type="stealth" w="med" len="med"/>
          <a:tailEnd type="stealth"/>
        </a:ln>
        <a:effectLst/>
      </xdr:spPr>
    </xdr:cxnSp>
    <xdr:clientData/>
  </xdr:twoCellAnchor>
  <xdr:twoCellAnchor>
    <xdr:from>
      <xdr:col>0</xdr:col>
      <xdr:colOff>659130</xdr:colOff>
      <xdr:row>108</xdr:row>
      <xdr:rowOff>175260</xdr:rowOff>
    </xdr:from>
    <xdr:to>
      <xdr:col>0</xdr:col>
      <xdr:colOff>788672</xdr:colOff>
      <xdr:row>112</xdr:row>
      <xdr:rowOff>11430</xdr:rowOff>
    </xdr:to>
    <xdr:cxnSp macro="">
      <xdr:nvCxnSpPr>
        <xdr:cNvPr id="127" name="Straight Connector 126">
          <a:extLst>
            <a:ext uri="{FF2B5EF4-FFF2-40B4-BE49-F238E27FC236}">
              <a16:creationId xmlns:a16="http://schemas.microsoft.com/office/drawing/2014/main" id="{00000000-0008-0000-0100-00007F000000}"/>
            </a:ext>
          </a:extLst>
        </xdr:cNvPr>
        <xdr:cNvCxnSpPr/>
      </xdr:nvCxnSpPr>
      <xdr:spPr bwMode="auto">
        <a:xfrm rot="5400000">
          <a:off x="440056" y="19002374"/>
          <a:ext cx="567690" cy="129542"/>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98517</xdr:colOff>
      <xdr:row>109</xdr:row>
      <xdr:rowOff>147500</xdr:rowOff>
    </xdr:from>
    <xdr:to>
      <xdr:col>1</xdr:col>
      <xdr:colOff>189957</xdr:colOff>
      <xdr:row>113</xdr:row>
      <xdr:rowOff>145323</xdr:rowOff>
    </xdr:to>
    <xdr:cxnSp macro="">
      <xdr:nvCxnSpPr>
        <xdr:cNvPr id="129" name="Straight Connector 128">
          <a:extLst>
            <a:ext uri="{FF2B5EF4-FFF2-40B4-BE49-F238E27FC236}">
              <a16:creationId xmlns:a16="http://schemas.microsoft.com/office/drawing/2014/main" id="{00000000-0008-0000-0100-000081000000}"/>
            </a:ext>
          </a:extLst>
        </xdr:cNvPr>
        <xdr:cNvCxnSpPr/>
      </xdr:nvCxnSpPr>
      <xdr:spPr bwMode="auto">
        <a:xfrm rot="16200000" flipH="1">
          <a:off x="724445" y="19257372"/>
          <a:ext cx="729343" cy="9144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342903</xdr:colOff>
      <xdr:row>107</xdr:row>
      <xdr:rowOff>45723</xdr:rowOff>
    </xdr:from>
    <xdr:to>
      <xdr:col>1</xdr:col>
      <xdr:colOff>571501</xdr:colOff>
      <xdr:row>108</xdr:row>
      <xdr:rowOff>179069</xdr:rowOff>
    </xdr:to>
    <xdr:cxnSp macro="">
      <xdr:nvCxnSpPr>
        <xdr:cNvPr id="131" name="Straight Connector 130">
          <a:extLst>
            <a:ext uri="{FF2B5EF4-FFF2-40B4-BE49-F238E27FC236}">
              <a16:creationId xmlns:a16="http://schemas.microsoft.com/office/drawing/2014/main" id="{00000000-0008-0000-0100-000083000000}"/>
            </a:ext>
          </a:extLst>
        </xdr:cNvPr>
        <xdr:cNvCxnSpPr/>
      </xdr:nvCxnSpPr>
      <xdr:spPr bwMode="auto">
        <a:xfrm rot="16200000" flipH="1">
          <a:off x="1243969" y="18514697"/>
          <a:ext cx="316226" cy="228598"/>
        </a:xfrm>
        <a:prstGeom prst="line">
          <a:avLst/>
        </a:prstGeom>
        <a:solidFill>
          <a:srgbClr val="FFFFFF"/>
        </a:solidFill>
        <a:ln w="3175" cap="flat" cmpd="sng" algn="ctr">
          <a:solidFill>
            <a:srgbClr val="000000"/>
          </a:solidFill>
          <a:prstDash val="dash"/>
          <a:round/>
          <a:headEnd type="none" w="med" len="med"/>
          <a:tailEnd type="none" w="med" len="med"/>
        </a:ln>
        <a:effectLst/>
      </xdr:spPr>
    </xdr:cxnSp>
    <xdr:clientData/>
  </xdr:twoCellAnchor>
  <xdr:twoCellAnchor>
    <xdr:from>
      <xdr:col>1</xdr:col>
      <xdr:colOff>598170</xdr:colOff>
      <xdr:row>108</xdr:row>
      <xdr:rowOff>22859</xdr:rowOff>
    </xdr:from>
    <xdr:to>
      <xdr:col>1</xdr:col>
      <xdr:colOff>1059183</xdr:colOff>
      <xdr:row>110</xdr:row>
      <xdr:rowOff>133352</xdr:rowOff>
    </xdr:to>
    <xdr:cxnSp macro="">
      <xdr:nvCxnSpPr>
        <xdr:cNvPr id="133" name="Straight Connector 132">
          <a:extLst>
            <a:ext uri="{FF2B5EF4-FFF2-40B4-BE49-F238E27FC236}">
              <a16:creationId xmlns:a16="http://schemas.microsoft.com/office/drawing/2014/main" id="{00000000-0008-0000-0100-000085000000}"/>
            </a:ext>
          </a:extLst>
        </xdr:cNvPr>
        <xdr:cNvCxnSpPr/>
      </xdr:nvCxnSpPr>
      <xdr:spPr bwMode="auto">
        <a:xfrm rot="16200000" flipH="1">
          <a:off x="1535430" y="18638519"/>
          <a:ext cx="476253" cy="461013"/>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464256</xdr:colOff>
      <xdr:row>107</xdr:row>
      <xdr:rowOff>166775</xdr:rowOff>
    </xdr:from>
    <xdr:to>
      <xdr:col>1</xdr:col>
      <xdr:colOff>441139</xdr:colOff>
      <xdr:row>109</xdr:row>
      <xdr:rowOff>3471</xdr:rowOff>
    </xdr:to>
    <xdr:sp macro="" textlink="">
      <xdr:nvSpPr>
        <xdr:cNvPr id="134" name="TextBox 133">
          <a:extLst>
            <a:ext uri="{FF2B5EF4-FFF2-40B4-BE49-F238E27FC236}">
              <a16:creationId xmlns:a16="http://schemas.microsoft.com/office/drawing/2014/main" id="{00000000-0008-0000-0100-000086000000}"/>
            </a:ext>
          </a:extLst>
        </xdr:cNvPr>
        <xdr:cNvSpPr txBox="1"/>
      </xdr:nvSpPr>
      <xdr:spPr>
        <a:xfrm rot="1882380">
          <a:off x="464256" y="19529195"/>
          <a:ext cx="921763" cy="20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spc="0" baseline="0"/>
            <a:t>Direction of Travel</a:t>
          </a:r>
        </a:p>
      </xdr:txBody>
    </xdr:sp>
    <xdr:clientData/>
  </xdr:twoCellAnchor>
  <xdr:twoCellAnchor>
    <xdr:from>
      <xdr:col>0</xdr:col>
      <xdr:colOff>415290</xdr:colOff>
      <xdr:row>107</xdr:row>
      <xdr:rowOff>103916</xdr:rowOff>
    </xdr:from>
    <xdr:to>
      <xdr:col>0</xdr:col>
      <xdr:colOff>754380</xdr:colOff>
      <xdr:row>108</xdr:row>
      <xdr:rowOff>156211</xdr:rowOff>
    </xdr:to>
    <xdr:cxnSp macro="">
      <xdr:nvCxnSpPr>
        <xdr:cNvPr id="140" name="Straight Connector 139">
          <a:extLst>
            <a:ext uri="{FF2B5EF4-FFF2-40B4-BE49-F238E27FC236}">
              <a16:creationId xmlns:a16="http://schemas.microsoft.com/office/drawing/2014/main" id="{00000000-0008-0000-0100-00008C000000}"/>
            </a:ext>
          </a:extLst>
        </xdr:cNvPr>
        <xdr:cNvCxnSpPr/>
      </xdr:nvCxnSpPr>
      <xdr:spPr bwMode="auto">
        <a:xfrm rot="10800000">
          <a:off x="415290" y="18529076"/>
          <a:ext cx="339090" cy="235175"/>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902970</xdr:colOff>
      <xdr:row>105</xdr:row>
      <xdr:rowOff>158116</xdr:rowOff>
    </xdr:from>
    <xdr:to>
      <xdr:col>1</xdr:col>
      <xdr:colOff>312420</xdr:colOff>
      <xdr:row>107</xdr:row>
      <xdr:rowOff>38101</xdr:rowOff>
    </xdr:to>
    <xdr:cxnSp macro="">
      <xdr:nvCxnSpPr>
        <xdr:cNvPr id="146" name="Straight Connector 145">
          <a:extLst>
            <a:ext uri="{FF2B5EF4-FFF2-40B4-BE49-F238E27FC236}">
              <a16:creationId xmlns:a16="http://schemas.microsoft.com/office/drawing/2014/main" id="{00000000-0008-0000-0100-000092000000}"/>
            </a:ext>
          </a:extLst>
        </xdr:cNvPr>
        <xdr:cNvCxnSpPr/>
      </xdr:nvCxnSpPr>
      <xdr:spPr bwMode="auto">
        <a:xfrm rot="10800000">
          <a:off x="902970" y="18217516"/>
          <a:ext cx="354330" cy="245745"/>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461010</xdr:colOff>
      <xdr:row>106</xdr:row>
      <xdr:rowOff>11430</xdr:rowOff>
    </xdr:from>
    <xdr:to>
      <xdr:col>1</xdr:col>
      <xdr:colOff>3810</xdr:colOff>
      <xdr:row>107</xdr:row>
      <xdr:rowOff>133350</xdr:rowOff>
    </xdr:to>
    <xdr:cxnSp macro="">
      <xdr:nvCxnSpPr>
        <xdr:cNvPr id="152" name="Straight Arrow Connector 151">
          <a:extLst>
            <a:ext uri="{FF2B5EF4-FFF2-40B4-BE49-F238E27FC236}">
              <a16:creationId xmlns:a16="http://schemas.microsoft.com/office/drawing/2014/main" id="{00000000-0008-0000-0100-000098000000}"/>
            </a:ext>
          </a:extLst>
        </xdr:cNvPr>
        <xdr:cNvCxnSpPr/>
      </xdr:nvCxnSpPr>
      <xdr:spPr bwMode="auto">
        <a:xfrm flipV="1">
          <a:off x="461010" y="18253710"/>
          <a:ext cx="487680" cy="304800"/>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0</xdr:col>
      <xdr:colOff>457198</xdr:colOff>
      <xdr:row>105</xdr:row>
      <xdr:rowOff>152400</xdr:rowOff>
    </xdr:from>
    <xdr:to>
      <xdr:col>0</xdr:col>
      <xdr:colOff>868678</xdr:colOff>
      <xdr:row>106</xdr:row>
      <xdr:rowOff>156210</xdr:rowOff>
    </xdr:to>
    <xdr:sp macro="" textlink="">
      <xdr:nvSpPr>
        <xdr:cNvPr id="153" name="TextBox 152">
          <a:extLst>
            <a:ext uri="{FF2B5EF4-FFF2-40B4-BE49-F238E27FC236}">
              <a16:creationId xmlns:a16="http://schemas.microsoft.com/office/drawing/2014/main" id="{00000000-0008-0000-0100-000099000000}"/>
            </a:ext>
          </a:extLst>
        </xdr:cNvPr>
        <xdr:cNvSpPr txBox="1"/>
      </xdr:nvSpPr>
      <xdr:spPr>
        <a:xfrm rot="19712504">
          <a:off x="457198" y="18211800"/>
          <a:ext cx="411480"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w</a:t>
          </a:r>
        </a:p>
      </xdr:txBody>
    </xdr:sp>
    <xdr:clientData/>
  </xdr:twoCellAnchor>
  <xdr:twoCellAnchor>
    <xdr:from>
      <xdr:col>1</xdr:col>
      <xdr:colOff>213360</xdr:colOff>
      <xdr:row>113</xdr:row>
      <xdr:rowOff>172498</xdr:rowOff>
    </xdr:from>
    <xdr:to>
      <xdr:col>1</xdr:col>
      <xdr:colOff>381000</xdr:colOff>
      <xdr:row>114</xdr:row>
      <xdr:rowOff>106681</xdr:rowOff>
    </xdr:to>
    <xdr:cxnSp macro="">
      <xdr:nvCxnSpPr>
        <xdr:cNvPr id="154" name="Straight Connector 153">
          <a:extLst>
            <a:ext uri="{FF2B5EF4-FFF2-40B4-BE49-F238E27FC236}">
              <a16:creationId xmlns:a16="http://schemas.microsoft.com/office/drawing/2014/main" id="{00000000-0008-0000-0100-00009A000000}"/>
            </a:ext>
          </a:extLst>
        </xdr:cNvPr>
        <xdr:cNvCxnSpPr/>
      </xdr:nvCxnSpPr>
      <xdr:spPr bwMode="auto">
        <a:xfrm rot="10800000">
          <a:off x="1158240" y="19694938"/>
          <a:ext cx="167640" cy="117063"/>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1097280</xdr:colOff>
      <xdr:row>110</xdr:row>
      <xdr:rowOff>177169</xdr:rowOff>
    </xdr:from>
    <xdr:to>
      <xdr:col>1</xdr:col>
      <xdr:colOff>1257300</xdr:colOff>
      <xdr:row>111</xdr:row>
      <xdr:rowOff>110491</xdr:rowOff>
    </xdr:to>
    <xdr:cxnSp macro="">
      <xdr:nvCxnSpPr>
        <xdr:cNvPr id="155" name="Straight Connector 154">
          <a:extLst>
            <a:ext uri="{FF2B5EF4-FFF2-40B4-BE49-F238E27FC236}">
              <a16:creationId xmlns:a16="http://schemas.microsoft.com/office/drawing/2014/main" id="{00000000-0008-0000-0100-00009B000000}"/>
            </a:ext>
          </a:extLst>
        </xdr:cNvPr>
        <xdr:cNvCxnSpPr/>
      </xdr:nvCxnSpPr>
      <xdr:spPr bwMode="auto">
        <a:xfrm rot="10800000">
          <a:off x="2042160" y="19150969"/>
          <a:ext cx="160020" cy="116202"/>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297180</xdr:colOff>
      <xdr:row>111</xdr:row>
      <xdr:rowOff>49530</xdr:rowOff>
    </xdr:from>
    <xdr:to>
      <xdr:col>1</xdr:col>
      <xdr:colOff>1169670</xdr:colOff>
      <xdr:row>114</xdr:row>
      <xdr:rowOff>45720</xdr:rowOff>
    </xdr:to>
    <xdr:cxnSp macro="">
      <xdr:nvCxnSpPr>
        <xdr:cNvPr id="156" name="Straight Arrow Connector 155">
          <a:extLst>
            <a:ext uri="{FF2B5EF4-FFF2-40B4-BE49-F238E27FC236}">
              <a16:creationId xmlns:a16="http://schemas.microsoft.com/office/drawing/2014/main" id="{00000000-0008-0000-0100-00009C000000}"/>
            </a:ext>
          </a:extLst>
        </xdr:cNvPr>
        <xdr:cNvCxnSpPr/>
      </xdr:nvCxnSpPr>
      <xdr:spPr bwMode="auto">
        <a:xfrm flipV="1">
          <a:off x="1242060" y="19206210"/>
          <a:ext cx="872490" cy="544830"/>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1</xdr:col>
      <xdr:colOff>471774</xdr:colOff>
      <xdr:row>112</xdr:row>
      <xdr:rowOff>68490</xdr:rowOff>
    </xdr:from>
    <xdr:to>
      <xdr:col>1</xdr:col>
      <xdr:colOff>1307033</xdr:colOff>
      <xdr:row>113</xdr:row>
      <xdr:rowOff>72300</xdr:rowOff>
    </xdr:to>
    <xdr:sp macro="" textlink="">
      <xdr:nvSpPr>
        <xdr:cNvPr id="157" name="TextBox 156">
          <a:extLst>
            <a:ext uri="{FF2B5EF4-FFF2-40B4-BE49-F238E27FC236}">
              <a16:creationId xmlns:a16="http://schemas.microsoft.com/office/drawing/2014/main" id="{00000000-0008-0000-0100-00009D000000}"/>
            </a:ext>
          </a:extLst>
        </xdr:cNvPr>
        <xdr:cNvSpPr txBox="1"/>
      </xdr:nvSpPr>
      <xdr:spPr>
        <a:xfrm rot="19680661">
          <a:off x="1416654" y="19408050"/>
          <a:ext cx="835259"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t>W</a:t>
          </a:r>
          <a:r>
            <a:rPr lang="en-US" sz="700" baseline="-25000"/>
            <a:t>D</a:t>
          </a:r>
          <a:r>
            <a:rPr lang="en-US" sz="700" baseline="0"/>
            <a:t>= W</a:t>
          </a:r>
          <a:r>
            <a:rPr lang="en-US" sz="700" baseline="-25000"/>
            <a:t>W</a:t>
          </a:r>
          <a:r>
            <a:rPr lang="en-US" sz="700" baseline="0"/>
            <a:t> + 1.75H</a:t>
          </a:r>
        </a:p>
      </xdr:txBody>
    </xdr:sp>
    <xdr:clientData/>
  </xdr:twoCellAnchor>
  <xdr:twoCellAnchor>
    <xdr:from>
      <xdr:col>1</xdr:col>
      <xdr:colOff>351064</xdr:colOff>
      <xdr:row>106</xdr:row>
      <xdr:rowOff>114844</xdr:rowOff>
    </xdr:from>
    <xdr:to>
      <xdr:col>1</xdr:col>
      <xdr:colOff>535469</xdr:colOff>
      <xdr:row>107</xdr:row>
      <xdr:rowOff>38644</xdr:rowOff>
    </xdr:to>
    <xdr:cxnSp macro="">
      <xdr:nvCxnSpPr>
        <xdr:cNvPr id="19" name="Straight Connector 18">
          <a:extLst>
            <a:ext uri="{FF2B5EF4-FFF2-40B4-BE49-F238E27FC236}">
              <a16:creationId xmlns:a16="http://schemas.microsoft.com/office/drawing/2014/main" id="{00000000-0008-0000-0100-000013000000}"/>
            </a:ext>
          </a:extLst>
        </xdr:cNvPr>
        <xdr:cNvCxnSpPr/>
      </xdr:nvCxnSpPr>
      <xdr:spPr bwMode="auto">
        <a:xfrm flipV="1">
          <a:off x="1295944" y="18357124"/>
          <a:ext cx="184405" cy="10668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625384</xdr:colOff>
      <xdr:row>107</xdr:row>
      <xdr:rowOff>92119</xdr:rowOff>
    </xdr:from>
    <xdr:to>
      <xdr:col>1</xdr:col>
      <xdr:colOff>803910</xdr:colOff>
      <xdr:row>108</xdr:row>
      <xdr:rowOff>12518</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bwMode="auto">
        <a:xfrm flipV="1">
          <a:off x="1570264" y="18517279"/>
          <a:ext cx="178526" cy="103279"/>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481693</xdr:colOff>
      <xdr:row>106</xdr:row>
      <xdr:rowOff>149134</xdr:rowOff>
    </xdr:from>
    <xdr:to>
      <xdr:col>1</xdr:col>
      <xdr:colOff>753836</xdr:colOff>
      <xdr:row>107</xdr:row>
      <xdr:rowOff>120831</xdr:rowOff>
    </xdr:to>
    <xdr:cxnSp macro="">
      <xdr:nvCxnSpPr>
        <xdr:cNvPr id="22" name="Straight Arrow Connector 21">
          <a:extLst>
            <a:ext uri="{FF2B5EF4-FFF2-40B4-BE49-F238E27FC236}">
              <a16:creationId xmlns:a16="http://schemas.microsoft.com/office/drawing/2014/main" id="{00000000-0008-0000-0100-000016000000}"/>
            </a:ext>
          </a:extLst>
        </xdr:cNvPr>
        <xdr:cNvCxnSpPr/>
      </xdr:nvCxnSpPr>
      <xdr:spPr bwMode="auto">
        <a:xfrm>
          <a:off x="1426573" y="18391414"/>
          <a:ext cx="272143" cy="154577"/>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1</xdr:col>
      <xdr:colOff>489536</xdr:colOff>
      <xdr:row>106</xdr:row>
      <xdr:rowOff>87772</xdr:rowOff>
    </xdr:from>
    <xdr:to>
      <xdr:col>1</xdr:col>
      <xdr:colOff>916876</xdr:colOff>
      <xdr:row>107</xdr:row>
      <xdr:rowOff>134859</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rot="2120571">
          <a:off x="1434416" y="18330052"/>
          <a:ext cx="427340" cy="229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W</a:t>
          </a:r>
        </a:p>
      </xdr:txBody>
    </xdr:sp>
    <xdr:clientData/>
  </xdr:twoCellAnchor>
  <xdr:twoCellAnchor>
    <xdr:from>
      <xdr:col>0</xdr:col>
      <xdr:colOff>403972</xdr:colOff>
      <xdr:row>111</xdr:row>
      <xdr:rowOff>14697</xdr:rowOff>
    </xdr:from>
    <xdr:to>
      <xdr:col>0</xdr:col>
      <xdr:colOff>612867</xdr:colOff>
      <xdr:row>111</xdr:row>
      <xdr:rowOff>159576</xdr:rowOff>
    </xdr:to>
    <xdr:cxnSp macro="">
      <xdr:nvCxnSpPr>
        <xdr:cNvPr id="27" name="Straight Connector 26">
          <a:extLst>
            <a:ext uri="{FF2B5EF4-FFF2-40B4-BE49-F238E27FC236}">
              <a16:creationId xmlns:a16="http://schemas.microsoft.com/office/drawing/2014/main" id="{00000000-0008-0000-0100-00001B000000}"/>
            </a:ext>
          </a:extLst>
        </xdr:cNvPr>
        <xdr:cNvCxnSpPr/>
      </xdr:nvCxnSpPr>
      <xdr:spPr bwMode="auto">
        <a:xfrm rot="10800000">
          <a:off x="403972" y="19171377"/>
          <a:ext cx="208895" cy="144879"/>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456951</xdr:colOff>
      <xdr:row>107</xdr:row>
      <xdr:rowOff>135233</xdr:rowOff>
    </xdr:from>
    <xdr:to>
      <xdr:col>0</xdr:col>
      <xdr:colOff>458539</xdr:colOff>
      <xdr:row>111</xdr:row>
      <xdr:rowOff>52501</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bwMode="auto">
        <a:xfrm rot="5400000">
          <a:off x="133351" y="18883993"/>
          <a:ext cx="648788"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0</xdr:col>
      <xdr:colOff>401140</xdr:colOff>
      <xdr:row>109</xdr:row>
      <xdr:rowOff>19050</xdr:rowOff>
    </xdr:from>
    <xdr:to>
      <xdr:col>0</xdr:col>
      <xdr:colOff>592728</xdr:colOff>
      <xdr:row>109</xdr:row>
      <xdr:rowOff>151856</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401140" y="18809970"/>
          <a:ext cx="191588" cy="132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H</a:t>
          </a:r>
        </a:p>
      </xdr:txBody>
    </xdr:sp>
    <xdr:clientData/>
  </xdr:twoCellAnchor>
  <xdr:twoCellAnchor>
    <xdr:from>
      <xdr:col>0</xdr:col>
      <xdr:colOff>425087</xdr:colOff>
      <xdr:row>112</xdr:row>
      <xdr:rowOff>10341</xdr:rowOff>
    </xdr:from>
    <xdr:to>
      <xdr:col>0</xdr:col>
      <xdr:colOff>609492</xdr:colOff>
      <xdr:row>112</xdr:row>
      <xdr:rowOff>117021</xdr:rowOff>
    </xdr:to>
    <xdr:cxnSp macro="">
      <xdr:nvCxnSpPr>
        <xdr:cNvPr id="34" name="Straight Connector 33">
          <a:extLst>
            <a:ext uri="{FF2B5EF4-FFF2-40B4-BE49-F238E27FC236}">
              <a16:creationId xmlns:a16="http://schemas.microsoft.com/office/drawing/2014/main" id="{00000000-0008-0000-0100-000022000000}"/>
            </a:ext>
          </a:extLst>
        </xdr:cNvPr>
        <xdr:cNvCxnSpPr/>
      </xdr:nvCxnSpPr>
      <xdr:spPr bwMode="auto">
        <a:xfrm flipV="1">
          <a:off x="425087" y="19349901"/>
          <a:ext cx="184405" cy="10668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936716</xdr:colOff>
      <xdr:row>113</xdr:row>
      <xdr:rowOff>163964</xdr:rowOff>
    </xdr:from>
    <xdr:to>
      <xdr:col>1</xdr:col>
      <xdr:colOff>170362</xdr:colOff>
      <xdr:row>114</xdr:row>
      <xdr:rowOff>84363</xdr:rowOff>
    </xdr:to>
    <xdr:cxnSp macro="">
      <xdr:nvCxnSpPr>
        <xdr:cNvPr id="35" name="Straight Connector 34">
          <a:extLst>
            <a:ext uri="{FF2B5EF4-FFF2-40B4-BE49-F238E27FC236}">
              <a16:creationId xmlns:a16="http://schemas.microsoft.com/office/drawing/2014/main" id="{00000000-0008-0000-0100-000023000000}"/>
            </a:ext>
          </a:extLst>
        </xdr:cNvPr>
        <xdr:cNvCxnSpPr/>
      </xdr:nvCxnSpPr>
      <xdr:spPr bwMode="auto">
        <a:xfrm flipV="1">
          <a:off x="936716" y="19686404"/>
          <a:ext cx="178526" cy="103279"/>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479516</xdr:colOff>
      <xdr:row>112</xdr:row>
      <xdr:rowOff>82529</xdr:rowOff>
    </xdr:from>
    <xdr:to>
      <xdr:col>1</xdr:col>
      <xdr:colOff>41910</xdr:colOff>
      <xdr:row>114</xdr:row>
      <xdr:rowOff>58237</xdr:rowOff>
    </xdr:to>
    <xdr:cxnSp macro="">
      <xdr:nvCxnSpPr>
        <xdr:cNvPr id="36" name="Straight Arrow Connector 35">
          <a:extLst>
            <a:ext uri="{FF2B5EF4-FFF2-40B4-BE49-F238E27FC236}">
              <a16:creationId xmlns:a16="http://schemas.microsoft.com/office/drawing/2014/main" id="{00000000-0008-0000-0100-000024000000}"/>
            </a:ext>
          </a:extLst>
        </xdr:cNvPr>
        <xdr:cNvCxnSpPr/>
      </xdr:nvCxnSpPr>
      <xdr:spPr bwMode="auto">
        <a:xfrm>
          <a:off x="479516" y="19422089"/>
          <a:ext cx="507274" cy="34146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0</xdr:col>
      <xdr:colOff>279652</xdr:colOff>
      <xdr:row>113</xdr:row>
      <xdr:rowOff>62862</xdr:rowOff>
    </xdr:from>
    <xdr:to>
      <xdr:col>1</xdr:col>
      <xdr:colOff>161515</xdr:colOff>
      <xdr:row>114</xdr:row>
      <xdr:rowOff>109949</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rot="1997822">
          <a:off x="279652" y="19585302"/>
          <a:ext cx="826743" cy="229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 L</a:t>
          </a:r>
          <a:r>
            <a:rPr lang="en-US" sz="700" baseline="-25000"/>
            <a:t>W</a:t>
          </a:r>
          <a:r>
            <a:rPr lang="en-US" sz="700" baseline="0"/>
            <a:t> + 1.75H</a:t>
          </a:r>
        </a:p>
      </xdr:txBody>
    </xdr:sp>
    <xdr:clientData/>
  </xdr:twoCellAnchor>
  <xdr:twoCellAnchor>
    <xdr:from>
      <xdr:col>1</xdr:col>
      <xdr:colOff>512716</xdr:colOff>
      <xdr:row>114</xdr:row>
      <xdr:rowOff>6531</xdr:rowOff>
    </xdr:from>
    <xdr:to>
      <xdr:col>1</xdr:col>
      <xdr:colOff>1555569</xdr:colOff>
      <xdr:row>114</xdr:row>
      <xdr:rowOff>274320</xdr:rowOff>
    </xdr:to>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1457596" y="19711851"/>
          <a:ext cx="1042853" cy="267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Distributed Load Area</a:t>
          </a:r>
        </a:p>
      </xdr:txBody>
    </xdr:sp>
    <xdr:clientData/>
  </xdr:twoCellAnchor>
  <xdr:twoCellAnchor>
    <xdr:from>
      <xdr:col>1</xdr:col>
      <xdr:colOff>386408</xdr:colOff>
      <xdr:row>113</xdr:row>
      <xdr:rowOff>26880</xdr:rowOff>
    </xdr:from>
    <xdr:to>
      <xdr:col>1</xdr:col>
      <xdr:colOff>582384</xdr:colOff>
      <xdr:row>114</xdr:row>
      <xdr:rowOff>109947</xdr:rowOff>
    </xdr:to>
    <xdr:cxnSp macro="">
      <xdr:nvCxnSpPr>
        <xdr:cNvPr id="47" name="Straight Arrow Connector 46">
          <a:extLst>
            <a:ext uri="{FF2B5EF4-FFF2-40B4-BE49-F238E27FC236}">
              <a16:creationId xmlns:a16="http://schemas.microsoft.com/office/drawing/2014/main" id="{00000000-0008-0000-0100-00002F000000}"/>
            </a:ext>
          </a:extLst>
        </xdr:cNvPr>
        <xdr:cNvCxnSpPr/>
      </xdr:nvCxnSpPr>
      <xdr:spPr bwMode="auto">
        <a:xfrm rot="10800000">
          <a:off x="1331288" y="19549320"/>
          <a:ext cx="195976" cy="265947"/>
        </a:xfrm>
        <a:prstGeom prst="straightConnector1">
          <a:avLst/>
        </a:prstGeom>
        <a:solidFill>
          <a:srgbClr val="FFFFFF"/>
        </a:solidFill>
        <a:ln w="3175" cap="flat" cmpd="sng" algn="ctr">
          <a:solidFill>
            <a:srgbClr val="000000"/>
          </a:solidFill>
          <a:prstDash val="solid"/>
          <a:round/>
          <a:headEnd type="none" w="med" len="med"/>
          <a:tailEnd type="stealth" w="sm" len="sm"/>
        </a:ln>
        <a:effectLst/>
      </xdr:spPr>
    </xdr:cxnSp>
    <xdr:clientData/>
  </xdr:twoCellAnchor>
  <xdr:twoCellAnchor>
    <xdr:from>
      <xdr:col>1</xdr:col>
      <xdr:colOff>441961</xdr:colOff>
      <xdr:row>105</xdr:row>
      <xdr:rowOff>41365</xdr:rowOff>
    </xdr:from>
    <xdr:to>
      <xdr:col>2</xdr:col>
      <xdr:colOff>22860</xdr:colOff>
      <xdr:row>106</xdr:row>
      <xdr:rowOff>76201</xdr:rowOff>
    </xdr:to>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386841" y="18100765"/>
          <a:ext cx="1234439" cy="21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Surface Tire Contact Area</a:t>
          </a:r>
        </a:p>
      </xdr:txBody>
    </xdr:sp>
    <xdr:clientData/>
  </xdr:twoCellAnchor>
  <xdr:twoCellAnchor>
    <xdr:from>
      <xdr:col>1</xdr:col>
      <xdr:colOff>396749</xdr:colOff>
      <xdr:row>105</xdr:row>
      <xdr:rowOff>156754</xdr:rowOff>
    </xdr:from>
    <xdr:to>
      <xdr:col>1</xdr:col>
      <xdr:colOff>512173</xdr:colOff>
      <xdr:row>107</xdr:row>
      <xdr:rowOff>83486</xdr:rowOff>
    </xdr:to>
    <xdr:cxnSp macro="">
      <xdr:nvCxnSpPr>
        <xdr:cNvPr id="49" name="Straight Arrow Connector 48">
          <a:extLst>
            <a:ext uri="{FF2B5EF4-FFF2-40B4-BE49-F238E27FC236}">
              <a16:creationId xmlns:a16="http://schemas.microsoft.com/office/drawing/2014/main" id="{00000000-0008-0000-0100-000031000000}"/>
            </a:ext>
          </a:extLst>
        </xdr:cNvPr>
        <xdr:cNvCxnSpPr/>
      </xdr:nvCxnSpPr>
      <xdr:spPr bwMode="auto">
        <a:xfrm rot="5400000">
          <a:off x="1253095" y="18304688"/>
          <a:ext cx="292492" cy="115424"/>
        </a:xfrm>
        <a:prstGeom prst="straightConnector1">
          <a:avLst/>
        </a:prstGeom>
        <a:solidFill>
          <a:srgbClr val="FFFFFF"/>
        </a:solidFill>
        <a:ln w="3175" cap="flat" cmpd="sng" algn="ctr">
          <a:solidFill>
            <a:srgbClr val="000000"/>
          </a:solidFill>
          <a:prstDash val="solid"/>
          <a:round/>
          <a:headEnd type="none" w="med" len="med"/>
          <a:tailEnd type="stealth" w="sm" len="sm"/>
        </a:ln>
        <a:effectLst/>
      </xdr:spPr>
    </xdr:cxnSp>
    <xdr:clientData/>
  </xdr:twoCellAnchor>
  <xdr:twoCellAnchor>
    <xdr:from>
      <xdr:col>1</xdr:col>
      <xdr:colOff>217464</xdr:colOff>
      <xdr:row>105</xdr:row>
      <xdr:rowOff>59033</xdr:rowOff>
    </xdr:from>
    <xdr:to>
      <xdr:col>1</xdr:col>
      <xdr:colOff>219052</xdr:colOff>
      <xdr:row>108</xdr:row>
      <xdr:rowOff>113461</xdr:rowOff>
    </xdr:to>
    <xdr:cxnSp macro="">
      <xdr:nvCxnSpPr>
        <xdr:cNvPr id="53" name="Straight Arrow Connector 52">
          <a:extLst>
            <a:ext uri="{FF2B5EF4-FFF2-40B4-BE49-F238E27FC236}">
              <a16:creationId xmlns:a16="http://schemas.microsoft.com/office/drawing/2014/main" id="{00000000-0008-0000-0100-000035000000}"/>
            </a:ext>
          </a:extLst>
        </xdr:cNvPr>
        <xdr:cNvCxnSpPr/>
      </xdr:nvCxnSpPr>
      <xdr:spPr bwMode="auto">
        <a:xfrm rot="5400000">
          <a:off x="861604" y="18419173"/>
          <a:ext cx="603068" cy="1588"/>
        </a:xfrm>
        <a:prstGeom prst="straightConnector1">
          <a:avLst/>
        </a:prstGeom>
        <a:solidFill>
          <a:srgbClr val="FFFFFF"/>
        </a:solidFill>
        <a:ln w="9525" cap="flat" cmpd="sng" algn="ctr">
          <a:solidFill>
            <a:srgbClr val="FF0000"/>
          </a:solidFill>
          <a:prstDash val="solid"/>
          <a:round/>
          <a:headEnd type="none" w="med" len="med"/>
          <a:tailEnd type="triangle" w="lg" len="lg"/>
        </a:ln>
        <a:effectLst/>
      </xdr:spPr>
    </xdr:cxnSp>
    <xdr:clientData/>
  </xdr:twoCellAnchor>
  <xdr:twoCellAnchor>
    <xdr:from>
      <xdr:col>1</xdr:col>
      <xdr:colOff>88717</xdr:colOff>
      <xdr:row>104</xdr:row>
      <xdr:rowOff>103412</xdr:rowOff>
    </xdr:from>
    <xdr:to>
      <xdr:col>1</xdr:col>
      <xdr:colOff>1626870</xdr:colOff>
      <xdr:row>106</xdr:row>
      <xdr:rowOff>99059</xdr:rowOff>
    </xdr:to>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1033597" y="18650492"/>
          <a:ext cx="1538153" cy="44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Wheel Load P, </a:t>
          </a:r>
          <a:r>
            <a:rPr lang="en-US" sz="700" b="1" baseline="0"/>
            <a:t>P</a:t>
          </a:r>
          <a:r>
            <a:rPr lang="en-US" sz="700" baseline="0"/>
            <a:t>=1/2  Axle Load </a:t>
          </a:r>
        </a:p>
      </xdr:txBody>
    </xdr:sp>
    <xdr:clientData/>
  </xdr:twoCellAnchor>
  <xdr:twoCellAnchor>
    <xdr:from>
      <xdr:col>2</xdr:col>
      <xdr:colOff>133350</xdr:colOff>
      <xdr:row>108</xdr:row>
      <xdr:rowOff>152400</xdr:rowOff>
    </xdr:from>
    <xdr:to>
      <xdr:col>2</xdr:col>
      <xdr:colOff>590550</xdr:colOff>
      <xdr:row>110</xdr:row>
      <xdr:rowOff>15240</xdr:rowOff>
    </xdr:to>
    <xdr:sp macro="" textlink="">
      <xdr:nvSpPr>
        <xdr:cNvPr id="56" name="Rectangle 55">
          <a:extLst>
            <a:ext uri="{FF2B5EF4-FFF2-40B4-BE49-F238E27FC236}">
              <a16:creationId xmlns:a16="http://schemas.microsoft.com/office/drawing/2014/main" id="{00000000-0008-0000-0100-000038000000}"/>
            </a:ext>
          </a:extLst>
        </xdr:cNvPr>
        <xdr:cNvSpPr/>
      </xdr:nvSpPr>
      <xdr:spPr bwMode="auto">
        <a:xfrm>
          <a:off x="2731770" y="18760440"/>
          <a:ext cx="457200" cy="228600"/>
        </a:xfrm>
        <a:prstGeom prst="rect">
          <a:avLst/>
        </a:prstGeom>
        <a:solidFill>
          <a:schemeClr val="accent1">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607695</xdr:colOff>
      <xdr:row>108</xdr:row>
      <xdr:rowOff>152400</xdr:rowOff>
    </xdr:from>
    <xdr:to>
      <xdr:col>2</xdr:col>
      <xdr:colOff>1064895</xdr:colOff>
      <xdr:row>110</xdr:row>
      <xdr:rowOff>15240</xdr:rowOff>
    </xdr:to>
    <xdr:sp macro="" textlink="">
      <xdr:nvSpPr>
        <xdr:cNvPr id="58" name="Rectangle 57">
          <a:extLst>
            <a:ext uri="{FF2B5EF4-FFF2-40B4-BE49-F238E27FC236}">
              <a16:creationId xmlns:a16="http://schemas.microsoft.com/office/drawing/2014/main" id="{00000000-0008-0000-0100-00003A000000}"/>
            </a:ext>
          </a:extLst>
        </xdr:cNvPr>
        <xdr:cNvSpPr/>
      </xdr:nvSpPr>
      <xdr:spPr bwMode="auto">
        <a:xfrm>
          <a:off x="3206115" y="18760440"/>
          <a:ext cx="457200" cy="228600"/>
        </a:xfrm>
        <a:prstGeom prst="rect">
          <a:avLst/>
        </a:prstGeom>
        <a:solidFill>
          <a:schemeClr val="accent6">
            <a:lumMod val="60000"/>
            <a:lumOff val="4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295911</xdr:colOff>
      <xdr:row>110</xdr:row>
      <xdr:rowOff>131444</xdr:rowOff>
    </xdr:from>
    <xdr:to>
      <xdr:col>4</xdr:col>
      <xdr:colOff>640081</xdr:colOff>
      <xdr:row>111</xdr:row>
      <xdr:rowOff>176529</xdr:rowOff>
    </xdr:to>
    <xdr:sp macro="" textlink="">
      <xdr:nvSpPr>
        <xdr:cNvPr id="59" name="Rectangle 58">
          <a:extLst>
            <a:ext uri="{FF2B5EF4-FFF2-40B4-BE49-F238E27FC236}">
              <a16:creationId xmlns:a16="http://schemas.microsoft.com/office/drawing/2014/main" id="{00000000-0008-0000-0100-00003B000000}"/>
            </a:ext>
          </a:extLst>
        </xdr:cNvPr>
        <xdr:cNvSpPr/>
      </xdr:nvSpPr>
      <xdr:spPr bwMode="auto">
        <a:xfrm>
          <a:off x="4906011" y="19105244"/>
          <a:ext cx="344170" cy="227965"/>
        </a:xfrm>
        <a:prstGeom prst="rect">
          <a:avLst/>
        </a:prstGeom>
        <a:gradFill>
          <a:gsLst>
            <a:gs pos="0">
              <a:schemeClr val="accent1">
                <a:tint val="66000"/>
                <a:satMod val="160000"/>
                <a:alpha val="46000"/>
              </a:schemeClr>
            </a:gs>
            <a:gs pos="50000">
              <a:schemeClr val="accent1">
                <a:tint val="44500"/>
                <a:satMod val="160000"/>
              </a:schemeClr>
            </a:gs>
            <a:gs pos="100000">
              <a:schemeClr val="accent1">
                <a:tint val="23500"/>
                <a:satMod val="160000"/>
              </a:schemeClr>
            </a:gs>
          </a:gsLst>
          <a:lin ang="2700000" scaled="1"/>
        </a:gra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750570</xdr:colOff>
      <xdr:row>110</xdr:row>
      <xdr:rowOff>130810</xdr:rowOff>
    </xdr:from>
    <xdr:to>
      <xdr:col>5</xdr:col>
      <xdr:colOff>328930</xdr:colOff>
      <xdr:row>111</xdr:row>
      <xdr:rowOff>177165</xdr:rowOff>
    </xdr:to>
    <xdr:sp macro="" textlink="">
      <xdr:nvSpPr>
        <xdr:cNvPr id="60" name="Rectangle 59">
          <a:extLst>
            <a:ext uri="{FF2B5EF4-FFF2-40B4-BE49-F238E27FC236}">
              <a16:creationId xmlns:a16="http://schemas.microsoft.com/office/drawing/2014/main" id="{00000000-0008-0000-0100-00003C000000}"/>
            </a:ext>
          </a:extLst>
        </xdr:cNvPr>
        <xdr:cNvSpPr/>
      </xdr:nvSpPr>
      <xdr:spPr bwMode="auto">
        <a:xfrm>
          <a:off x="5360670" y="19104610"/>
          <a:ext cx="355600" cy="229235"/>
        </a:xfrm>
        <a:prstGeom prst="rect">
          <a:avLst/>
        </a:prstGeom>
        <a:solidFill>
          <a:schemeClr val="accent6">
            <a:lumMod val="60000"/>
            <a:lumOff val="4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351790</xdr:colOff>
      <xdr:row>110</xdr:row>
      <xdr:rowOff>147320</xdr:rowOff>
    </xdr:from>
    <xdr:to>
      <xdr:col>2</xdr:col>
      <xdr:colOff>825500</xdr:colOff>
      <xdr:row>110</xdr:row>
      <xdr:rowOff>148908</xdr:rowOff>
    </xdr:to>
    <xdr:cxnSp macro="">
      <xdr:nvCxnSpPr>
        <xdr:cNvPr id="65" name="Straight Arrow Connector 64">
          <a:extLst>
            <a:ext uri="{FF2B5EF4-FFF2-40B4-BE49-F238E27FC236}">
              <a16:creationId xmlns:a16="http://schemas.microsoft.com/office/drawing/2014/main" id="{00000000-0008-0000-0100-000041000000}"/>
            </a:ext>
          </a:extLst>
        </xdr:cNvPr>
        <xdr:cNvCxnSpPr/>
      </xdr:nvCxnSpPr>
      <xdr:spPr bwMode="auto">
        <a:xfrm>
          <a:off x="2950210" y="19121120"/>
          <a:ext cx="47371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2</xdr:col>
      <xdr:colOff>139517</xdr:colOff>
      <xdr:row>108</xdr:row>
      <xdr:rowOff>169453</xdr:rowOff>
    </xdr:from>
    <xdr:to>
      <xdr:col>2</xdr:col>
      <xdr:colOff>458470</xdr:colOff>
      <xdr:row>109</xdr:row>
      <xdr:rowOff>165099</xdr:rowOff>
    </xdr:to>
    <xdr:sp macro="" textlink="">
      <xdr:nvSpPr>
        <xdr:cNvPr id="66" name="TextBox 65">
          <a:extLst>
            <a:ext uri="{FF2B5EF4-FFF2-40B4-BE49-F238E27FC236}">
              <a16:creationId xmlns:a16="http://schemas.microsoft.com/office/drawing/2014/main" id="{00000000-0008-0000-0100-000042000000}"/>
            </a:ext>
          </a:extLst>
        </xdr:cNvPr>
        <xdr:cNvSpPr txBox="1"/>
      </xdr:nvSpPr>
      <xdr:spPr>
        <a:xfrm>
          <a:off x="2737937" y="1877749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650057</xdr:colOff>
      <xdr:row>109</xdr:row>
      <xdr:rowOff>1812</xdr:rowOff>
    </xdr:from>
    <xdr:to>
      <xdr:col>2</xdr:col>
      <xdr:colOff>939800</xdr:colOff>
      <xdr:row>110</xdr:row>
      <xdr:rowOff>10159</xdr:rowOff>
    </xdr:to>
    <xdr:sp macro="" textlink="">
      <xdr:nvSpPr>
        <xdr:cNvPr id="68" name="TextBox 67">
          <a:extLst>
            <a:ext uri="{FF2B5EF4-FFF2-40B4-BE49-F238E27FC236}">
              <a16:creationId xmlns:a16="http://schemas.microsoft.com/office/drawing/2014/main" id="{00000000-0008-0000-0100-000044000000}"/>
            </a:ext>
          </a:extLst>
        </xdr:cNvPr>
        <xdr:cNvSpPr txBox="1"/>
      </xdr:nvSpPr>
      <xdr:spPr>
        <a:xfrm>
          <a:off x="3248477" y="18792732"/>
          <a:ext cx="289743" cy="191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1</xdr:col>
      <xdr:colOff>1601470</xdr:colOff>
      <xdr:row>108</xdr:row>
      <xdr:rowOff>154940</xdr:rowOff>
    </xdr:from>
    <xdr:to>
      <xdr:col>2</xdr:col>
      <xdr:colOff>95250</xdr:colOff>
      <xdr:row>108</xdr:row>
      <xdr:rowOff>154940</xdr:rowOff>
    </xdr:to>
    <xdr:cxnSp macro="">
      <xdr:nvCxnSpPr>
        <xdr:cNvPr id="71" name="Straight Connector 70">
          <a:extLst>
            <a:ext uri="{FF2B5EF4-FFF2-40B4-BE49-F238E27FC236}">
              <a16:creationId xmlns:a16="http://schemas.microsoft.com/office/drawing/2014/main" id="{00000000-0008-0000-0100-000047000000}"/>
            </a:ext>
          </a:extLst>
        </xdr:cNvPr>
        <xdr:cNvCxnSpPr/>
      </xdr:nvCxnSpPr>
      <xdr:spPr bwMode="auto">
        <a:xfrm rot="10800000">
          <a:off x="2546350" y="1876298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1601470</xdr:colOff>
      <xdr:row>110</xdr:row>
      <xdr:rowOff>17780</xdr:rowOff>
    </xdr:from>
    <xdr:to>
      <xdr:col>2</xdr:col>
      <xdr:colOff>95250</xdr:colOff>
      <xdr:row>110</xdr:row>
      <xdr:rowOff>17780</xdr:rowOff>
    </xdr:to>
    <xdr:cxnSp macro="">
      <xdr:nvCxnSpPr>
        <xdr:cNvPr id="74" name="Straight Connector 73">
          <a:extLst>
            <a:ext uri="{FF2B5EF4-FFF2-40B4-BE49-F238E27FC236}">
              <a16:creationId xmlns:a16="http://schemas.microsoft.com/office/drawing/2014/main" id="{00000000-0008-0000-0100-00004A000000}"/>
            </a:ext>
          </a:extLst>
        </xdr:cNvPr>
        <xdr:cNvCxnSpPr/>
      </xdr:nvCxnSpPr>
      <xdr:spPr bwMode="auto">
        <a:xfrm rot="10800000">
          <a:off x="2546350" y="1899158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1066166</xdr:colOff>
      <xdr:row>110</xdr:row>
      <xdr:rowOff>43180</xdr:rowOff>
    </xdr:from>
    <xdr:to>
      <xdr:col>2</xdr:col>
      <xdr:colOff>1066166</xdr:colOff>
      <xdr:row>112</xdr:row>
      <xdr:rowOff>10159</xdr:rowOff>
    </xdr:to>
    <xdr:cxnSp macro="">
      <xdr:nvCxnSpPr>
        <xdr:cNvPr id="76" name="Straight Connector 75">
          <a:extLst>
            <a:ext uri="{FF2B5EF4-FFF2-40B4-BE49-F238E27FC236}">
              <a16:creationId xmlns:a16="http://schemas.microsoft.com/office/drawing/2014/main" id="{00000000-0008-0000-0100-00004C000000}"/>
            </a:ext>
          </a:extLst>
        </xdr:cNvPr>
        <xdr:cNvCxnSpPr/>
      </xdr:nvCxnSpPr>
      <xdr:spPr bwMode="auto">
        <a:xfrm rot="5400000">
          <a:off x="3498216" y="19183350"/>
          <a:ext cx="332739"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15716</xdr:colOff>
      <xdr:row>108</xdr:row>
      <xdr:rowOff>155734</xdr:rowOff>
    </xdr:from>
    <xdr:to>
      <xdr:col>2</xdr:col>
      <xdr:colOff>17304</xdr:colOff>
      <xdr:row>110</xdr:row>
      <xdr:rowOff>18574</xdr:rowOff>
    </xdr:to>
    <xdr:cxnSp macro="">
      <xdr:nvCxnSpPr>
        <xdr:cNvPr id="79" name="Straight Arrow Connector 78">
          <a:extLst>
            <a:ext uri="{FF2B5EF4-FFF2-40B4-BE49-F238E27FC236}">
              <a16:creationId xmlns:a16="http://schemas.microsoft.com/office/drawing/2014/main" id="{00000000-0008-0000-0100-00004F000000}"/>
            </a:ext>
          </a:extLst>
        </xdr:cNvPr>
        <xdr:cNvCxnSpPr/>
      </xdr:nvCxnSpPr>
      <xdr:spPr bwMode="auto">
        <a:xfrm rot="5400000">
          <a:off x="2500630" y="1887728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2</xdr:col>
      <xdr:colOff>598805</xdr:colOff>
      <xdr:row>111</xdr:row>
      <xdr:rowOff>154940</xdr:rowOff>
    </xdr:from>
    <xdr:to>
      <xdr:col>2</xdr:col>
      <xdr:colOff>1066800</xdr:colOff>
      <xdr:row>111</xdr:row>
      <xdr:rowOff>154942</xdr:rowOff>
    </xdr:to>
    <xdr:cxnSp macro="">
      <xdr:nvCxnSpPr>
        <xdr:cNvPr id="82" name="Straight Arrow Connector 81">
          <a:extLst>
            <a:ext uri="{FF2B5EF4-FFF2-40B4-BE49-F238E27FC236}">
              <a16:creationId xmlns:a16="http://schemas.microsoft.com/office/drawing/2014/main" id="{00000000-0008-0000-0100-000052000000}"/>
            </a:ext>
          </a:extLst>
        </xdr:cNvPr>
        <xdr:cNvCxnSpPr/>
      </xdr:nvCxnSpPr>
      <xdr:spPr bwMode="auto">
        <a:xfrm flipV="1">
          <a:off x="3197225" y="19311620"/>
          <a:ext cx="467995" cy="2"/>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1</xdr:col>
      <xdr:colOff>1439997</xdr:colOff>
      <xdr:row>108</xdr:row>
      <xdr:rowOff>179613</xdr:rowOff>
    </xdr:from>
    <xdr:to>
      <xdr:col>2</xdr:col>
      <xdr:colOff>105410</xdr:colOff>
      <xdr:row>109</xdr:row>
      <xdr:rowOff>175259</xdr:rowOff>
    </xdr:to>
    <xdr:sp macro="" textlink="">
      <xdr:nvSpPr>
        <xdr:cNvPr id="83" name="TextBox 82">
          <a:extLst>
            <a:ext uri="{FF2B5EF4-FFF2-40B4-BE49-F238E27FC236}">
              <a16:creationId xmlns:a16="http://schemas.microsoft.com/office/drawing/2014/main" id="{00000000-0008-0000-0100-000053000000}"/>
            </a:ext>
          </a:extLst>
        </xdr:cNvPr>
        <xdr:cNvSpPr txBox="1"/>
      </xdr:nvSpPr>
      <xdr:spPr>
        <a:xfrm>
          <a:off x="2384877" y="1878765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2</xdr:col>
      <xdr:colOff>253817</xdr:colOff>
      <xdr:row>110</xdr:row>
      <xdr:rowOff>161832</xdr:rowOff>
    </xdr:from>
    <xdr:to>
      <xdr:col>2</xdr:col>
      <xdr:colOff>572770</xdr:colOff>
      <xdr:row>112</xdr:row>
      <xdr:rowOff>1269</xdr:rowOff>
    </xdr:to>
    <xdr:sp macro="" textlink="">
      <xdr:nvSpPr>
        <xdr:cNvPr id="84" name="TextBox 83">
          <a:extLst>
            <a:ext uri="{FF2B5EF4-FFF2-40B4-BE49-F238E27FC236}">
              <a16:creationId xmlns:a16="http://schemas.microsoft.com/office/drawing/2014/main" id="{00000000-0008-0000-0100-000054000000}"/>
            </a:ext>
          </a:extLst>
        </xdr:cNvPr>
        <xdr:cNvSpPr txBox="1"/>
      </xdr:nvSpPr>
      <xdr:spPr>
        <a:xfrm>
          <a:off x="2852237" y="19623312"/>
          <a:ext cx="318953" cy="205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2</xdr:col>
      <xdr:colOff>678632</xdr:colOff>
      <xdr:row>110</xdr:row>
      <xdr:rowOff>161833</xdr:rowOff>
    </xdr:from>
    <xdr:to>
      <xdr:col>2</xdr:col>
      <xdr:colOff>997585</xdr:colOff>
      <xdr:row>112</xdr:row>
      <xdr:rowOff>1905</xdr:rowOff>
    </xdr:to>
    <xdr:sp macro="" textlink="">
      <xdr:nvSpPr>
        <xdr:cNvPr id="85" name="TextBox 84">
          <a:extLst>
            <a:ext uri="{FF2B5EF4-FFF2-40B4-BE49-F238E27FC236}">
              <a16:creationId xmlns:a16="http://schemas.microsoft.com/office/drawing/2014/main" id="{00000000-0008-0000-0100-000055000000}"/>
            </a:ext>
          </a:extLst>
        </xdr:cNvPr>
        <xdr:cNvSpPr txBox="1"/>
      </xdr:nvSpPr>
      <xdr:spPr>
        <a:xfrm>
          <a:off x="3277052" y="19623313"/>
          <a:ext cx="318953" cy="205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4</xdr:col>
      <xdr:colOff>640080</xdr:colOff>
      <xdr:row>110</xdr:row>
      <xdr:rowOff>131445</xdr:rowOff>
    </xdr:from>
    <xdr:to>
      <xdr:col>4</xdr:col>
      <xdr:colOff>750570</xdr:colOff>
      <xdr:row>111</xdr:row>
      <xdr:rowOff>177165</xdr:rowOff>
    </xdr:to>
    <xdr:sp macro="" textlink="">
      <xdr:nvSpPr>
        <xdr:cNvPr id="190" name="Rectangle 189">
          <a:extLst>
            <a:ext uri="{FF2B5EF4-FFF2-40B4-BE49-F238E27FC236}">
              <a16:creationId xmlns:a16="http://schemas.microsoft.com/office/drawing/2014/main" id="{00000000-0008-0000-0100-0000BE000000}"/>
            </a:ext>
          </a:extLst>
        </xdr:cNvPr>
        <xdr:cNvSpPr/>
      </xdr:nvSpPr>
      <xdr:spPr bwMode="auto">
        <a:xfrm>
          <a:off x="5250180" y="19105245"/>
          <a:ext cx="110490" cy="228600"/>
        </a:xfrm>
        <a:prstGeom prst="rect">
          <a:avLst/>
        </a:prstGeom>
        <a:solidFill>
          <a:schemeClr val="accent3">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129540</xdr:colOff>
      <xdr:row>110</xdr:row>
      <xdr:rowOff>133350</xdr:rowOff>
    </xdr:from>
    <xdr:to>
      <xdr:col>4</xdr:col>
      <xdr:colOff>276860</xdr:colOff>
      <xdr:row>110</xdr:row>
      <xdr:rowOff>133350</xdr:rowOff>
    </xdr:to>
    <xdr:cxnSp macro="">
      <xdr:nvCxnSpPr>
        <xdr:cNvPr id="206" name="Straight Connector 205">
          <a:extLst>
            <a:ext uri="{FF2B5EF4-FFF2-40B4-BE49-F238E27FC236}">
              <a16:creationId xmlns:a16="http://schemas.microsoft.com/office/drawing/2014/main" id="{00000000-0008-0000-0100-0000CE000000}"/>
            </a:ext>
          </a:extLst>
        </xdr:cNvPr>
        <xdr:cNvCxnSpPr/>
      </xdr:nvCxnSpPr>
      <xdr:spPr bwMode="auto">
        <a:xfrm rot="10800000">
          <a:off x="4739640" y="1910715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297183</xdr:colOff>
      <xdr:row>112</xdr:row>
      <xdr:rowOff>12697</xdr:rowOff>
    </xdr:from>
    <xdr:to>
      <xdr:col>4</xdr:col>
      <xdr:colOff>297183</xdr:colOff>
      <xdr:row>114</xdr:row>
      <xdr:rowOff>3</xdr:rowOff>
    </xdr:to>
    <xdr:cxnSp macro="">
      <xdr:nvCxnSpPr>
        <xdr:cNvPr id="207" name="Straight Connector 206">
          <a:extLst>
            <a:ext uri="{FF2B5EF4-FFF2-40B4-BE49-F238E27FC236}">
              <a16:creationId xmlns:a16="http://schemas.microsoft.com/office/drawing/2014/main" id="{00000000-0008-0000-0100-0000CF000000}"/>
            </a:ext>
          </a:extLst>
        </xdr:cNvPr>
        <xdr:cNvCxnSpPr/>
      </xdr:nvCxnSpPr>
      <xdr:spPr bwMode="auto">
        <a:xfrm rot="5400000">
          <a:off x="4730750" y="19528790"/>
          <a:ext cx="353066"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129540</xdr:colOff>
      <xdr:row>111</xdr:row>
      <xdr:rowOff>179070</xdr:rowOff>
    </xdr:from>
    <xdr:to>
      <xdr:col>4</xdr:col>
      <xdr:colOff>276860</xdr:colOff>
      <xdr:row>111</xdr:row>
      <xdr:rowOff>179070</xdr:rowOff>
    </xdr:to>
    <xdr:cxnSp macro="">
      <xdr:nvCxnSpPr>
        <xdr:cNvPr id="208" name="Straight Connector 207">
          <a:extLst>
            <a:ext uri="{FF2B5EF4-FFF2-40B4-BE49-F238E27FC236}">
              <a16:creationId xmlns:a16="http://schemas.microsoft.com/office/drawing/2014/main" id="{00000000-0008-0000-0100-0000D0000000}"/>
            </a:ext>
          </a:extLst>
        </xdr:cNvPr>
        <xdr:cNvCxnSpPr/>
      </xdr:nvCxnSpPr>
      <xdr:spPr bwMode="auto">
        <a:xfrm rot="10800000">
          <a:off x="4739640" y="1933575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751840</xdr:colOff>
      <xdr:row>112</xdr:row>
      <xdr:rowOff>13970</xdr:rowOff>
    </xdr:from>
    <xdr:to>
      <xdr:col>4</xdr:col>
      <xdr:colOff>751840</xdr:colOff>
      <xdr:row>112</xdr:row>
      <xdr:rowOff>144780</xdr:rowOff>
    </xdr:to>
    <xdr:cxnSp macro="">
      <xdr:nvCxnSpPr>
        <xdr:cNvPr id="209" name="Straight Connector 208">
          <a:extLst>
            <a:ext uri="{FF2B5EF4-FFF2-40B4-BE49-F238E27FC236}">
              <a16:creationId xmlns:a16="http://schemas.microsoft.com/office/drawing/2014/main" id="{00000000-0008-0000-0100-0000D1000000}"/>
            </a:ext>
          </a:extLst>
        </xdr:cNvPr>
        <xdr:cNvCxnSpPr/>
      </xdr:nvCxnSpPr>
      <xdr:spPr bwMode="auto">
        <a:xfrm rot="5400000">
          <a:off x="5296535" y="19418935"/>
          <a:ext cx="13081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5</xdr:col>
      <xdr:colOff>330838</xdr:colOff>
      <xdr:row>112</xdr:row>
      <xdr:rowOff>10157</xdr:rowOff>
    </xdr:from>
    <xdr:to>
      <xdr:col>5</xdr:col>
      <xdr:colOff>330838</xdr:colOff>
      <xdr:row>114</xdr:row>
      <xdr:rowOff>7623</xdr:rowOff>
    </xdr:to>
    <xdr:cxnSp macro="">
      <xdr:nvCxnSpPr>
        <xdr:cNvPr id="210" name="Straight Connector 209">
          <a:extLst>
            <a:ext uri="{FF2B5EF4-FFF2-40B4-BE49-F238E27FC236}">
              <a16:creationId xmlns:a16="http://schemas.microsoft.com/office/drawing/2014/main" id="{00000000-0008-0000-0100-0000D2000000}"/>
            </a:ext>
          </a:extLst>
        </xdr:cNvPr>
        <xdr:cNvCxnSpPr/>
      </xdr:nvCxnSpPr>
      <xdr:spPr bwMode="auto">
        <a:xfrm rot="5400000">
          <a:off x="5536565" y="19531330"/>
          <a:ext cx="363226"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197326</xdr:colOff>
      <xdr:row>110</xdr:row>
      <xdr:rowOff>134144</xdr:rowOff>
    </xdr:from>
    <xdr:to>
      <xdr:col>4</xdr:col>
      <xdr:colOff>198914</xdr:colOff>
      <xdr:row>111</xdr:row>
      <xdr:rowOff>179864</xdr:rowOff>
    </xdr:to>
    <xdr:cxnSp macro="">
      <xdr:nvCxnSpPr>
        <xdr:cNvPr id="211" name="Straight Arrow Connector 210">
          <a:extLst>
            <a:ext uri="{FF2B5EF4-FFF2-40B4-BE49-F238E27FC236}">
              <a16:creationId xmlns:a16="http://schemas.microsoft.com/office/drawing/2014/main" id="{00000000-0008-0000-0100-0000D3000000}"/>
            </a:ext>
          </a:extLst>
        </xdr:cNvPr>
        <xdr:cNvCxnSpPr/>
      </xdr:nvCxnSpPr>
      <xdr:spPr bwMode="auto">
        <a:xfrm rot="5400000">
          <a:off x="4693920" y="1922145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297180</xdr:colOff>
      <xdr:row>112</xdr:row>
      <xdr:rowOff>106680</xdr:rowOff>
    </xdr:from>
    <xdr:to>
      <xdr:col>4</xdr:col>
      <xdr:colOff>752475</xdr:colOff>
      <xdr:row>112</xdr:row>
      <xdr:rowOff>106682</xdr:rowOff>
    </xdr:to>
    <xdr:cxnSp macro="">
      <xdr:nvCxnSpPr>
        <xdr:cNvPr id="212" name="Straight Arrow Connector 211">
          <a:extLst>
            <a:ext uri="{FF2B5EF4-FFF2-40B4-BE49-F238E27FC236}">
              <a16:creationId xmlns:a16="http://schemas.microsoft.com/office/drawing/2014/main" id="{00000000-0008-0000-0100-0000D4000000}"/>
            </a:ext>
          </a:extLst>
        </xdr:cNvPr>
        <xdr:cNvCxnSpPr/>
      </xdr:nvCxnSpPr>
      <xdr:spPr bwMode="auto">
        <a:xfrm flipV="1">
          <a:off x="4907280" y="19446240"/>
          <a:ext cx="455295" cy="2"/>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640080</xdr:colOff>
      <xdr:row>112</xdr:row>
      <xdr:rowOff>179388</xdr:rowOff>
    </xdr:from>
    <xdr:to>
      <xdr:col>5</xdr:col>
      <xdr:colOff>327025</xdr:colOff>
      <xdr:row>112</xdr:row>
      <xdr:rowOff>180976</xdr:rowOff>
    </xdr:to>
    <xdr:cxnSp macro="">
      <xdr:nvCxnSpPr>
        <xdr:cNvPr id="213" name="Straight Arrow Connector 212">
          <a:extLst>
            <a:ext uri="{FF2B5EF4-FFF2-40B4-BE49-F238E27FC236}">
              <a16:creationId xmlns:a16="http://schemas.microsoft.com/office/drawing/2014/main" id="{00000000-0008-0000-0100-0000D5000000}"/>
            </a:ext>
          </a:extLst>
        </xdr:cNvPr>
        <xdr:cNvCxnSpPr/>
      </xdr:nvCxnSpPr>
      <xdr:spPr bwMode="auto">
        <a:xfrm>
          <a:off x="5250180" y="19518948"/>
          <a:ext cx="464185"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1723</xdr:colOff>
      <xdr:row>110</xdr:row>
      <xdr:rowOff>147228</xdr:rowOff>
    </xdr:from>
    <xdr:to>
      <xdr:col>4</xdr:col>
      <xdr:colOff>260985</xdr:colOff>
      <xdr:row>111</xdr:row>
      <xdr:rowOff>142874</xdr:rowOff>
    </xdr:to>
    <xdr:sp macro="" textlink="">
      <xdr:nvSpPr>
        <xdr:cNvPr id="214" name="TextBox 213">
          <a:extLst>
            <a:ext uri="{FF2B5EF4-FFF2-40B4-BE49-F238E27FC236}">
              <a16:creationId xmlns:a16="http://schemas.microsoft.com/office/drawing/2014/main" id="{00000000-0008-0000-0100-0000D6000000}"/>
            </a:ext>
          </a:extLst>
        </xdr:cNvPr>
        <xdr:cNvSpPr txBox="1"/>
      </xdr:nvSpPr>
      <xdr:spPr>
        <a:xfrm>
          <a:off x="4611823" y="19121028"/>
          <a:ext cx="259262"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4</xdr:col>
      <xdr:colOff>369387</xdr:colOff>
      <xdr:row>111</xdr:row>
      <xdr:rowOff>125003</xdr:rowOff>
    </xdr:from>
    <xdr:to>
      <xdr:col>4</xdr:col>
      <xdr:colOff>688340</xdr:colOff>
      <xdr:row>112</xdr:row>
      <xdr:rowOff>120649</xdr:rowOff>
    </xdr:to>
    <xdr:sp macro="" textlink="">
      <xdr:nvSpPr>
        <xdr:cNvPr id="215" name="TextBox 214">
          <a:extLst>
            <a:ext uri="{FF2B5EF4-FFF2-40B4-BE49-F238E27FC236}">
              <a16:creationId xmlns:a16="http://schemas.microsoft.com/office/drawing/2014/main" id="{00000000-0008-0000-0100-0000D7000000}"/>
            </a:ext>
          </a:extLst>
        </xdr:cNvPr>
        <xdr:cNvSpPr txBox="1"/>
      </xdr:nvSpPr>
      <xdr:spPr>
        <a:xfrm>
          <a:off x="4979487" y="1976936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4</xdr:col>
      <xdr:colOff>747847</xdr:colOff>
      <xdr:row>112</xdr:row>
      <xdr:rowOff>9433</xdr:rowOff>
    </xdr:from>
    <xdr:to>
      <xdr:col>5</xdr:col>
      <xdr:colOff>289560</xdr:colOff>
      <xdr:row>113</xdr:row>
      <xdr:rowOff>5079</xdr:rowOff>
    </xdr:to>
    <xdr:sp macro="" textlink="">
      <xdr:nvSpPr>
        <xdr:cNvPr id="216" name="TextBox 215">
          <a:extLst>
            <a:ext uri="{FF2B5EF4-FFF2-40B4-BE49-F238E27FC236}">
              <a16:creationId xmlns:a16="http://schemas.microsoft.com/office/drawing/2014/main" id="{00000000-0008-0000-0100-0000D8000000}"/>
            </a:ext>
          </a:extLst>
        </xdr:cNvPr>
        <xdr:cNvSpPr txBox="1"/>
      </xdr:nvSpPr>
      <xdr:spPr>
        <a:xfrm>
          <a:off x="5357947" y="1983667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4</xdr:col>
      <xdr:colOff>641350</xdr:colOff>
      <xdr:row>112</xdr:row>
      <xdr:rowOff>17780</xdr:rowOff>
    </xdr:from>
    <xdr:to>
      <xdr:col>4</xdr:col>
      <xdr:colOff>641350</xdr:colOff>
      <xdr:row>113</xdr:row>
      <xdr:rowOff>34290</xdr:rowOff>
    </xdr:to>
    <xdr:cxnSp macro="">
      <xdr:nvCxnSpPr>
        <xdr:cNvPr id="217" name="Straight Connector 216">
          <a:extLst>
            <a:ext uri="{FF2B5EF4-FFF2-40B4-BE49-F238E27FC236}">
              <a16:creationId xmlns:a16="http://schemas.microsoft.com/office/drawing/2014/main" id="{00000000-0008-0000-0100-0000D9000000}"/>
            </a:ext>
          </a:extLst>
        </xdr:cNvPr>
        <xdr:cNvCxnSpPr/>
      </xdr:nvCxnSpPr>
      <xdr:spPr bwMode="auto">
        <a:xfrm rot="5400000">
          <a:off x="5151755" y="19457035"/>
          <a:ext cx="19939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295275</xdr:colOff>
      <xdr:row>113</xdr:row>
      <xdr:rowOff>146368</xdr:rowOff>
    </xdr:from>
    <xdr:to>
      <xdr:col>5</xdr:col>
      <xdr:colOff>335280</xdr:colOff>
      <xdr:row>113</xdr:row>
      <xdr:rowOff>147956</xdr:rowOff>
    </xdr:to>
    <xdr:cxnSp macro="">
      <xdr:nvCxnSpPr>
        <xdr:cNvPr id="232" name="Straight Arrow Connector 231">
          <a:extLst>
            <a:ext uri="{FF2B5EF4-FFF2-40B4-BE49-F238E27FC236}">
              <a16:creationId xmlns:a16="http://schemas.microsoft.com/office/drawing/2014/main" id="{00000000-0008-0000-0100-0000E8000000}"/>
            </a:ext>
          </a:extLst>
        </xdr:cNvPr>
        <xdr:cNvCxnSpPr/>
      </xdr:nvCxnSpPr>
      <xdr:spPr bwMode="auto">
        <a:xfrm>
          <a:off x="4905375" y="19668808"/>
          <a:ext cx="817245"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490671</xdr:colOff>
      <xdr:row>112</xdr:row>
      <xdr:rowOff>150402</xdr:rowOff>
    </xdr:from>
    <xdr:to>
      <xdr:col>5</xdr:col>
      <xdr:colOff>234314</xdr:colOff>
      <xdr:row>113</xdr:row>
      <xdr:rowOff>182879</xdr:rowOff>
    </xdr:to>
    <xdr:sp macro="" textlink="">
      <xdr:nvSpPr>
        <xdr:cNvPr id="237" name="TextBox 236">
          <a:extLst>
            <a:ext uri="{FF2B5EF4-FFF2-40B4-BE49-F238E27FC236}">
              <a16:creationId xmlns:a16="http://schemas.microsoft.com/office/drawing/2014/main" id="{00000000-0008-0000-0100-0000ED000000}"/>
            </a:ext>
          </a:extLst>
        </xdr:cNvPr>
        <xdr:cNvSpPr txBox="1"/>
      </xdr:nvSpPr>
      <xdr:spPr>
        <a:xfrm>
          <a:off x="5100771" y="19489962"/>
          <a:ext cx="520883" cy="215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 (total)</a:t>
          </a:r>
          <a:r>
            <a:rPr lang="en-US" sz="700" baseline="0"/>
            <a:t> </a:t>
          </a:r>
        </a:p>
      </xdr:txBody>
    </xdr:sp>
    <xdr:clientData/>
  </xdr:twoCellAnchor>
  <xdr:twoCellAnchor>
    <xdr:from>
      <xdr:col>2</xdr:col>
      <xdr:colOff>116840</xdr:colOff>
      <xdr:row>112</xdr:row>
      <xdr:rowOff>102870</xdr:rowOff>
    </xdr:from>
    <xdr:to>
      <xdr:col>3</xdr:col>
      <xdr:colOff>167640</xdr:colOff>
      <xdr:row>114</xdr:row>
      <xdr:rowOff>114300</xdr:rowOff>
    </xdr:to>
    <xdr:sp macro="" textlink="">
      <xdr:nvSpPr>
        <xdr:cNvPr id="240" name="TextBox 239">
          <a:extLst>
            <a:ext uri="{FF2B5EF4-FFF2-40B4-BE49-F238E27FC236}">
              <a16:creationId xmlns:a16="http://schemas.microsoft.com/office/drawing/2014/main" id="{00000000-0008-0000-0100-0000F0000000}"/>
            </a:ext>
          </a:extLst>
        </xdr:cNvPr>
        <xdr:cNvSpPr txBox="1"/>
      </xdr:nvSpPr>
      <xdr:spPr>
        <a:xfrm>
          <a:off x="2715260" y="19442430"/>
          <a:ext cx="1148080"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1" u="sng"/>
            <a:t>Distributed Load</a:t>
          </a:r>
          <a:r>
            <a:rPr lang="en-US" sz="700" b="1" u="sng" baseline="0"/>
            <a:t> Area</a:t>
          </a:r>
        </a:p>
        <a:p>
          <a:r>
            <a:rPr lang="en-US" sz="700" b="0" u="none" baseline="0"/>
            <a:t>       (no overlapping)</a:t>
          </a:r>
          <a:endParaRPr lang="en-US" sz="700" b="0" u="none"/>
        </a:p>
      </xdr:txBody>
    </xdr:sp>
    <xdr:clientData/>
  </xdr:twoCellAnchor>
  <xdr:twoCellAnchor>
    <xdr:from>
      <xdr:col>3</xdr:col>
      <xdr:colOff>370840</xdr:colOff>
      <xdr:row>113</xdr:row>
      <xdr:rowOff>180340</xdr:rowOff>
    </xdr:from>
    <xdr:to>
      <xdr:col>7</xdr:col>
      <xdr:colOff>243840</xdr:colOff>
      <xdr:row>115</xdr:row>
      <xdr:rowOff>80010</xdr:rowOff>
    </xdr:to>
    <xdr:sp macro="" textlink="">
      <xdr:nvSpPr>
        <xdr:cNvPr id="241" name="TextBox 240">
          <a:extLst>
            <a:ext uri="{FF2B5EF4-FFF2-40B4-BE49-F238E27FC236}">
              <a16:creationId xmlns:a16="http://schemas.microsoft.com/office/drawing/2014/main" id="{00000000-0008-0000-0100-0000F1000000}"/>
            </a:ext>
          </a:extLst>
        </xdr:cNvPr>
        <xdr:cNvSpPr txBox="1"/>
      </xdr:nvSpPr>
      <xdr:spPr>
        <a:xfrm>
          <a:off x="4066540" y="20640040"/>
          <a:ext cx="2501900" cy="372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700" b="1" u="sng"/>
            <a:t>Wheel loads distributed  area</a:t>
          </a:r>
        </a:p>
        <a:p>
          <a:pPr marL="0" marR="0" indent="0" algn="ctr" defTabSz="914400" eaLnBrk="1" fontAlgn="auto" latinLnBrk="0" hangingPunct="1">
            <a:lnSpc>
              <a:spcPct val="100000"/>
            </a:lnSpc>
            <a:spcBef>
              <a:spcPts val="0"/>
            </a:spcBef>
            <a:spcAft>
              <a:spcPts val="0"/>
            </a:spcAft>
            <a:buClrTx/>
            <a:buSzTx/>
            <a:buFontTx/>
            <a:buNone/>
            <a:tabLst/>
            <a:defRPr/>
          </a:pPr>
          <a:r>
            <a:rPr lang="en-US" sz="700" b="0">
              <a:solidFill>
                <a:schemeClr val="dk1"/>
              </a:solidFill>
              <a:latin typeface="+mn-lt"/>
              <a:ea typeface="+mn-ea"/>
              <a:cs typeface="+mn-cs"/>
            </a:rPr>
            <a:t>(overlapping perpendicular to</a:t>
          </a:r>
          <a:r>
            <a:rPr lang="en-US" sz="700" b="0" baseline="0">
              <a:solidFill>
                <a:schemeClr val="dk1"/>
              </a:solidFill>
              <a:latin typeface="+mn-lt"/>
              <a:ea typeface="+mn-ea"/>
              <a:cs typeface="+mn-cs"/>
            </a:rPr>
            <a:t> the direction of travel</a:t>
          </a:r>
          <a:r>
            <a:rPr lang="en-US" sz="700" b="0">
              <a:solidFill>
                <a:schemeClr val="dk1"/>
              </a:solidFill>
              <a:latin typeface="+mn-lt"/>
              <a:ea typeface="+mn-ea"/>
              <a:cs typeface="+mn-cs"/>
            </a:rPr>
            <a:t>)</a:t>
          </a:r>
          <a:r>
            <a:rPr lang="en-US" sz="700" b="0" baseline="0">
              <a:solidFill>
                <a:schemeClr val="dk1"/>
              </a:solidFill>
              <a:latin typeface="+mn-lt"/>
              <a:ea typeface="+mn-ea"/>
              <a:cs typeface="+mn-cs"/>
            </a:rPr>
            <a:t> </a:t>
          </a:r>
          <a:endParaRPr lang="en-US" sz="700" b="0"/>
        </a:p>
        <a:p>
          <a:pPr algn="ctr"/>
          <a:endParaRPr lang="en-US" sz="700" b="1" u="none" baseline="0"/>
        </a:p>
      </xdr:txBody>
    </xdr:sp>
    <xdr:clientData/>
  </xdr:twoCellAnchor>
  <xdr:twoCellAnchor>
    <xdr:from>
      <xdr:col>4</xdr:col>
      <xdr:colOff>306070</xdr:colOff>
      <xdr:row>110</xdr:row>
      <xdr:rowOff>151130</xdr:rowOff>
    </xdr:from>
    <xdr:to>
      <xdr:col>4</xdr:col>
      <xdr:colOff>625023</xdr:colOff>
      <xdr:row>111</xdr:row>
      <xdr:rowOff>146776</xdr:rowOff>
    </xdr:to>
    <xdr:sp macro="" textlink="">
      <xdr:nvSpPr>
        <xdr:cNvPr id="242" name="TextBox 241">
          <a:extLst>
            <a:ext uri="{FF2B5EF4-FFF2-40B4-BE49-F238E27FC236}">
              <a16:creationId xmlns:a16="http://schemas.microsoft.com/office/drawing/2014/main" id="{00000000-0008-0000-0100-0000F2000000}"/>
            </a:ext>
          </a:extLst>
        </xdr:cNvPr>
        <xdr:cNvSpPr txBox="1"/>
      </xdr:nvSpPr>
      <xdr:spPr>
        <a:xfrm>
          <a:off x="4916170" y="19124930"/>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88900</xdr:colOff>
      <xdr:row>110</xdr:row>
      <xdr:rowOff>156210</xdr:rowOff>
    </xdr:from>
    <xdr:to>
      <xdr:col>5</xdr:col>
      <xdr:colOff>407853</xdr:colOff>
      <xdr:row>111</xdr:row>
      <xdr:rowOff>151856</xdr:rowOff>
    </xdr:to>
    <xdr:sp macro="" textlink="">
      <xdr:nvSpPr>
        <xdr:cNvPr id="243" name="TextBox 242">
          <a:extLst>
            <a:ext uri="{FF2B5EF4-FFF2-40B4-BE49-F238E27FC236}">
              <a16:creationId xmlns:a16="http://schemas.microsoft.com/office/drawing/2014/main" id="{00000000-0008-0000-0100-0000F3000000}"/>
            </a:ext>
          </a:extLst>
        </xdr:cNvPr>
        <xdr:cNvSpPr txBox="1"/>
      </xdr:nvSpPr>
      <xdr:spPr>
        <a:xfrm>
          <a:off x="5476240" y="19130010"/>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337821</xdr:colOff>
      <xdr:row>109</xdr:row>
      <xdr:rowOff>66040</xdr:rowOff>
    </xdr:from>
    <xdr:to>
      <xdr:col>2</xdr:col>
      <xdr:colOff>383540</xdr:colOff>
      <xdr:row>109</xdr:row>
      <xdr:rowOff>111759</xdr:rowOff>
    </xdr:to>
    <xdr:sp macro="" textlink="">
      <xdr:nvSpPr>
        <xdr:cNvPr id="244" name="Oval 243">
          <a:extLst>
            <a:ext uri="{FF2B5EF4-FFF2-40B4-BE49-F238E27FC236}">
              <a16:creationId xmlns:a16="http://schemas.microsoft.com/office/drawing/2014/main" id="{00000000-0008-0000-0100-0000F4000000}"/>
            </a:ext>
          </a:extLst>
        </xdr:cNvPr>
        <xdr:cNvSpPr/>
      </xdr:nvSpPr>
      <xdr:spPr bwMode="auto">
        <a:xfrm>
          <a:off x="2936241" y="1885696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805181</xdr:colOff>
      <xdr:row>109</xdr:row>
      <xdr:rowOff>66040</xdr:rowOff>
    </xdr:from>
    <xdr:to>
      <xdr:col>2</xdr:col>
      <xdr:colOff>850900</xdr:colOff>
      <xdr:row>109</xdr:row>
      <xdr:rowOff>111759</xdr:rowOff>
    </xdr:to>
    <xdr:sp macro="" textlink="">
      <xdr:nvSpPr>
        <xdr:cNvPr id="249" name="Oval 248">
          <a:extLst>
            <a:ext uri="{FF2B5EF4-FFF2-40B4-BE49-F238E27FC236}">
              <a16:creationId xmlns:a16="http://schemas.microsoft.com/office/drawing/2014/main" id="{00000000-0008-0000-0100-0000F9000000}"/>
            </a:ext>
          </a:extLst>
        </xdr:cNvPr>
        <xdr:cNvSpPr/>
      </xdr:nvSpPr>
      <xdr:spPr bwMode="auto">
        <a:xfrm>
          <a:off x="3403601" y="1885696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130810</xdr:colOff>
      <xdr:row>107</xdr:row>
      <xdr:rowOff>15240</xdr:rowOff>
    </xdr:from>
    <xdr:to>
      <xdr:col>2</xdr:col>
      <xdr:colOff>588010</xdr:colOff>
      <xdr:row>108</xdr:row>
      <xdr:rowOff>60960</xdr:rowOff>
    </xdr:to>
    <xdr:sp macro="" textlink="">
      <xdr:nvSpPr>
        <xdr:cNvPr id="250" name="Rectangle 249">
          <a:extLst>
            <a:ext uri="{FF2B5EF4-FFF2-40B4-BE49-F238E27FC236}">
              <a16:creationId xmlns:a16="http://schemas.microsoft.com/office/drawing/2014/main" id="{00000000-0008-0000-0100-0000FA000000}"/>
            </a:ext>
          </a:extLst>
        </xdr:cNvPr>
        <xdr:cNvSpPr/>
      </xdr:nvSpPr>
      <xdr:spPr bwMode="auto">
        <a:xfrm>
          <a:off x="2729230" y="18440400"/>
          <a:ext cx="457200" cy="228600"/>
        </a:xfrm>
        <a:prstGeom prst="rect">
          <a:avLst/>
        </a:prstGeom>
        <a:solidFill>
          <a:schemeClr val="accent1">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605155</xdr:colOff>
      <xdr:row>107</xdr:row>
      <xdr:rowOff>15240</xdr:rowOff>
    </xdr:from>
    <xdr:to>
      <xdr:col>2</xdr:col>
      <xdr:colOff>1062355</xdr:colOff>
      <xdr:row>108</xdr:row>
      <xdr:rowOff>60960</xdr:rowOff>
    </xdr:to>
    <xdr:sp macro="" textlink="">
      <xdr:nvSpPr>
        <xdr:cNvPr id="251" name="Rectangle 250">
          <a:extLst>
            <a:ext uri="{FF2B5EF4-FFF2-40B4-BE49-F238E27FC236}">
              <a16:creationId xmlns:a16="http://schemas.microsoft.com/office/drawing/2014/main" id="{00000000-0008-0000-0100-0000FB000000}"/>
            </a:ext>
          </a:extLst>
        </xdr:cNvPr>
        <xdr:cNvSpPr/>
      </xdr:nvSpPr>
      <xdr:spPr bwMode="auto">
        <a:xfrm>
          <a:off x="3203575" y="18440400"/>
          <a:ext cx="457200" cy="228600"/>
        </a:xfrm>
        <a:prstGeom prst="rect">
          <a:avLst/>
        </a:prstGeom>
        <a:solidFill>
          <a:schemeClr val="accent6">
            <a:lumMod val="60000"/>
            <a:lumOff val="4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134437</xdr:colOff>
      <xdr:row>107</xdr:row>
      <xdr:rowOff>34833</xdr:rowOff>
    </xdr:from>
    <xdr:to>
      <xdr:col>2</xdr:col>
      <xdr:colOff>453390</xdr:colOff>
      <xdr:row>108</xdr:row>
      <xdr:rowOff>30479</xdr:rowOff>
    </xdr:to>
    <xdr:sp macro="" textlink="">
      <xdr:nvSpPr>
        <xdr:cNvPr id="252" name="TextBox 251">
          <a:extLst>
            <a:ext uri="{FF2B5EF4-FFF2-40B4-BE49-F238E27FC236}">
              <a16:creationId xmlns:a16="http://schemas.microsoft.com/office/drawing/2014/main" id="{00000000-0008-0000-0100-0000FC000000}"/>
            </a:ext>
          </a:extLst>
        </xdr:cNvPr>
        <xdr:cNvSpPr txBox="1"/>
      </xdr:nvSpPr>
      <xdr:spPr>
        <a:xfrm>
          <a:off x="2732857" y="1845999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624657</xdr:colOff>
      <xdr:row>107</xdr:row>
      <xdr:rowOff>17052</xdr:rowOff>
    </xdr:from>
    <xdr:to>
      <xdr:col>2</xdr:col>
      <xdr:colOff>914400</xdr:colOff>
      <xdr:row>108</xdr:row>
      <xdr:rowOff>25399</xdr:rowOff>
    </xdr:to>
    <xdr:sp macro="" textlink="">
      <xdr:nvSpPr>
        <xdr:cNvPr id="253" name="TextBox 252">
          <a:extLst>
            <a:ext uri="{FF2B5EF4-FFF2-40B4-BE49-F238E27FC236}">
              <a16:creationId xmlns:a16="http://schemas.microsoft.com/office/drawing/2014/main" id="{00000000-0008-0000-0100-0000FD000000}"/>
            </a:ext>
          </a:extLst>
        </xdr:cNvPr>
        <xdr:cNvSpPr txBox="1"/>
      </xdr:nvSpPr>
      <xdr:spPr>
        <a:xfrm>
          <a:off x="3223077" y="18442212"/>
          <a:ext cx="289743" cy="191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335281</xdr:colOff>
      <xdr:row>107</xdr:row>
      <xdr:rowOff>111760</xdr:rowOff>
    </xdr:from>
    <xdr:to>
      <xdr:col>2</xdr:col>
      <xdr:colOff>381000</xdr:colOff>
      <xdr:row>107</xdr:row>
      <xdr:rowOff>157479</xdr:rowOff>
    </xdr:to>
    <xdr:sp macro="" textlink="">
      <xdr:nvSpPr>
        <xdr:cNvPr id="254" name="Oval 253">
          <a:extLst>
            <a:ext uri="{FF2B5EF4-FFF2-40B4-BE49-F238E27FC236}">
              <a16:creationId xmlns:a16="http://schemas.microsoft.com/office/drawing/2014/main" id="{00000000-0008-0000-0100-0000FE000000}"/>
            </a:ext>
          </a:extLst>
        </xdr:cNvPr>
        <xdr:cNvSpPr/>
      </xdr:nvSpPr>
      <xdr:spPr bwMode="auto">
        <a:xfrm>
          <a:off x="2933701" y="1853692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802641</xdr:colOff>
      <xdr:row>107</xdr:row>
      <xdr:rowOff>111760</xdr:rowOff>
    </xdr:from>
    <xdr:to>
      <xdr:col>2</xdr:col>
      <xdr:colOff>848360</xdr:colOff>
      <xdr:row>107</xdr:row>
      <xdr:rowOff>157479</xdr:rowOff>
    </xdr:to>
    <xdr:sp macro="" textlink="">
      <xdr:nvSpPr>
        <xdr:cNvPr id="255" name="Oval 254">
          <a:extLst>
            <a:ext uri="{FF2B5EF4-FFF2-40B4-BE49-F238E27FC236}">
              <a16:creationId xmlns:a16="http://schemas.microsoft.com/office/drawing/2014/main" id="{00000000-0008-0000-0100-0000FF000000}"/>
            </a:ext>
          </a:extLst>
        </xdr:cNvPr>
        <xdr:cNvSpPr/>
      </xdr:nvSpPr>
      <xdr:spPr bwMode="auto">
        <a:xfrm>
          <a:off x="3401061" y="1853692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353060</xdr:colOff>
      <xdr:row>109</xdr:row>
      <xdr:rowOff>149861</xdr:rowOff>
    </xdr:from>
    <xdr:to>
      <xdr:col>2</xdr:col>
      <xdr:colOff>353062</xdr:colOff>
      <xdr:row>111</xdr:row>
      <xdr:rowOff>43183</xdr:rowOff>
    </xdr:to>
    <xdr:cxnSp macro="">
      <xdr:nvCxnSpPr>
        <xdr:cNvPr id="257" name="Straight Connector 256">
          <a:extLst>
            <a:ext uri="{FF2B5EF4-FFF2-40B4-BE49-F238E27FC236}">
              <a16:creationId xmlns:a16="http://schemas.microsoft.com/office/drawing/2014/main" id="{00000000-0008-0000-0100-000001010000}"/>
            </a:ext>
          </a:extLst>
        </xdr:cNvPr>
        <xdr:cNvCxnSpPr/>
      </xdr:nvCxnSpPr>
      <xdr:spPr bwMode="auto">
        <a:xfrm rot="5400000">
          <a:off x="2821940" y="19070321"/>
          <a:ext cx="259082" cy="2"/>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825500</xdr:colOff>
      <xdr:row>109</xdr:row>
      <xdr:rowOff>154942</xdr:rowOff>
    </xdr:from>
    <xdr:to>
      <xdr:col>2</xdr:col>
      <xdr:colOff>828040</xdr:colOff>
      <xdr:row>111</xdr:row>
      <xdr:rowOff>40640</xdr:rowOff>
    </xdr:to>
    <xdr:cxnSp macro="">
      <xdr:nvCxnSpPr>
        <xdr:cNvPr id="261" name="Straight Connector 260">
          <a:extLst>
            <a:ext uri="{FF2B5EF4-FFF2-40B4-BE49-F238E27FC236}">
              <a16:creationId xmlns:a16="http://schemas.microsoft.com/office/drawing/2014/main" id="{00000000-0008-0000-0100-000005010000}"/>
            </a:ext>
          </a:extLst>
        </xdr:cNvPr>
        <xdr:cNvCxnSpPr/>
      </xdr:nvCxnSpPr>
      <xdr:spPr bwMode="auto">
        <a:xfrm rot="16200000" flipH="1">
          <a:off x="3299461" y="19070321"/>
          <a:ext cx="251458" cy="254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393517</xdr:colOff>
      <xdr:row>109</xdr:row>
      <xdr:rowOff>171993</xdr:rowOff>
    </xdr:from>
    <xdr:to>
      <xdr:col>3</xdr:col>
      <xdr:colOff>88900</xdr:colOff>
      <xdr:row>110</xdr:row>
      <xdr:rowOff>167639</xdr:rowOff>
    </xdr:to>
    <xdr:sp macro="" textlink="">
      <xdr:nvSpPr>
        <xdr:cNvPr id="69" name="TextBox 68">
          <a:extLst>
            <a:ext uri="{FF2B5EF4-FFF2-40B4-BE49-F238E27FC236}">
              <a16:creationId xmlns:a16="http://schemas.microsoft.com/office/drawing/2014/main" id="{00000000-0008-0000-0100-000045000000}"/>
            </a:ext>
          </a:extLst>
        </xdr:cNvPr>
        <xdr:cNvSpPr txBox="1"/>
      </xdr:nvSpPr>
      <xdr:spPr>
        <a:xfrm>
          <a:off x="2991937" y="18962913"/>
          <a:ext cx="79266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Wheel Spacing</a:t>
          </a:r>
        </a:p>
      </xdr:txBody>
    </xdr:sp>
    <xdr:clientData/>
  </xdr:twoCellAnchor>
  <xdr:twoCellAnchor>
    <xdr:from>
      <xdr:col>1</xdr:col>
      <xdr:colOff>1614170</xdr:colOff>
      <xdr:row>107</xdr:row>
      <xdr:rowOff>15240</xdr:rowOff>
    </xdr:from>
    <xdr:to>
      <xdr:col>2</xdr:col>
      <xdr:colOff>107950</xdr:colOff>
      <xdr:row>107</xdr:row>
      <xdr:rowOff>15240</xdr:rowOff>
    </xdr:to>
    <xdr:cxnSp macro="">
      <xdr:nvCxnSpPr>
        <xdr:cNvPr id="263" name="Straight Connector 262">
          <a:extLst>
            <a:ext uri="{FF2B5EF4-FFF2-40B4-BE49-F238E27FC236}">
              <a16:creationId xmlns:a16="http://schemas.microsoft.com/office/drawing/2014/main" id="{00000000-0008-0000-0100-000007010000}"/>
            </a:ext>
          </a:extLst>
        </xdr:cNvPr>
        <xdr:cNvCxnSpPr/>
      </xdr:nvCxnSpPr>
      <xdr:spPr bwMode="auto">
        <a:xfrm rot="10800000">
          <a:off x="2559050" y="1844040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1614170</xdr:colOff>
      <xdr:row>108</xdr:row>
      <xdr:rowOff>60960</xdr:rowOff>
    </xdr:from>
    <xdr:to>
      <xdr:col>2</xdr:col>
      <xdr:colOff>107950</xdr:colOff>
      <xdr:row>108</xdr:row>
      <xdr:rowOff>60960</xdr:rowOff>
    </xdr:to>
    <xdr:cxnSp macro="">
      <xdr:nvCxnSpPr>
        <xdr:cNvPr id="264" name="Straight Connector 263">
          <a:extLst>
            <a:ext uri="{FF2B5EF4-FFF2-40B4-BE49-F238E27FC236}">
              <a16:creationId xmlns:a16="http://schemas.microsoft.com/office/drawing/2014/main" id="{00000000-0008-0000-0100-000008010000}"/>
            </a:ext>
          </a:extLst>
        </xdr:cNvPr>
        <xdr:cNvCxnSpPr/>
      </xdr:nvCxnSpPr>
      <xdr:spPr bwMode="auto">
        <a:xfrm rot="10800000">
          <a:off x="2559050" y="1866900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1434917</xdr:colOff>
      <xdr:row>107</xdr:row>
      <xdr:rowOff>29753</xdr:rowOff>
    </xdr:from>
    <xdr:to>
      <xdr:col>2</xdr:col>
      <xdr:colOff>100330</xdr:colOff>
      <xdr:row>108</xdr:row>
      <xdr:rowOff>25399</xdr:rowOff>
    </xdr:to>
    <xdr:sp macro="" textlink="">
      <xdr:nvSpPr>
        <xdr:cNvPr id="265" name="TextBox 264">
          <a:extLst>
            <a:ext uri="{FF2B5EF4-FFF2-40B4-BE49-F238E27FC236}">
              <a16:creationId xmlns:a16="http://schemas.microsoft.com/office/drawing/2014/main" id="{00000000-0008-0000-0100-000009010000}"/>
            </a:ext>
          </a:extLst>
        </xdr:cNvPr>
        <xdr:cNvSpPr txBox="1"/>
      </xdr:nvSpPr>
      <xdr:spPr>
        <a:xfrm>
          <a:off x="2379797" y="1845491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2</xdr:col>
      <xdr:colOff>13176</xdr:colOff>
      <xdr:row>107</xdr:row>
      <xdr:rowOff>16034</xdr:rowOff>
    </xdr:from>
    <xdr:to>
      <xdr:col>2</xdr:col>
      <xdr:colOff>14764</xdr:colOff>
      <xdr:row>108</xdr:row>
      <xdr:rowOff>61754</xdr:rowOff>
    </xdr:to>
    <xdr:cxnSp macro="">
      <xdr:nvCxnSpPr>
        <xdr:cNvPr id="266" name="Straight Arrow Connector 265">
          <a:extLst>
            <a:ext uri="{FF2B5EF4-FFF2-40B4-BE49-F238E27FC236}">
              <a16:creationId xmlns:a16="http://schemas.microsoft.com/office/drawing/2014/main" id="{00000000-0008-0000-0100-00000A010000}"/>
            </a:ext>
          </a:extLst>
        </xdr:cNvPr>
        <xdr:cNvCxnSpPr/>
      </xdr:nvCxnSpPr>
      <xdr:spPr bwMode="auto">
        <a:xfrm rot="5400000">
          <a:off x="2498090" y="1855470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2</xdr:col>
      <xdr:colOff>871220</xdr:colOff>
      <xdr:row>107</xdr:row>
      <xdr:rowOff>134620</xdr:rowOff>
    </xdr:from>
    <xdr:to>
      <xdr:col>3</xdr:col>
      <xdr:colOff>172720</xdr:colOff>
      <xdr:row>107</xdr:row>
      <xdr:rowOff>134620</xdr:rowOff>
    </xdr:to>
    <xdr:cxnSp macro="">
      <xdr:nvCxnSpPr>
        <xdr:cNvPr id="268" name="Straight Connector 267">
          <a:extLst>
            <a:ext uri="{FF2B5EF4-FFF2-40B4-BE49-F238E27FC236}">
              <a16:creationId xmlns:a16="http://schemas.microsoft.com/office/drawing/2014/main" id="{00000000-0008-0000-0100-00000C010000}"/>
            </a:ext>
          </a:extLst>
        </xdr:cNvPr>
        <xdr:cNvCxnSpPr/>
      </xdr:nvCxnSpPr>
      <xdr:spPr bwMode="auto">
        <a:xfrm>
          <a:off x="3469640" y="18559780"/>
          <a:ext cx="39878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868680</xdr:colOff>
      <xdr:row>109</xdr:row>
      <xdr:rowOff>86360</xdr:rowOff>
    </xdr:from>
    <xdr:to>
      <xdr:col>3</xdr:col>
      <xdr:colOff>160020</xdr:colOff>
      <xdr:row>109</xdr:row>
      <xdr:rowOff>86360</xdr:rowOff>
    </xdr:to>
    <xdr:cxnSp macro="">
      <xdr:nvCxnSpPr>
        <xdr:cNvPr id="270" name="Straight Connector 269">
          <a:extLst>
            <a:ext uri="{FF2B5EF4-FFF2-40B4-BE49-F238E27FC236}">
              <a16:creationId xmlns:a16="http://schemas.microsoft.com/office/drawing/2014/main" id="{00000000-0008-0000-0100-00000E010000}"/>
            </a:ext>
          </a:extLst>
        </xdr:cNvPr>
        <xdr:cNvCxnSpPr/>
      </xdr:nvCxnSpPr>
      <xdr:spPr bwMode="auto">
        <a:xfrm>
          <a:off x="3467100" y="18877280"/>
          <a:ext cx="3886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3</xdr:col>
      <xdr:colOff>105886</xdr:colOff>
      <xdr:row>107</xdr:row>
      <xdr:rowOff>135414</xdr:rowOff>
    </xdr:from>
    <xdr:to>
      <xdr:col>3</xdr:col>
      <xdr:colOff>107474</xdr:colOff>
      <xdr:row>109</xdr:row>
      <xdr:rowOff>87154</xdr:rowOff>
    </xdr:to>
    <xdr:cxnSp macro="">
      <xdr:nvCxnSpPr>
        <xdr:cNvPr id="272" name="Straight Arrow Connector 271">
          <a:extLst>
            <a:ext uri="{FF2B5EF4-FFF2-40B4-BE49-F238E27FC236}">
              <a16:creationId xmlns:a16="http://schemas.microsoft.com/office/drawing/2014/main" id="{00000000-0008-0000-0100-000010010000}"/>
            </a:ext>
          </a:extLst>
        </xdr:cNvPr>
        <xdr:cNvCxnSpPr/>
      </xdr:nvCxnSpPr>
      <xdr:spPr bwMode="auto">
        <a:xfrm rot="5400000">
          <a:off x="3643630" y="18718530"/>
          <a:ext cx="3175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3</xdr:col>
      <xdr:colOff>218257</xdr:colOff>
      <xdr:row>106</xdr:row>
      <xdr:rowOff>50072</xdr:rowOff>
    </xdr:from>
    <xdr:to>
      <xdr:col>3</xdr:col>
      <xdr:colOff>853440</xdr:colOff>
      <xdr:row>108</xdr:row>
      <xdr:rowOff>15239</xdr:rowOff>
    </xdr:to>
    <xdr:sp macro="" textlink="">
      <xdr:nvSpPr>
        <xdr:cNvPr id="275" name="TextBox 274">
          <a:extLst>
            <a:ext uri="{FF2B5EF4-FFF2-40B4-BE49-F238E27FC236}">
              <a16:creationId xmlns:a16="http://schemas.microsoft.com/office/drawing/2014/main" id="{00000000-0008-0000-0100-000013010000}"/>
            </a:ext>
          </a:extLst>
        </xdr:cNvPr>
        <xdr:cNvSpPr txBox="1"/>
      </xdr:nvSpPr>
      <xdr:spPr>
        <a:xfrm>
          <a:off x="3913957" y="18780032"/>
          <a:ext cx="635183" cy="330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S</a:t>
          </a:r>
          <a:r>
            <a:rPr lang="en-US" sz="900" baseline="-25000"/>
            <a:t>axle</a:t>
          </a:r>
        </a:p>
      </xdr:txBody>
    </xdr:sp>
    <xdr:clientData/>
  </xdr:twoCellAnchor>
  <xdr:twoCellAnchor>
    <xdr:from>
      <xdr:col>3</xdr:col>
      <xdr:colOff>106680</xdr:colOff>
      <xdr:row>107</xdr:row>
      <xdr:rowOff>66040</xdr:rowOff>
    </xdr:from>
    <xdr:to>
      <xdr:col>3</xdr:col>
      <xdr:colOff>251460</xdr:colOff>
      <xdr:row>108</xdr:row>
      <xdr:rowOff>116840</xdr:rowOff>
    </xdr:to>
    <xdr:cxnSp macro="">
      <xdr:nvCxnSpPr>
        <xdr:cNvPr id="277" name="Straight Connector 276">
          <a:extLst>
            <a:ext uri="{FF2B5EF4-FFF2-40B4-BE49-F238E27FC236}">
              <a16:creationId xmlns:a16="http://schemas.microsoft.com/office/drawing/2014/main" id="{00000000-0008-0000-0100-000015010000}"/>
            </a:ext>
          </a:extLst>
        </xdr:cNvPr>
        <xdr:cNvCxnSpPr/>
      </xdr:nvCxnSpPr>
      <xdr:spPr bwMode="auto">
        <a:xfrm rot="5400000" flipH="1" flipV="1">
          <a:off x="3757930" y="18535650"/>
          <a:ext cx="233680" cy="14478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3</xdr:col>
      <xdr:colOff>251460</xdr:colOff>
      <xdr:row>107</xdr:row>
      <xdr:rowOff>66040</xdr:rowOff>
    </xdr:from>
    <xdr:to>
      <xdr:col>3</xdr:col>
      <xdr:colOff>533400</xdr:colOff>
      <xdr:row>107</xdr:row>
      <xdr:rowOff>66040</xdr:rowOff>
    </xdr:to>
    <xdr:cxnSp macro="">
      <xdr:nvCxnSpPr>
        <xdr:cNvPr id="279" name="Straight Connector 278">
          <a:extLst>
            <a:ext uri="{FF2B5EF4-FFF2-40B4-BE49-F238E27FC236}">
              <a16:creationId xmlns:a16="http://schemas.microsoft.com/office/drawing/2014/main" id="{00000000-0008-0000-0100-000017010000}"/>
            </a:ext>
          </a:extLst>
        </xdr:cNvPr>
        <xdr:cNvCxnSpPr/>
      </xdr:nvCxnSpPr>
      <xdr:spPr bwMode="auto">
        <a:xfrm>
          <a:off x="3947160" y="18978880"/>
          <a:ext cx="28194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130813</xdr:colOff>
      <xdr:row>110</xdr:row>
      <xdr:rowOff>43179</xdr:rowOff>
    </xdr:from>
    <xdr:to>
      <xdr:col>2</xdr:col>
      <xdr:colOff>130813</xdr:colOff>
      <xdr:row>112</xdr:row>
      <xdr:rowOff>35562</xdr:rowOff>
    </xdr:to>
    <xdr:cxnSp macro="">
      <xdr:nvCxnSpPr>
        <xdr:cNvPr id="282" name="Straight Connector 281">
          <a:extLst>
            <a:ext uri="{FF2B5EF4-FFF2-40B4-BE49-F238E27FC236}">
              <a16:creationId xmlns:a16="http://schemas.microsoft.com/office/drawing/2014/main" id="{00000000-0008-0000-0100-00001A010000}"/>
            </a:ext>
          </a:extLst>
        </xdr:cNvPr>
        <xdr:cNvCxnSpPr/>
      </xdr:nvCxnSpPr>
      <xdr:spPr bwMode="auto">
        <a:xfrm rot="5400000">
          <a:off x="2550161" y="19196051"/>
          <a:ext cx="358143"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585471</xdr:colOff>
      <xdr:row>110</xdr:row>
      <xdr:rowOff>149860</xdr:rowOff>
    </xdr:from>
    <xdr:to>
      <xdr:col>2</xdr:col>
      <xdr:colOff>585471</xdr:colOff>
      <xdr:row>112</xdr:row>
      <xdr:rowOff>20319</xdr:rowOff>
    </xdr:to>
    <xdr:cxnSp macro="">
      <xdr:nvCxnSpPr>
        <xdr:cNvPr id="283" name="Straight Connector 282">
          <a:extLst>
            <a:ext uri="{FF2B5EF4-FFF2-40B4-BE49-F238E27FC236}">
              <a16:creationId xmlns:a16="http://schemas.microsoft.com/office/drawing/2014/main" id="{00000000-0008-0000-0100-00001B010000}"/>
            </a:ext>
          </a:extLst>
        </xdr:cNvPr>
        <xdr:cNvCxnSpPr/>
      </xdr:nvCxnSpPr>
      <xdr:spPr bwMode="auto">
        <a:xfrm rot="5400000">
          <a:off x="3065781" y="19241770"/>
          <a:ext cx="236219"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130810</xdr:colOff>
      <xdr:row>111</xdr:row>
      <xdr:rowOff>152401</xdr:rowOff>
    </xdr:from>
    <xdr:to>
      <xdr:col>2</xdr:col>
      <xdr:colOff>586105</xdr:colOff>
      <xdr:row>111</xdr:row>
      <xdr:rowOff>152403</xdr:rowOff>
    </xdr:to>
    <xdr:cxnSp macro="">
      <xdr:nvCxnSpPr>
        <xdr:cNvPr id="284" name="Straight Arrow Connector 283">
          <a:extLst>
            <a:ext uri="{FF2B5EF4-FFF2-40B4-BE49-F238E27FC236}">
              <a16:creationId xmlns:a16="http://schemas.microsoft.com/office/drawing/2014/main" id="{00000000-0008-0000-0100-00001C010000}"/>
            </a:ext>
          </a:extLst>
        </xdr:cNvPr>
        <xdr:cNvCxnSpPr/>
      </xdr:nvCxnSpPr>
      <xdr:spPr bwMode="auto">
        <a:xfrm flipV="1">
          <a:off x="2729230" y="19309081"/>
          <a:ext cx="455295" cy="2"/>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2</xdr:col>
      <xdr:colOff>606425</xdr:colOff>
      <xdr:row>110</xdr:row>
      <xdr:rowOff>151766</xdr:rowOff>
    </xdr:from>
    <xdr:to>
      <xdr:col>2</xdr:col>
      <xdr:colOff>606425</xdr:colOff>
      <xdr:row>112</xdr:row>
      <xdr:rowOff>22860</xdr:rowOff>
    </xdr:to>
    <xdr:cxnSp macro="">
      <xdr:nvCxnSpPr>
        <xdr:cNvPr id="285" name="Straight Connector 284">
          <a:extLst>
            <a:ext uri="{FF2B5EF4-FFF2-40B4-BE49-F238E27FC236}">
              <a16:creationId xmlns:a16="http://schemas.microsoft.com/office/drawing/2014/main" id="{00000000-0008-0000-0100-00001D010000}"/>
            </a:ext>
          </a:extLst>
        </xdr:cNvPr>
        <xdr:cNvCxnSpPr/>
      </xdr:nvCxnSpPr>
      <xdr:spPr bwMode="auto">
        <a:xfrm rot="5400000">
          <a:off x="3086418" y="19243993"/>
          <a:ext cx="236854"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488951</xdr:colOff>
      <xdr:row>111</xdr:row>
      <xdr:rowOff>39370</xdr:rowOff>
    </xdr:from>
    <xdr:to>
      <xdr:col>4</xdr:col>
      <xdr:colOff>534670</xdr:colOff>
      <xdr:row>111</xdr:row>
      <xdr:rowOff>85089</xdr:rowOff>
    </xdr:to>
    <xdr:sp macro="" textlink="">
      <xdr:nvSpPr>
        <xdr:cNvPr id="379" name="Oval 378">
          <a:extLst>
            <a:ext uri="{FF2B5EF4-FFF2-40B4-BE49-F238E27FC236}">
              <a16:creationId xmlns:a16="http://schemas.microsoft.com/office/drawing/2014/main" id="{00000000-0008-0000-0100-00007B010000}"/>
            </a:ext>
          </a:extLst>
        </xdr:cNvPr>
        <xdr:cNvSpPr/>
      </xdr:nvSpPr>
      <xdr:spPr bwMode="auto">
        <a:xfrm>
          <a:off x="5099051" y="1919605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5</xdr:col>
      <xdr:colOff>82551</xdr:colOff>
      <xdr:row>111</xdr:row>
      <xdr:rowOff>39370</xdr:rowOff>
    </xdr:from>
    <xdr:to>
      <xdr:col>5</xdr:col>
      <xdr:colOff>128270</xdr:colOff>
      <xdr:row>111</xdr:row>
      <xdr:rowOff>85089</xdr:rowOff>
    </xdr:to>
    <xdr:sp macro="" textlink="">
      <xdr:nvSpPr>
        <xdr:cNvPr id="381" name="Oval 380">
          <a:extLst>
            <a:ext uri="{FF2B5EF4-FFF2-40B4-BE49-F238E27FC236}">
              <a16:creationId xmlns:a16="http://schemas.microsoft.com/office/drawing/2014/main" id="{00000000-0008-0000-0100-00007D010000}"/>
            </a:ext>
          </a:extLst>
        </xdr:cNvPr>
        <xdr:cNvSpPr/>
      </xdr:nvSpPr>
      <xdr:spPr bwMode="auto">
        <a:xfrm>
          <a:off x="5469891" y="1919605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631007</xdr:colOff>
      <xdr:row>106</xdr:row>
      <xdr:rowOff>36103</xdr:rowOff>
    </xdr:from>
    <xdr:to>
      <xdr:col>5</xdr:col>
      <xdr:colOff>172720</xdr:colOff>
      <xdr:row>107</xdr:row>
      <xdr:rowOff>31749</xdr:rowOff>
    </xdr:to>
    <xdr:sp macro="" textlink="">
      <xdr:nvSpPr>
        <xdr:cNvPr id="395" name="TextBox 394">
          <a:extLst>
            <a:ext uri="{FF2B5EF4-FFF2-40B4-BE49-F238E27FC236}">
              <a16:creationId xmlns:a16="http://schemas.microsoft.com/office/drawing/2014/main" id="{00000000-0008-0000-0100-00008B010000}"/>
            </a:ext>
          </a:extLst>
        </xdr:cNvPr>
        <xdr:cNvSpPr txBox="1"/>
      </xdr:nvSpPr>
      <xdr:spPr>
        <a:xfrm>
          <a:off x="5241107" y="1827838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52071</xdr:colOff>
      <xdr:row>106</xdr:row>
      <xdr:rowOff>115570</xdr:rowOff>
    </xdr:from>
    <xdr:to>
      <xdr:col>5</xdr:col>
      <xdr:colOff>97790</xdr:colOff>
      <xdr:row>106</xdr:row>
      <xdr:rowOff>161289</xdr:rowOff>
    </xdr:to>
    <xdr:sp macro="" textlink="">
      <xdr:nvSpPr>
        <xdr:cNvPr id="396" name="Oval 395">
          <a:extLst>
            <a:ext uri="{FF2B5EF4-FFF2-40B4-BE49-F238E27FC236}">
              <a16:creationId xmlns:a16="http://schemas.microsoft.com/office/drawing/2014/main" id="{00000000-0008-0000-0100-00008C010000}"/>
            </a:ext>
          </a:extLst>
        </xdr:cNvPr>
        <xdr:cNvSpPr/>
      </xdr:nvSpPr>
      <xdr:spPr bwMode="auto">
        <a:xfrm>
          <a:off x="5439411" y="1835785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625927</xdr:colOff>
      <xdr:row>105</xdr:row>
      <xdr:rowOff>57693</xdr:rowOff>
    </xdr:from>
    <xdr:to>
      <xdr:col>5</xdr:col>
      <xdr:colOff>167640</xdr:colOff>
      <xdr:row>106</xdr:row>
      <xdr:rowOff>53339</xdr:rowOff>
    </xdr:to>
    <xdr:sp macro="" textlink="">
      <xdr:nvSpPr>
        <xdr:cNvPr id="398" name="TextBox 397">
          <a:extLst>
            <a:ext uri="{FF2B5EF4-FFF2-40B4-BE49-F238E27FC236}">
              <a16:creationId xmlns:a16="http://schemas.microsoft.com/office/drawing/2014/main" id="{00000000-0008-0000-0100-00008E010000}"/>
            </a:ext>
          </a:extLst>
        </xdr:cNvPr>
        <xdr:cNvSpPr txBox="1"/>
      </xdr:nvSpPr>
      <xdr:spPr>
        <a:xfrm>
          <a:off x="5236027" y="1811709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49531</xdr:colOff>
      <xdr:row>105</xdr:row>
      <xdr:rowOff>134620</xdr:rowOff>
    </xdr:from>
    <xdr:to>
      <xdr:col>5</xdr:col>
      <xdr:colOff>95250</xdr:colOff>
      <xdr:row>105</xdr:row>
      <xdr:rowOff>180339</xdr:rowOff>
    </xdr:to>
    <xdr:sp macro="" textlink="">
      <xdr:nvSpPr>
        <xdr:cNvPr id="399" name="Oval 398">
          <a:extLst>
            <a:ext uri="{FF2B5EF4-FFF2-40B4-BE49-F238E27FC236}">
              <a16:creationId xmlns:a16="http://schemas.microsoft.com/office/drawing/2014/main" id="{00000000-0008-0000-0100-00008F010000}"/>
            </a:ext>
          </a:extLst>
        </xdr:cNvPr>
        <xdr:cNvSpPr/>
      </xdr:nvSpPr>
      <xdr:spPr bwMode="auto">
        <a:xfrm>
          <a:off x="5436871" y="1819402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259080</xdr:colOff>
      <xdr:row>105</xdr:row>
      <xdr:rowOff>38100</xdr:rowOff>
    </xdr:from>
    <xdr:to>
      <xdr:col>4</xdr:col>
      <xdr:colOff>599440</xdr:colOff>
      <xdr:row>105</xdr:row>
      <xdr:rowOff>38100</xdr:rowOff>
    </xdr:to>
    <xdr:cxnSp macro="">
      <xdr:nvCxnSpPr>
        <xdr:cNvPr id="400" name="Straight Connector 399">
          <a:extLst>
            <a:ext uri="{FF2B5EF4-FFF2-40B4-BE49-F238E27FC236}">
              <a16:creationId xmlns:a16="http://schemas.microsoft.com/office/drawing/2014/main" id="{00000000-0008-0000-0100-000090010000}"/>
            </a:ext>
          </a:extLst>
        </xdr:cNvPr>
        <xdr:cNvCxnSpPr/>
      </xdr:nvCxnSpPr>
      <xdr:spPr bwMode="auto">
        <a:xfrm rot="10800000">
          <a:off x="4869180" y="18097500"/>
          <a:ext cx="34036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452120</xdr:colOff>
      <xdr:row>106</xdr:row>
      <xdr:rowOff>83820</xdr:rowOff>
    </xdr:from>
    <xdr:to>
      <xdr:col>4</xdr:col>
      <xdr:colOff>599440</xdr:colOff>
      <xdr:row>106</xdr:row>
      <xdr:rowOff>83820</xdr:rowOff>
    </xdr:to>
    <xdr:cxnSp macro="">
      <xdr:nvCxnSpPr>
        <xdr:cNvPr id="401" name="Straight Connector 400">
          <a:extLst>
            <a:ext uri="{FF2B5EF4-FFF2-40B4-BE49-F238E27FC236}">
              <a16:creationId xmlns:a16="http://schemas.microsoft.com/office/drawing/2014/main" id="{00000000-0008-0000-0100-000091010000}"/>
            </a:ext>
          </a:extLst>
        </xdr:cNvPr>
        <xdr:cNvCxnSpPr/>
      </xdr:nvCxnSpPr>
      <xdr:spPr bwMode="auto">
        <a:xfrm rot="10800000">
          <a:off x="5062220" y="1832610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272867</xdr:colOff>
      <xdr:row>105</xdr:row>
      <xdr:rowOff>52612</xdr:rowOff>
    </xdr:from>
    <xdr:to>
      <xdr:col>4</xdr:col>
      <xdr:colOff>591820</xdr:colOff>
      <xdr:row>106</xdr:row>
      <xdr:rowOff>87629</xdr:rowOff>
    </xdr:to>
    <xdr:sp macro="" textlink="">
      <xdr:nvSpPr>
        <xdr:cNvPr id="402" name="TextBox 401">
          <a:extLst>
            <a:ext uri="{FF2B5EF4-FFF2-40B4-BE49-F238E27FC236}">
              <a16:creationId xmlns:a16="http://schemas.microsoft.com/office/drawing/2014/main" id="{00000000-0008-0000-0100-000092010000}"/>
            </a:ext>
          </a:extLst>
        </xdr:cNvPr>
        <xdr:cNvSpPr txBox="1"/>
      </xdr:nvSpPr>
      <xdr:spPr>
        <a:xfrm>
          <a:off x="4882967" y="18112012"/>
          <a:ext cx="318953" cy="21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4</xdr:col>
      <xdr:colOff>504666</xdr:colOff>
      <xdr:row>105</xdr:row>
      <xdr:rowOff>38894</xdr:rowOff>
    </xdr:from>
    <xdr:to>
      <xdr:col>4</xdr:col>
      <xdr:colOff>506254</xdr:colOff>
      <xdr:row>106</xdr:row>
      <xdr:rowOff>84614</xdr:rowOff>
    </xdr:to>
    <xdr:cxnSp macro="">
      <xdr:nvCxnSpPr>
        <xdr:cNvPr id="403" name="Straight Arrow Connector 402">
          <a:extLst>
            <a:ext uri="{FF2B5EF4-FFF2-40B4-BE49-F238E27FC236}">
              <a16:creationId xmlns:a16="http://schemas.microsoft.com/office/drawing/2014/main" id="{00000000-0008-0000-0100-000093010000}"/>
            </a:ext>
          </a:extLst>
        </xdr:cNvPr>
        <xdr:cNvCxnSpPr/>
      </xdr:nvCxnSpPr>
      <xdr:spPr bwMode="auto">
        <a:xfrm rot="5400000">
          <a:off x="5001260" y="1821180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5</xdr:col>
      <xdr:colOff>347162</xdr:colOff>
      <xdr:row>106</xdr:row>
      <xdr:rowOff>39278</xdr:rowOff>
    </xdr:from>
    <xdr:to>
      <xdr:col>5</xdr:col>
      <xdr:colOff>666115</xdr:colOff>
      <xdr:row>107</xdr:row>
      <xdr:rowOff>64770</xdr:rowOff>
    </xdr:to>
    <xdr:sp macro="" textlink="">
      <xdr:nvSpPr>
        <xdr:cNvPr id="404" name="TextBox 403">
          <a:extLst>
            <a:ext uri="{FF2B5EF4-FFF2-40B4-BE49-F238E27FC236}">
              <a16:creationId xmlns:a16="http://schemas.microsoft.com/office/drawing/2014/main" id="{00000000-0008-0000-0100-000094010000}"/>
            </a:ext>
          </a:extLst>
        </xdr:cNvPr>
        <xdr:cNvSpPr txBox="1"/>
      </xdr:nvSpPr>
      <xdr:spPr>
        <a:xfrm>
          <a:off x="5734502" y="18281558"/>
          <a:ext cx="318953" cy="20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5</xdr:col>
      <xdr:colOff>388461</xdr:colOff>
      <xdr:row>106</xdr:row>
      <xdr:rowOff>17939</xdr:rowOff>
    </xdr:from>
    <xdr:to>
      <xdr:col>5</xdr:col>
      <xdr:colOff>390049</xdr:colOff>
      <xdr:row>107</xdr:row>
      <xdr:rowOff>63659</xdr:rowOff>
    </xdr:to>
    <xdr:cxnSp macro="">
      <xdr:nvCxnSpPr>
        <xdr:cNvPr id="405" name="Straight Arrow Connector 404">
          <a:extLst>
            <a:ext uri="{FF2B5EF4-FFF2-40B4-BE49-F238E27FC236}">
              <a16:creationId xmlns:a16="http://schemas.microsoft.com/office/drawing/2014/main" id="{00000000-0008-0000-0100-000095010000}"/>
            </a:ext>
          </a:extLst>
        </xdr:cNvPr>
        <xdr:cNvCxnSpPr/>
      </xdr:nvCxnSpPr>
      <xdr:spPr bwMode="auto">
        <a:xfrm rot="5400000">
          <a:off x="5662295" y="18373725"/>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619125</xdr:colOff>
      <xdr:row>105</xdr:row>
      <xdr:rowOff>34290</xdr:rowOff>
    </xdr:from>
    <xdr:to>
      <xdr:col>5</xdr:col>
      <xdr:colOff>300990</xdr:colOff>
      <xdr:row>106</xdr:row>
      <xdr:rowOff>13335</xdr:rowOff>
    </xdr:to>
    <xdr:sp macro="" textlink="">
      <xdr:nvSpPr>
        <xdr:cNvPr id="406" name="Rectangle 405">
          <a:extLst>
            <a:ext uri="{FF2B5EF4-FFF2-40B4-BE49-F238E27FC236}">
              <a16:creationId xmlns:a16="http://schemas.microsoft.com/office/drawing/2014/main" id="{00000000-0008-0000-0100-000096010000}"/>
            </a:ext>
          </a:extLst>
        </xdr:cNvPr>
        <xdr:cNvSpPr/>
      </xdr:nvSpPr>
      <xdr:spPr bwMode="auto">
        <a:xfrm>
          <a:off x="5229225" y="18093690"/>
          <a:ext cx="459105" cy="161925"/>
        </a:xfrm>
        <a:prstGeom prst="rect">
          <a:avLst/>
        </a:prstGeom>
        <a:solidFill>
          <a:schemeClr val="accent4">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619125</xdr:colOff>
      <xdr:row>106</xdr:row>
      <xdr:rowOff>15240</xdr:rowOff>
    </xdr:from>
    <xdr:to>
      <xdr:col>5</xdr:col>
      <xdr:colOff>302895</xdr:colOff>
      <xdr:row>106</xdr:row>
      <xdr:rowOff>80010</xdr:rowOff>
    </xdr:to>
    <xdr:sp macro="" textlink="">
      <xdr:nvSpPr>
        <xdr:cNvPr id="407" name="Rectangle 406">
          <a:extLst>
            <a:ext uri="{FF2B5EF4-FFF2-40B4-BE49-F238E27FC236}">
              <a16:creationId xmlns:a16="http://schemas.microsoft.com/office/drawing/2014/main" id="{00000000-0008-0000-0100-000097010000}"/>
            </a:ext>
          </a:extLst>
        </xdr:cNvPr>
        <xdr:cNvSpPr/>
      </xdr:nvSpPr>
      <xdr:spPr bwMode="auto">
        <a:xfrm>
          <a:off x="5229225" y="18257520"/>
          <a:ext cx="461010" cy="64770"/>
        </a:xfrm>
        <a:prstGeom prst="rect">
          <a:avLst/>
        </a:prstGeom>
        <a:solidFill>
          <a:srgbClr val="FFC000"/>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619125</xdr:colOff>
      <xdr:row>106</xdr:row>
      <xdr:rowOff>80010</xdr:rowOff>
    </xdr:from>
    <xdr:to>
      <xdr:col>5</xdr:col>
      <xdr:colOff>299085</xdr:colOff>
      <xdr:row>107</xdr:row>
      <xdr:rowOff>64770</xdr:rowOff>
    </xdr:to>
    <xdr:sp macro="" textlink="">
      <xdr:nvSpPr>
        <xdr:cNvPr id="408" name="Rectangle 407">
          <a:extLst>
            <a:ext uri="{FF2B5EF4-FFF2-40B4-BE49-F238E27FC236}">
              <a16:creationId xmlns:a16="http://schemas.microsoft.com/office/drawing/2014/main" id="{00000000-0008-0000-0100-000098010000}"/>
            </a:ext>
          </a:extLst>
        </xdr:cNvPr>
        <xdr:cNvSpPr/>
      </xdr:nvSpPr>
      <xdr:spPr bwMode="auto">
        <a:xfrm>
          <a:off x="5229225" y="18322290"/>
          <a:ext cx="457200" cy="167640"/>
        </a:xfrm>
        <a:prstGeom prst="rect">
          <a:avLst/>
        </a:prstGeom>
        <a:solidFill>
          <a:schemeClr val="tx2">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5</xdr:col>
      <xdr:colOff>318770</xdr:colOff>
      <xdr:row>106</xdr:row>
      <xdr:rowOff>19050</xdr:rowOff>
    </xdr:from>
    <xdr:to>
      <xdr:col>5</xdr:col>
      <xdr:colOff>466090</xdr:colOff>
      <xdr:row>106</xdr:row>
      <xdr:rowOff>19050</xdr:rowOff>
    </xdr:to>
    <xdr:cxnSp macro="">
      <xdr:nvCxnSpPr>
        <xdr:cNvPr id="411" name="Straight Connector 410">
          <a:extLst>
            <a:ext uri="{FF2B5EF4-FFF2-40B4-BE49-F238E27FC236}">
              <a16:creationId xmlns:a16="http://schemas.microsoft.com/office/drawing/2014/main" id="{00000000-0008-0000-0100-00009B010000}"/>
            </a:ext>
          </a:extLst>
        </xdr:cNvPr>
        <xdr:cNvCxnSpPr/>
      </xdr:nvCxnSpPr>
      <xdr:spPr bwMode="auto">
        <a:xfrm rot="10800000">
          <a:off x="5706110" y="1826133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5</xdr:col>
      <xdr:colOff>318770</xdr:colOff>
      <xdr:row>107</xdr:row>
      <xdr:rowOff>64770</xdr:rowOff>
    </xdr:from>
    <xdr:to>
      <xdr:col>5</xdr:col>
      <xdr:colOff>466090</xdr:colOff>
      <xdr:row>107</xdr:row>
      <xdr:rowOff>64770</xdr:rowOff>
    </xdr:to>
    <xdr:cxnSp macro="">
      <xdr:nvCxnSpPr>
        <xdr:cNvPr id="412" name="Straight Connector 411">
          <a:extLst>
            <a:ext uri="{FF2B5EF4-FFF2-40B4-BE49-F238E27FC236}">
              <a16:creationId xmlns:a16="http://schemas.microsoft.com/office/drawing/2014/main" id="{00000000-0008-0000-0100-00009C010000}"/>
            </a:ext>
          </a:extLst>
        </xdr:cNvPr>
        <xdr:cNvCxnSpPr/>
      </xdr:nvCxnSpPr>
      <xdr:spPr bwMode="auto">
        <a:xfrm rot="10800000">
          <a:off x="5706110" y="1848993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264795</xdr:colOff>
      <xdr:row>107</xdr:row>
      <xdr:rowOff>62865</xdr:rowOff>
    </xdr:from>
    <xdr:to>
      <xdr:col>4</xdr:col>
      <xdr:colOff>605155</xdr:colOff>
      <xdr:row>107</xdr:row>
      <xdr:rowOff>62865</xdr:rowOff>
    </xdr:to>
    <xdr:cxnSp macro="">
      <xdr:nvCxnSpPr>
        <xdr:cNvPr id="414" name="Straight Connector 413">
          <a:extLst>
            <a:ext uri="{FF2B5EF4-FFF2-40B4-BE49-F238E27FC236}">
              <a16:creationId xmlns:a16="http://schemas.microsoft.com/office/drawing/2014/main" id="{00000000-0008-0000-0100-00009E010000}"/>
            </a:ext>
          </a:extLst>
        </xdr:cNvPr>
        <xdr:cNvCxnSpPr/>
      </xdr:nvCxnSpPr>
      <xdr:spPr bwMode="auto">
        <a:xfrm rot="10800000">
          <a:off x="4874895" y="18488025"/>
          <a:ext cx="34036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311151</xdr:colOff>
      <xdr:row>105</xdr:row>
      <xdr:rowOff>39687</xdr:rowOff>
    </xdr:from>
    <xdr:to>
      <xdr:col>4</xdr:col>
      <xdr:colOff>312739</xdr:colOff>
      <xdr:row>107</xdr:row>
      <xdr:rowOff>56038</xdr:rowOff>
    </xdr:to>
    <xdr:cxnSp macro="">
      <xdr:nvCxnSpPr>
        <xdr:cNvPr id="415" name="Straight Arrow Connector 414">
          <a:extLst>
            <a:ext uri="{FF2B5EF4-FFF2-40B4-BE49-F238E27FC236}">
              <a16:creationId xmlns:a16="http://schemas.microsoft.com/office/drawing/2014/main" id="{00000000-0008-0000-0100-00009F010000}"/>
            </a:ext>
          </a:extLst>
        </xdr:cNvPr>
        <xdr:cNvCxnSpPr/>
      </xdr:nvCxnSpPr>
      <xdr:spPr bwMode="auto">
        <a:xfrm rot="5400000">
          <a:off x="4730989" y="18289349"/>
          <a:ext cx="382111"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3</xdr:col>
      <xdr:colOff>893897</xdr:colOff>
      <xdr:row>105</xdr:row>
      <xdr:rowOff>109762</xdr:rowOff>
    </xdr:from>
    <xdr:to>
      <xdr:col>4</xdr:col>
      <xdr:colOff>400050</xdr:colOff>
      <xdr:row>106</xdr:row>
      <xdr:rowOff>144779</xdr:rowOff>
    </xdr:to>
    <xdr:sp macro="" textlink="">
      <xdr:nvSpPr>
        <xdr:cNvPr id="417" name="TextBox 416">
          <a:extLst>
            <a:ext uri="{FF2B5EF4-FFF2-40B4-BE49-F238E27FC236}">
              <a16:creationId xmlns:a16="http://schemas.microsoft.com/office/drawing/2014/main" id="{00000000-0008-0000-0100-0000A1010000}"/>
            </a:ext>
          </a:extLst>
        </xdr:cNvPr>
        <xdr:cNvSpPr txBox="1"/>
      </xdr:nvSpPr>
      <xdr:spPr>
        <a:xfrm>
          <a:off x="4589597" y="18169162"/>
          <a:ext cx="420553" cy="21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 (total)</a:t>
          </a:r>
          <a:r>
            <a:rPr lang="en-US" sz="700" baseline="0"/>
            <a:t> </a:t>
          </a:r>
        </a:p>
      </xdr:txBody>
    </xdr:sp>
    <xdr:clientData/>
  </xdr:twoCellAnchor>
  <xdr:twoCellAnchor>
    <xdr:from>
      <xdr:col>5</xdr:col>
      <xdr:colOff>306074</xdr:colOff>
      <xdr:row>107</xdr:row>
      <xdr:rowOff>78736</xdr:rowOff>
    </xdr:from>
    <xdr:to>
      <xdr:col>5</xdr:col>
      <xdr:colOff>306074</xdr:colOff>
      <xdr:row>108</xdr:row>
      <xdr:rowOff>38099</xdr:rowOff>
    </xdr:to>
    <xdr:cxnSp macro="">
      <xdr:nvCxnSpPr>
        <xdr:cNvPr id="418" name="Straight Connector 417">
          <a:extLst>
            <a:ext uri="{FF2B5EF4-FFF2-40B4-BE49-F238E27FC236}">
              <a16:creationId xmlns:a16="http://schemas.microsoft.com/office/drawing/2014/main" id="{00000000-0008-0000-0100-0000A2010000}"/>
            </a:ext>
          </a:extLst>
        </xdr:cNvPr>
        <xdr:cNvCxnSpPr/>
      </xdr:nvCxnSpPr>
      <xdr:spPr bwMode="auto">
        <a:xfrm rot="5400000">
          <a:off x="5622292" y="18575018"/>
          <a:ext cx="142243"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615315</xdr:colOff>
      <xdr:row>108</xdr:row>
      <xdr:rowOff>2223</xdr:rowOff>
    </xdr:from>
    <xdr:to>
      <xdr:col>5</xdr:col>
      <xdr:colOff>302260</xdr:colOff>
      <xdr:row>108</xdr:row>
      <xdr:rowOff>3811</xdr:rowOff>
    </xdr:to>
    <xdr:cxnSp macro="">
      <xdr:nvCxnSpPr>
        <xdr:cNvPr id="419" name="Straight Arrow Connector 418">
          <a:extLst>
            <a:ext uri="{FF2B5EF4-FFF2-40B4-BE49-F238E27FC236}">
              <a16:creationId xmlns:a16="http://schemas.microsoft.com/office/drawing/2014/main" id="{00000000-0008-0000-0100-0000A3010000}"/>
            </a:ext>
          </a:extLst>
        </xdr:cNvPr>
        <xdr:cNvCxnSpPr/>
      </xdr:nvCxnSpPr>
      <xdr:spPr bwMode="auto">
        <a:xfrm>
          <a:off x="5225415" y="18610263"/>
          <a:ext cx="464185"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704032</xdr:colOff>
      <xdr:row>107</xdr:row>
      <xdr:rowOff>14513</xdr:rowOff>
    </xdr:from>
    <xdr:to>
      <xdr:col>5</xdr:col>
      <xdr:colOff>245745</xdr:colOff>
      <xdr:row>108</xdr:row>
      <xdr:rowOff>48895</xdr:rowOff>
    </xdr:to>
    <xdr:sp macro="" textlink="">
      <xdr:nvSpPr>
        <xdr:cNvPr id="420" name="TextBox 419">
          <a:extLst>
            <a:ext uri="{FF2B5EF4-FFF2-40B4-BE49-F238E27FC236}">
              <a16:creationId xmlns:a16="http://schemas.microsoft.com/office/drawing/2014/main" id="{00000000-0008-0000-0100-0000A4010000}"/>
            </a:ext>
          </a:extLst>
        </xdr:cNvPr>
        <xdr:cNvSpPr txBox="1"/>
      </xdr:nvSpPr>
      <xdr:spPr>
        <a:xfrm>
          <a:off x="5314132" y="18927353"/>
          <a:ext cx="318953" cy="21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4</xdr:col>
      <xdr:colOff>616585</xdr:colOff>
      <xdr:row>107</xdr:row>
      <xdr:rowOff>86360</xdr:rowOff>
    </xdr:from>
    <xdr:to>
      <xdr:col>4</xdr:col>
      <xdr:colOff>616585</xdr:colOff>
      <xdr:row>108</xdr:row>
      <xdr:rowOff>38100</xdr:rowOff>
    </xdr:to>
    <xdr:cxnSp macro="">
      <xdr:nvCxnSpPr>
        <xdr:cNvPr id="421" name="Straight Connector 420">
          <a:extLst>
            <a:ext uri="{FF2B5EF4-FFF2-40B4-BE49-F238E27FC236}">
              <a16:creationId xmlns:a16="http://schemas.microsoft.com/office/drawing/2014/main" id="{00000000-0008-0000-0100-0000A5010000}"/>
            </a:ext>
          </a:extLst>
        </xdr:cNvPr>
        <xdr:cNvCxnSpPr/>
      </xdr:nvCxnSpPr>
      <xdr:spPr bwMode="auto">
        <a:xfrm rot="5400000">
          <a:off x="5159375" y="18578830"/>
          <a:ext cx="1346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5</xdr:col>
      <xdr:colOff>32837</xdr:colOff>
      <xdr:row>106</xdr:row>
      <xdr:rowOff>53248</xdr:rowOff>
    </xdr:from>
    <xdr:to>
      <xdr:col>5</xdr:col>
      <xdr:colOff>351790</xdr:colOff>
      <xdr:row>107</xdr:row>
      <xdr:rowOff>48894</xdr:rowOff>
    </xdr:to>
    <xdr:sp macro="" textlink="">
      <xdr:nvSpPr>
        <xdr:cNvPr id="424" name="TextBox 423">
          <a:extLst>
            <a:ext uri="{FF2B5EF4-FFF2-40B4-BE49-F238E27FC236}">
              <a16:creationId xmlns:a16="http://schemas.microsoft.com/office/drawing/2014/main" id="{00000000-0008-0000-0100-0000A8010000}"/>
            </a:ext>
          </a:extLst>
        </xdr:cNvPr>
        <xdr:cNvSpPr txBox="1"/>
      </xdr:nvSpPr>
      <xdr:spPr>
        <a:xfrm>
          <a:off x="5420177" y="18295528"/>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52071</xdr:colOff>
      <xdr:row>106</xdr:row>
      <xdr:rowOff>119380</xdr:rowOff>
    </xdr:from>
    <xdr:to>
      <xdr:col>5</xdr:col>
      <xdr:colOff>97790</xdr:colOff>
      <xdr:row>106</xdr:row>
      <xdr:rowOff>165099</xdr:rowOff>
    </xdr:to>
    <xdr:sp macro="" textlink="">
      <xdr:nvSpPr>
        <xdr:cNvPr id="425" name="Oval 424">
          <a:extLst>
            <a:ext uri="{FF2B5EF4-FFF2-40B4-BE49-F238E27FC236}">
              <a16:creationId xmlns:a16="http://schemas.microsoft.com/office/drawing/2014/main" id="{00000000-0008-0000-0100-0000A9010000}"/>
            </a:ext>
          </a:extLst>
        </xdr:cNvPr>
        <xdr:cNvSpPr/>
      </xdr:nvSpPr>
      <xdr:spPr bwMode="auto">
        <a:xfrm>
          <a:off x="5439411" y="1836166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5</xdr:col>
      <xdr:colOff>39187</xdr:colOff>
      <xdr:row>105</xdr:row>
      <xdr:rowOff>38643</xdr:rowOff>
    </xdr:from>
    <xdr:to>
      <xdr:col>5</xdr:col>
      <xdr:colOff>358140</xdr:colOff>
      <xdr:row>106</xdr:row>
      <xdr:rowOff>34289</xdr:rowOff>
    </xdr:to>
    <xdr:sp macro="" textlink="">
      <xdr:nvSpPr>
        <xdr:cNvPr id="426" name="TextBox 425">
          <a:extLst>
            <a:ext uri="{FF2B5EF4-FFF2-40B4-BE49-F238E27FC236}">
              <a16:creationId xmlns:a16="http://schemas.microsoft.com/office/drawing/2014/main" id="{00000000-0008-0000-0100-0000AA010000}"/>
            </a:ext>
          </a:extLst>
        </xdr:cNvPr>
        <xdr:cNvSpPr txBox="1"/>
      </xdr:nvSpPr>
      <xdr:spPr>
        <a:xfrm>
          <a:off x="5426527" y="1809804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55246</xdr:colOff>
      <xdr:row>105</xdr:row>
      <xdr:rowOff>117475</xdr:rowOff>
    </xdr:from>
    <xdr:to>
      <xdr:col>5</xdr:col>
      <xdr:colOff>100965</xdr:colOff>
      <xdr:row>105</xdr:row>
      <xdr:rowOff>163194</xdr:rowOff>
    </xdr:to>
    <xdr:sp macro="" textlink="">
      <xdr:nvSpPr>
        <xdr:cNvPr id="427" name="Oval 426">
          <a:extLst>
            <a:ext uri="{FF2B5EF4-FFF2-40B4-BE49-F238E27FC236}">
              <a16:creationId xmlns:a16="http://schemas.microsoft.com/office/drawing/2014/main" id="{00000000-0008-0000-0100-0000AB010000}"/>
            </a:ext>
          </a:extLst>
        </xdr:cNvPr>
        <xdr:cNvSpPr/>
      </xdr:nvSpPr>
      <xdr:spPr bwMode="auto">
        <a:xfrm>
          <a:off x="5442586" y="18176875"/>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3</xdr:col>
      <xdr:colOff>687704</xdr:colOff>
      <xdr:row>108</xdr:row>
      <xdr:rowOff>64770</xdr:rowOff>
    </xdr:from>
    <xdr:to>
      <xdr:col>7</xdr:col>
      <xdr:colOff>106680</xdr:colOff>
      <xdr:row>110</xdr:row>
      <xdr:rowOff>88900</xdr:rowOff>
    </xdr:to>
    <xdr:sp macro="" textlink="">
      <xdr:nvSpPr>
        <xdr:cNvPr id="428" name="TextBox 427">
          <a:extLst>
            <a:ext uri="{FF2B5EF4-FFF2-40B4-BE49-F238E27FC236}">
              <a16:creationId xmlns:a16="http://schemas.microsoft.com/office/drawing/2014/main" id="{00000000-0008-0000-0100-0000AC010000}"/>
            </a:ext>
          </a:extLst>
        </xdr:cNvPr>
        <xdr:cNvSpPr txBox="1"/>
      </xdr:nvSpPr>
      <xdr:spPr>
        <a:xfrm>
          <a:off x="4383404" y="19610070"/>
          <a:ext cx="2047876" cy="389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700" b="1" u="sng"/>
            <a:t>Axle loads distributed area </a:t>
          </a:r>
        </a:p>
        <a:p>
          <a:pPr algn="ctr"/>
          <a:r>
            <a:rPr lang="en-US" sz="700" b="0" u="none"/>
            <a:t> (overlapping along</a:t>
          </a:r>
          <a:r>
            <a:rPr lang="en-US" sz="700" b="0" u="none" baseline="0"/>
            <a:t> the direction of travel</a:t>
          </a:r>
          <a:r>
            <a:rPr lang="en-US" sz="700" b="0" u="none"/>
            <a:t>)</a:t>
          </a:r>
          <a:r>
            <a:rPr lang="en-US" sz="700" b="0" u="none" baseline="0"/>
            <a:t> </a:t>
          </a:r>
        </a:p>
      </xdr:txBody>
    </xdr:sp>
    <xdr:clientData/>
  </xdr:twoCellAnchor>
  <xdr:twoCellAnchor>
    <xdr:from>
      <xdr:col>2</xdr:col>
      <xdr:colOff>597376</xdr:colOff>
      <xdr:row>105</xdr:row>
      <xdr:rowOff>38894</xdr:rowOff>
    </xdr:from>
    <xdr:to>
      <xdr:col>2</xdr:col>
      <xdr:colOff>598964</xdr:colOff>
      <xdr:row>106</xdr:row>
      <xdr:rowOff>153194</xdr:rowOff>
    </xdr:to>
    <xdr:cxnSp macro="">
      <xdr:nvCxnSpPr>
        <xdr:cNvPr id="124" name="Straight Arrow Connector 123">
          <a:extLst>
            <a:ext uri="{FF2B5EF4-FFF2-40B4-BE49-F238E27FC236}">
              <a16:creationId xmlns:a16="http://schemas.microsoft.com/office/drawing/2014/main" id="{00000000-0008-0000-0100-00007C000000}"/>
            </a:ext>
          </a:extLst>
        </xdr:cNvPr>
        <xdr:cNvCxnSpPr/>
      </xdr:nvCxnSpPr>
      <xdr:spPr bwMode="auto">
        <a:xfrm rot="5400000">
          <a:off x="3048000" y="19183350"/>
          <a:ext cx="297180" cy="1588"/>
        </a:xfrm>
        <a:prstGeom prst="straightConnector1">
          <a:avLst/>
        </a:prstGeom>
        <a:solidFill>
          <a:srgbClr val="FFFFFF"/>
        </a:solidFill>
        <a:ln w="3175" cap="flat" cmpd="sng" algn="ctr">
          <a:solidFill>
            <a:srgbClr val="000000"/>
          </a:solidFill>
          <a:prstDash val="solid"/>
          <a:round/>
          <a:headEnd type="stealth" w="med" len="med"/>
          <a:tailEnd type="stealth"/>
        </a:ln>
        <a:effectLst/>
      </xdr:spPr>
    </xdr:cxnSp>
    <xdr:clientData/>
  </xdr:twoCellAnchor>
  <xdr:twoCellAnchor>
    <xdr:from>
      <xdr:col>2</xdr:col>
      <xdr:colOff>525216</xdr:colOff>
      <xdr:row>105</xdr:row>
      <xdr:rowOff>86765</xdr:rowOff>
    </xdr:from>
    <xdr:to>
      <xdr:col>3</xdr:col>
      <xdr:colOff>349699</xdr:colOff>
      <xdr:row>106</xdr:row>
      <xdr:rowOff>106341</xdr:rowOff>
    </xdr:to>
    <xdr:sp macro="" textlink="">
      <xdr:nvSpPr>
        <xdr:cNvPr id="125" name="TextBox 124">
          <a:extLst>
            <a:ext uri="{FF2B5EF4-FFF2-40B4-BE49-F238E27FC236}">
              <a16:creationId xmlns:a16="http://schemas.microsoft.com/office/drawing/2014/main" id="{00000000-0008-0000-0100-00007D000000}"/>
            </a:ext>
          </a:extLst>
        </xdr:cNvPr>
        <xdr:cNvSpPr txBox="1"/>
      </xdr:nvSpPr>
      <xdr:spPr>
        <a:xfrm>
          <a:off x="3123636" y="19083425"/>
          <a:ext cx="921763" cy="20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spc="0" baseline="0"/>
            <a:t>Direction of Travel</a:t>
          </a: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69</xdr:row>
          <xdr:rowOff>95250</xdr:rowOff>
        </xdr:from>
        <xdr:to>
          <xdr:col>2</xdr:col>
          <xdr:colOff>876300</xdr:colOff>
          <xdr:row>71</xdr:row>
          <xdr:rowOff>95250</xdr:rowOff>
        </xdr:to>
        <xdr:sp macro="" textlink="">
          <xdr:nvSpPr>
            <xdr:cNvPr id="11274" name="Object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71</xdr:row>
          <xdr:rowOff>104775</xdr:rowOff>
        </xdr:from>
        <xdr:to>
          <xdr:col>2</xdr:col>
          <xdr:colOff>438150</xdr:colOff>
          <xdr:row>73</xdr:row>
          <xdr:rowOff>95250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114300</xdr:rowOff>
        </xdr:from>
        <xdr:to>
          <xdr:col>4</xdr:col>
          <xdr:colOff>704850</xdr:colOff>
          <xdr:row>75</xdr:row>
          <xdr:rowOff>57150</xdr:rowOff>
        </xdr:to>
        <xdr:sp macro="" textlink="">
          <xdr:nvSpPr>
            <xdr:cNvPr id="11278" name="Object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19050</xdr:rowOff>
        </xdr:from>
        <xdr:to>
          <xdr:col>1</xdr:col>
          <xdr:colOff>1466850</xdr:colOff>
          <xdr:row>132</xdr:row>
          <xdr:rowOff>0</xdr:rowOff>
        </xdr:to>
        <xdr:sp macro="" textlink="">
          <xdr:nvSpPr>
            <xdr:cNvPr id="11337" name="Object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129</xdr:row>
          <xdr:rowOff>0</xdr:rowOff>
        </xdr:from>
        <xdr:to>
          <xdr:col>1</xdr:col>
          <xdr:colOff>1123950</xdr:colOff>
          <xdr:row>130</xdr:row>
          <xdr:rowOff>0</xdr:rowOff>
        </xdr:to>
        <xdr:sp macro="" textlink="">
          <xdr:nvSpPr>
            <xdr:cNvPr id="11340" name="Object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128</xdr:row>
          <xdr:rowOff>19050</xdr:rowOff>
        </xdr:from>
        <xdr:to>
          <xdr:col>1</xdr:col>
          <xdr:colOff>1200150</xdr:colOff>
          <xdr:row>129</xdr:row>
          <xdr:rowOff>19050</xdr:rowOff>
        </xdr:to>
        <xdr:sp macro="" textlink="">
          <xdr:nvSpPr>
            <xdr:cNvPr id="11341" name="Object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130</xdr:row>
          <xdr:rowOff>9525</xdr:rowOff>
        </xdr:from>
        <xdr:to>
          <xdr:col>1</xdr:col>
          <xdr:colOff>1543050</xdr:colOff>
          <xdr:row>131</xdr:row>
          <xdr:rowOff>19050</xdr:rowOff>
        </xdr:to>
        <xdr:sp macro="" textlink="">
          <xdr:nvSpPr>
            <xdr:cNvPr id="11342" name="Object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159</xdr:row>
          <xdr:rowOff>38100</xdr:rowOff>
        </xdr:from>
        <xdr:to>
          <xdr:col>1</xdr:col>
          <xdr:colOff>1352550</xdr:colOff>
          <xdr:row>160</xdr:row>
          <xdr:rowOff>142875</xdr:rowOff>
        </xdr:to>
        <xdr:sp macro="" textlink="">
          <xdr:nvSpPr>
            <xdr:cNvPr id="11343" name="Object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162</xdr:row>
          <xdr:rowOff>38100</xdr:rowOff>
        </xdr:from>
        <xdr:to>
          <xdr:col>1</xdr:col>
          <xdr:colOff>1314450</xdr:colOff>
          <xdr:row>163</xdr:row>
          <xdr:rowOff>133350</xdr:rowOff>
        </xdr:to>
        <xdr:sp macro="" textlink="">
          <xdr:nvSpPr>
            <xdr:cNvPr id="11344" name="Object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163</xdr:row>
          <xdr:rowOff>171450</xdr:rowOff>
        </xdr:from>
        <xdr:to>
          <xdr:col>2</xdr:col>
          <xdr:colOff>1085850</xdr:colOff>
          <xdr:row>165</xdr:row>
          <xdr:rowOff>9525</xdr:rowOff>
        </xdr:to>
        <xdr:sp macro="" textlink="">
          <xdr:nvSpPr>
            <xdr:cNvPr id="11345" name="Object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38100</xdr:rowOff>
        </xdr:from>
        <xdr:to>
          <xdr:col>1</xdr:col>
          <xdr:colOff>1333500</xdr:colOff>
          <xdr:row>180</xdr:row>
          <xdr:rowOff>0</xdr:rowOff>
        </xdr:to>
        <xdr:sp macro="" textlink="">
          <xdr:nvSpPr>
            <xdr:cNvPr id="11347" name="Object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0</xdr:rowOff>
        </xdr:from>
        <xdr:to>
          <xdr:col>1</xdr:col>
          <xdr:colOff>1047750</xdr:colOff>
          <xdr:row>182</xdr:row>
          <xdr:rowOff>114300</xdr:rowOff>
        </xdr:to>
        <xdr:sp macro="" textlink="">
          <xdr:nvSpPr>
            <xdr:cNvPr id="11348" name="Object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41</xdr:row>
      <xdr:rowOff>0</xdr:rowOff>
    </xdr:from>
    <xdr:to>
      <xdr:col>19</xdr:col>
      <xdr:colOff>327660</xdr:colOff>
      <xdr:row>131</xdr:row>
      <xdr:rowOff>99060</xdr:rowOff>
    </xdr:to>
    <xdr:sp macro="" textlink="">
      <xdr:nvSpPr>
        <xdr:cNvPr id="2" name="AutoShape 4">
          <a:extLst>
            <a:ext uri="{FF2B5EF4-FFF2-40B4-BE49-F238E27FC236}">
              <a16:creationId xmlns:a16="http://schemas.microsoft.com/office/drawing/2014/main" id="{00000000-0008-0000-0500-000002000000}"/>
            </a:ext>
          </a:extLst>
        </xdr:cNvPr>
        <xdr:cNvSpPr>
          <a:spLocks noChangeAspect="1" noChangeArrowheads="1" noTextEdit="1"/>
        </xdr:cNvSpPr>
      </xdr:nvSpPr>
      <xdr:spPr bwMode="auto">
        <a:xfrm>
          <a:off x="259080" y="6873240"/>
          <a:ext cx="10675620" cy="15186660"/>
        </a:xfrm>
        <a:prstGeom prst="rect">
          <a:avLst/>
        </a:prstGeom>
        <a:noFill/>
        <a:ln w="9525">
          <a:noFill/>
          <a:miter lim="800000"/>
          <a:headEnd/>
          <a:tailEnd/>
        </a:ln>
      </xdr:spPr>
    </xdr:sp>
    <xdr:clientData/>
  </xdr:twoCellAnchor>
  <xdr:twoCellAnchor editAs="oneCell">
    <xdr:from>
      <xdr:col>17</xdr:col>
      <xdr:colOff>167640</xdr:colOff>
      <xdr:row>1</xdr:row>
      <xdr:rowOff>0</xdr:rowOff>
    </xdr:from>
    <xdr:to>
      <xdr:col>25</xdr:col>
      <xdr:colOff>601980</xdr:colOff>
      <xdr:row>40</xdr:row>
      <xdr:rowOff>160020</xdr:rowOff>
    </xdr:to>
    <xdr:pic>
      <xdr:nvPicPr>
        <xdr:cNvPr id="4" name="Picture 10">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97440" y="167640"/>
          <a:ext cx="5036820" cy="6697980"/>
        </a:xfrm>
        <a:prstGeom prst="rect">
          <a:avLst/>
        </a:prstGeom>
        <a:noFill/>
      </xdr:spPr>
    </xdr:pic>
    <xdr:clientData/>
  </xdr:twoCellAnchor>
  <xdr:twoCellAnchor editAs="oneCell">
    <xdr:from>
      <xdr:col>9</xdr:col>
      <xdr:colOff>0</xdr:colOff>
      <xdr:row>1</xdr:row>
      <xdr:rowOff>0</xdr:rowOff>
    </xdr:from>
    <xdr:to>
      <xdr:col>17</xdr:col>
      <xdr:colOff>22860</xdr:colOff>
      <xdr:row>40</xdr:row>
      <xdr:rowOff>121920</xdr:rowOff>
    </xdr:to>
    <xdr:pic>
      <xdr:nvPicPr>
        <xdr:cNvPr id="5" name="Picture 1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05400" y="167640"/>
          <a:ext cx="4960620" cy="6659880"/>
        </a:xfrm>
        <a:prstGeom prst="rect">
          <a:avLst/>
        </a:prstGeom>
        <a:noFill/>
      </xdr:spPr>
    </xdr:pic>
    <xdr:clientData/>
  </xdr:twoCellAnchor>
  <xdr:twoCellAnchor editAs="oneCell">
    <xdr:from>
      <xdr:col>26</xdr:col>
      <xdr:colOff>91440</xdr:colOff>
      <xdr:row>0</xdr:row>
      <xdr:rowOff>137160</xdr:rowOff>
    </xdr:from>
    <xdr:to>
      <xdr:col>36</xdr:col>
      <xdr:colOff>1470660</xdr:colOff>
      <xdr:row>40</xdr:row>
      <xdr:rowOff>83820</xdr:rowOff>
    </xdr:to>
    <xdr:pic>
      <xdr:nvPicPr>
        <xdr:cNvPr id="6" name="Picture 12">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rot="60000">
          <a:off x="16931640" y="137160"/>
          <a:ext cx="5631180" cy="6652260"/>
        </a:xfrm>
        <a:prstGeom prst="rect">
          <a:avLst/>
        </a:prstGeom>
        <a:noFill/>
      </xdr:spPr>
    </xdr:pic>
    <xdr:clientData/>
  </xdr:twoCellAnchor>
  <xdr:twoCellAnchor editAs="oneCell">
    <xdr:from>
      <xdr:col>36</xdr:col>
      <xdr:colOff>1501140</xdr:colOff>
      <xdr:row>0</xdr:row>
      <xdr:rowOff>106680</xdr:rowOff>
    </xdr:from>
    <xdr:to>
      <xdr:col>46</xdr:col>
      <xdr:colOff>121920</xdr:colOff>
      <xdr:row>40</xdr:row>
      <xdr:rowOff>53340</xdr:rowOff>
    </xdr:to>
    <xdr:pic>
      <xdr:nvPicPr>
        <xdr:cNvPr id="7" name="Picture 13">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rot="60000">
          <a:off x="22562820" y="106680"/>
          <a:ext cx="5600700" cy="6652260"/>
        </a:xfrm>
        <a:prstGeom prst="rect">
          <a:avLst/>
        </a:prstGeom>
        <a:noFill/>
      </xdr:spPr>
    </xdr:pic>
    <xdr:clientData/>
  </xdr:twoCellAnchor>
  <xdr:twoCellAnchor editAs="oneCell">
    <xdr:from>
      <xdr:col>46</xdr:col>
      <xdr:colOff>121920</xdr:colOff>
      <xdr:row>0</xdr:row>
      <xdr:rowOff>99060</xdr:rowOff>
    </xdr:from>
    <xdr:to>
      <xdr:col>56</xdr:col>
      <xdr:colOff>144780</xdr:colOff>
      <xdr:row>40</xdr:row>
      <xdr:rowOff>68580</xdr:rowOff>
    </xdr:to>
    <xdr:pic>
      <xdr:nvPicPr>
        <xdr:cNvPr id="8" name="Picture 14">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60000">
          <a:off x="28194000" y="99060"/>
          <a:ext cx="5570220" cy="6675120"/>
        </a:xfrm>
        <a:prstGeom prst="rect">
          <a:avLst/>
        </a:prstGeom>
        <a:noFill/>
      </xdr:spPr>
    </xdr:pic>
    <xdr:clientData/>
  </xdr:twoCellAnchor>
  <xdr:twoCellAnchor editAs="oneCell">
    <xdr:from>
      <xdr:col>55</xdr:col>
      <xdr:colOff>601980</xdr:colOff>
      <xdr:row>1</xdr:row>
      <xdr:rowOff>-1</xdr:rowOff>
    </xdr:from>
    <xdr:to>
      <xdr:col>64</xdr:col>
      <xdr:colOff>571500</xdr:colOff>
      <xdr:row>40</xdr:row>
      <xdr:rowOff>129539</xdr:rowOff>
    </xdr:to>
    <xdr:pic>
      <xdr:nvPicPr>
        <xdr:cNvPr id="9" name="Picture 15">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rot="60000">
          <a:off x="33611820" y="167639"/>
          <a:ext cx="5029200" cy="6667500"/>
        </a:xfrm>
        <a:prstGeom prst="rect">
          <a:avLst/>
        </a:prstGeom>
        <a:noFill/>
      </xdr:spPr>
    </xdr:pic>
    <xdr:clientData/>
  </xdr:twoCellAnchor>
  <xdr:twoCellAnchor editAs="oneCell">
    <xdr:from>
      <xdr:col>64</xdr:col>
      <xdr:colOff>487680</xdr:colOff>
      <xdr:row>0</xdr:row>
      <xdr:rowOff>91440</xdr:rowOff>
    </xdr:from>
    <xdr:to>
      <xdr:col>74</xdr:col>
      <xdr:colOff>373380</xdr:colOff>
      <xdr:row>40</xdr:row>
      <xdr:rowOff>83820</xdr:rowOff>
    </xdr:to>
    <xdr:pic>
      <xdr:nvPicPr>
        <xdr:cNvPr id="10" name="Picture 16">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rot="60000">
          <a:off x="38557200" y="91440"/>
          <a:ext cx="5554980" cy="6697980"/>
        </a:xfrm>
        <a:prstGeom prst="rect">
          <a:avLst/>
        </a:prstGeom>
        <a:noFill/>
      </xdr:spPr>
    </xdr:pic>
    <xdr:clientData/>
  </xdr:twoCellAnchor>
  <xdr:twoCellAnchor editAs="oneCell">
    <xdr:from>
      <xdr:col>74</xdr:col>
      <xdr:colOff>289560</xdr:colOff>
      <xdr:row>0</xdr:row>
      <xdr:rowOff>114300</xdr:rowOff>
    </xdr:from>
    <xdr:to>
      <xdr:col>84</xdr:col>
      <xdr:colOff>312420</xdr:colOff>
      <xdr:row>40</xdr:row>
      <xdr:rowOff>114300</xdr:rowOff>
    </xdr:to>
    <xdr:pic>
      <xdr:nvPicPr>
        <xdr:cNvPr id="11" name="Picture 17">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43982640" y="114300"/>
          <a:ext cx="5539740" cy="6705600"/>
        </a:xfrm>
        <a:prstGeom prst="rect">
          <a:avLst/>
        </a:prstGeom>
        <a:noFill/>
      </xdr:spPr>
    </xdr:pic>
    <xdr:clientData/>
  </xdr:twoCellAnchor>
  <xdr:twoCellAnchor editAs="oneCell">
    <xdr:from>
      <xdr:col>84</xdr:col>
      <xdr:colOff>236219</xdr:colOff>
      <xdr:row>0</xdr:row>
      <xdr:rowOff>137160</xdr:rowOff>
    </xdr:from>
    <xdr:to>
      <xdr:col>94</xdr:col>
      <xdr:colOff>243839</xdr:colOff>
      <xdr:row>40</xdr:row>
      <xdr:rowOff>114300</xdr:rowOff>
    </xdr:to>
    <xdr:pic>
      <xdr:nvPicPr>
        <xdr:cNvPr id="12" name="Picture 18">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rot="60000">
          <a:off x="49491899" y="137160"/>
          <a:ext cx="5585460" cy="6682740"/>
        </a:xfrm>
        <a:prstGeom prst="rect">
          <a:avLst/>
        </a:prstGeom>
        <a:noFill/>
      </xdr:spPr>
    </xdr:pic>
    <xdr:clientData/>
  </xdr:twoCellAnchor>
  <xdr:twoCellAnchor editAs="oneCell">
    <xdr:from>
      <xdr:col>94</xdr:col>
      <xdr:colOff>167640</xdr:colOff>
      <xdr:row>1</xdr:row>
      <xdr:rowOff>38100</xdr:rowOff>
    </xdr:from>
    <xdr:to>
      <xdr:col>102</xdr:col>
      <xdr:colOff>403860</xdr:colOff>
      <xdr:row>41</xdr:row>
      <xdr:rowOff>0</xdr:rowOff>
    </xdr:to>
    <xdr:pic>
      <xdr:nvPicPr>
        <xdr:cNvPr id="13" name="Picture 19">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rot="60000">
          <a:off x="55001160" y="205740"/>
          <a:ext cx="5113020" cy="6667500"/>
        </a:xfrm>
        <a:prstGeom prst="rect">
          <a:avLst/>
        </a:prstGeom>
        <a:noFill/>
      </xdr:spPr>
    </xdr:pic>
    <xdr:clientData/>
  </xdr:twoCellAnchor>
  <xdr:twoCellAnchor editAs="oneCell">
    <xdr:from>
      <xdr:col>0</xdr:col>
      <xdr:colOff>137160</xdr:colOff>
      <xdr:row>0</xdr:row>
      <xdr:rowOff>83820</xdr:rowOff>
    </xdr:from>
    <xdr:to>
      <xdr:col>8</xdr:col>
      <xdr:colOff>541020</xdr:colOff>
      <xdr:row>39</xdr:row>
      <xdr:rowOff>152400</xdr:rowOff>
    </xdr:to>
    <xdr:pic>
      <xdr:nvPicPr>
        <xdr:cNvPr id="12289" name="Picture 1">
          <a:extLst>
            <a:ext uri="{FF2B5EF4-FFF2-40B4-BE49-F238E27FC236}">
              <a16:creationId xmlns:a16="http://schemas.microsoft.com/office/drawing/2014/main" id="{00000000-0008-0000-0500-00000130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rot="-60000">
          <a:off x="137160" y="83820"/>
          <a:ext cx="4930140" cy="66065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26" Type="http://schemas.openxmlformats.org/officeDocument/2006/relationships/oleObject" Target="../embeddings/oleObject12.bin"/><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2.xml"/><Relationship Id="rId16" Type="http://schemas.openxmlformats.org/officeDocument/2006/relationships/oleObject" Target="../embeddings/oleObject7.bin"/><Relationship Id="rId20" Type="http://schemas.openxmlformats.org/officeDocument/2006/relationships/oleObject" Target="../embeddings/oleObject9.bin"/><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24" Type="http://schemas.openxmlformats.org/officeDocument/2006/relationships/oleObject" Target="../embeddings/oleObject11.bin"/><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60E2-9018-4AC0-8BDF-3791A8374ACC}">
  <dimension ref="A1"/>
  <sheetViews>
    <sheetView tabSelected="1" workbookViewId="0"/>
  </sheetViews>
  <sheetFormatPr defaultRowHeight="12.75" x14ac:dyDescent="0.2"/>
  <sheetData>
    <row r="1" spans="1:1" ht="18.75" x14ac:dyDescent="0.2">
      <c r="A1" s="626"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62"/>
  <sheetViews>
    <sheetView topLeftCell="B1" zoomScaleNormal="100" zoomScaleSheetLayoutView="100" workbookViewId="0">
      <selection activeCell="M27" sqref="M27"/>
    </sheetView>
  </sheetViews>
  <sheetFormatPr defaultColWidth="8.85546875" defaultRowHeight="12.75" x14ac:dyDescent="0.2"/>
  <cols>
    <col min="1" max="1" width="1.7109375" style="5" customWidth="1"/>
    <col min="2" max="2" width="13.7109375" style="5" customWidth="1"/>
    <col min="3" max="3" width="29.140625" style="5" customWidth="1"/>
    <col min="4" max="4" width="17.5703125" style="5" customWidth="1"/>
    <col min="5" max="5" width="12.140625" style="5" customWidth="1"/>
    <col min="6" max="6" width="11.28515625" style="5" customWidth="1"/>
    <col min="7" max="7" width="10.7109375" style="5" customWidth="1"/>
    <col min="8" max="8" width="3" style="5" customWidth="1"/>
    <col min="9" max="9" width="6.42578125" style="5" customWidth="1"/>
    <col min="10" max="10" width="11.140625" style="5" customWidth="1"/>
    <col min="11" max="11" width="15" style="5" customWidth="1"/>
    <col min="12" max="12" width="20.42578125" style="5" customWidth="1"/>
    <col min="13" max="13" width="16.5703125" style="5" customWidth="1"/>
    <col min="14" max="14" width="11.140625" style="5" customWidth="1"/>
    <col min="15" max="16384" width="8.85546875" style="5"/>
  </cols>
  <sheetData>
    <row r="1" spans="2:21" ht="15" customHeight="1" thickTop="1" x14ac:dyDescent="0.4">
      <c r="B1" s="44" t="s">
        <v>8</v>
      </c>
      <c r="C1" s="43" t="s">
        <v>9</v>
      </c>
      <c r="D1" s="42" t="s">
        <v>10</v>
      </c>
      <c r="E1" s="432">
        <v>45678</v>
      </c>
      <c r="F1" s="432"/>
      <c r="G1" s="432"/>
      <c r="H1" s="432"/>
      <c r="I1" s="41"/>
      <c r="J1" s="40"/>
      <c r="K1" s="10"/>
      <c r="L1" s="10"/>
      <c r="M1" s="10"/>
      <c r="N1" s="10"/>
      <c r="O1" s="10"/>
      <c r="P1" s="10"/>
    </row>
    <row r="2" spans="2:21" ht="15" customHeight="1" x14ac:dyDescent="0.3">
      <c r="B2" s="37" t="s">
        <v>11</v>
      </c>
      <c r="C2" s="39">
        <v>1234567</v>
      </c>
      <c r="D2" s="36" t="s">
        <v>12</v>
      </c>
      <c r="E2" s="49">
        <v>1</v>
      </c>
      <c r="F2" s="27" t="s">
        <v>13</v>
      </c>
      <c r="G2" s="433">
        <v>1</v>
      </c>
      <c r="H2" s="433"/>
      <c r="I2" s="34"/>
      <c r="J2" s="26"/>
      <c r="K2" s="10"/>
      <c r="L2" s="10"/>
      <c r="M2" s="10"/>
      <c r="N2" s="10"/>
      <c r="O2" s="10"/>
      <c r="P2" s="10"/>
    </row>
    <row r="3" spans="2:21" ht="15" customHeight="1" x14ac:dyDescent="0.3">
      <c r="B3" s="37" t="s">
        <v>14</v>
      </c>
      <c r="C3" s="38">
        <v>1960</v>
      </c>
      <c r="D3" s="36" t="s">
        <v>248</v>
      </c>
      <c r="E3" s="35" t="s">
        <v>288</v>
      </c>
      <c r="F3" s="27" t="s">
        <v>5</v>
      </c>
      <c r="G3" s="434">
        <v>40261</v>
      </c>
      <c r="H3" s="434"/>
      <c r="I3" s="34"/>
      <c r="J3" s="26"/>
      <c r="K3" s="10"/>
      <c r="L3" s="10"/>
      <c r="M3" s="10"/>
      <c r="N3" s="10"/>
      <c r="O3" s="10"/>
      <c r="P3" s="10"/>
    </row>
    <row r="4" spans="2:21" ht="15" customHeight="1" x14ac:dyDescent="0.3">
      <c r="B4" s="37" t="s">
        <v>17</v>
      </c>
      <c r="C4" s="48" t="s">
        <v>2</v>
      </c>
      <c r="D4" s="36" t="s">
        <v>27</v>
      </c>
      <c r="E4" s="35" t="s">
        <v>289</v>
      </c>
      <c r="F4" s="27" t="s">
        <v>5</v>
      </c>
      <c r="G4" s="434">
        <v>40262</v>
      </c>
      <c r="H4" s="434"/>
      <c r="I4" s="34"/>
      <c r="J4" s="26"/>
      <c r="K4" s="10"/>
      <c r="L4" s="10"/>
      <c r="M4" s="10"/>
      <c r="N4" s="10"/>
      <c r="O4" s="10"/>
      <c r="P4" s="10"/>
    </row>
    <row r="5" spans="2:21" ht="8.4499999999999993" customHeight="1" thickBot="1" x14ac:dyDescent="0.35">
      <c r="B5" s="33"/>
      <c r="C5" s="47"/>
      <c r="D5" s="32"/>
      <c r="E5" s="32"/>
      <c r="F5" s="32"/>
      <c r="G5" s="31"/>
      <c r="H5" s="31"/>
      <c r="I5" s="30"/>
      <c r="J5" s="26"/>
      <c r="K5" s="10"/>
      <c r="L5" s="10"/>
      <c r="M5" s="10"/>
      <c r="N5" s="10"/>
      <c r="O5" s="10"/>
      <c r="P5" s="10"/>
    </row>
    <row r="6" spans="2:21" ht="7.15" customHeight="1" thickTop="1" x14ac:dyDescent="0.3">
      <c r="B6" s="27"/>
      <c r="C6" s="29"/>
      <c r="D6" s="27"/>
      <c r="E6" s="27"/>
      <c r="F6" s="27"/>
      <c r="G6" s="28"/>
      <c r="H6" s="28"/>
      <c r="I6" s="27"/>
      <c r="J6" s="26"/>
      <c r="K6" s="10"/>
      <c r="L6" s="10"/>
      <c r="M6" s="10"/>
      <c r="N6" s="10"/>
      <c r="O6" s="10"/>
      <c r="P6" s="10"/>
    </row>
    <row r="7" spans="2:21" ht="22.9" customHeight="1" thickBot="1" x14ac:dyDescent="0.35">
      <c r="B7" s="444" t="s">
        <v>26</v>
      </c>
      <c r="C7" s="444"/>
      <c r="D7" s="444"/>
      <c r="E7" s="444"/>
      <c r="F7" s="444"/>
      <c r="G7" s="444"/>
      <c r="H7" s="444"/>
      <c r="I7" s="444"/>
      <c r="J7" s="26"/>
      <c r="K7" s="10"/>
      <c r="L7" s="10"/>
      <c r="M7" s="10"/>
      <c r="N7" s="10"/>
      <c r="O7" s="10"/>
      <c r="P7" s="10"/>
    </row>
    <row r="8" spans="2:21" ht="18.600000000000001" customHeight="1" thickTop="1" x14ac:dyDescent="0.3">
      <c r="B8" s="435"/>
      <c r="C8" s="436"/>
      <c r="D8" s="436"/>
      <c r="E8" s="436"/>
      <c r="F8" s="436"/>
      <c r="G8" s="436"/>
      <c r="H8" s="436"/>
      <c r="I8" s="437"/>
      <c r="J8" s="25"/>
      <c r="K8" s="24"/>
      <c r="L8" s="24"/>
      <c r="M8" s="24"/>
      <c r="N8" s="24"/>
      <c r="O8" s="24"/>
      <c r="U8" s="24"/>
    </row>
    <row r="9" spans="2:21" ht="15.4" customHeight="1" x14ac:dyDescent="0.3">
      <c r="B9" s="438"/>
      <c r="C9" s="439"/>
      <c r="D9" s="439"/>
      <c r="E9" s="439"/>
      <c r="F9" s="439"/>
      <c r="G9" s="439"/>
      <c r="H9" s="439"/>
      <c r="I9" s="440"/>
      <c r="J9" s="21"/>
      <c r="K9" s="23"/>
      <c r="L9" s="10"/>
      <c r="M9" s="23"/>
      <c r="N9" s="10"/>
      <c r="O9" s="23"/>
      <c r="U9" s="10"/>
    </row>
    <row r="10" spans="2:21" ht="15.4" customHeight="1" x14ac:dyDescent="0.3">
      <c r="B10" s="438"/>
      <c r="C10" s="439"/>
      <c r="D10" s="439"/>
      <c r="E10" s="439"/>
      <c r="F10" s="439"/>
      <c r="G10" s="439"/>
      <c r="H10" s="439"/>
      <c r="I10" s="440"/>
      <c r="J10" s="21"/>
      <c r="K10" s="342"/>
      <c r="L10" s="10"/>
      <c r="M10" s="10"/>
      <c r="N10" s="10"/>
      <c r="O10" s="10"/>
      <c r="U10" s="10"/>
    </row>
    <row r="11" spans="2:21" ht="15.4" customHeight="1" x14ac:dyDescent="0.3">
      <c r="B11" s="438"/>
      <c r="C11" s="439"/>
      <c r="D11" s="439"/>
      <c r="E11" s="439"/>
      <c r="F11" s="439"/>
      <c r="G11" s="439"/>
      <c r="H11" s="439"/>
      <c r="I11" s="440"/>
      <c r="J11" s="22"/>
      <c r="K11" s="10" t="s">
        <v>253</v>
      </c>
      <c r="L11" s="10"/>
      <c r="M11" s="10"/>
      <c r="N11" s="10"/>
      <c r="O11" s="10"/>
      <c r="U11" s="10"/>
    </row>
    <row r="12" spans="2:21" ht="15.4" customHeight="1" x14ac:dyDescent="0.3">
      <c r="B12" s="438"/>
      <c r="C12" s="439"/>
      <c r="D12" s="439"/>
      <c r="E12" s="439"/>
      <c r="F12" s="439"/>
      <c r="G12" s="439"/>
      <c r="H12" s="439"/>
      <c r="I12" s="440"/>
      <c r="J12" s="21"/>
      <c r="K12" s="10" t="s">
        <v>264</v>
      </c>
      <c r="L12" s="10"/>
      <c r="M12" s="10"/>
      <c r="N12" s="10"/>
      <c r="O12" s="10"/>
      <c r="U12" s="10"/>
    </row>
    <row r="13" spans="2:21" ht="15.4" customHeight="1" x14ac:dyDescent="0.3">
      <c r="B13" s="438"/>
      <c r="C13" s="439"/>
      <c r="D13" s="439"/>
      <c r="E13" s="439"/>
      <c r="F13" s="439"/>
      <c r="G13" s="439"/>
      <c r="H13" s="439"/>
      <c r="I13" s="440"/>
      <c r="J13" s="21"/>
      <c r="K13" s="10"/>
      <c r="L13" s="10"/>
      <c r="M13" s="10"/>
      <c r="N13" s="10"/>
      <c r="O13" s="10"/>
      <c r="U13" s="10"/>
    </row>
    <row r="14" spans="2:21" ht="15.4" customHeight="1" x14ac:dyDescent="0.3">
      <c r="B14" s="438"/>
      <c r="C14" s="439"/>
      <c r="D14" s="439"/>
      <c r="E14" s="439"/>
      <c r="F14" s="439"/>
      <c r="G14" s="439"/>
      <c r="H14" s="439"/>
      <c r="I14" s="440"/>
      <c r="J14" s="21"/>
      <c r="K14" s="10"/>
      <c r="L14" s="10"/>
      <c r="M14" s="10"/>
      <c r="N14" s="10"/>
      <c r="O14" s="10"/>
      <c r="U14" s="10"/>
    </row>
    <row r="15" spans="2:21" ht="15.4" customHeight="1" x14ac:dyDescent="0.3">
      <c r="B15" s="438"/>
      <c r="C15" s="439"/>
      <c r="D15" s="439"/>
      <c r="E15" s="439"/>
      <c r="F15" s="439"/>
      <c r="G15" s="439"/>
      <c r="H15" s="439"/>
      <c r="I15" s="440"/>
      <c r="J15" s="21"/>
      <c r="K15" s="10"/>
      <c r="L15" s="10"/>
      <c r="M15" s="10"/>
      <c r="N15" s="10"/>
      <c r="O15" s="10"/>
      <c r="U15" s="10"/>
    </row>
    <row r="16" spans="2:21" ht="15.4" customHeight="1" x14ac:dyDescent="0.3">
      <c r="B16" s="438"/>
      <c r="C16" s="439"/>
      <c r="D16" s="439"/>
      <c r="E16" s="439"/>
      <c r="F16" s="439"/>
      <c r="G16" s="439"/>
      <c r="H16" s="439"/>
      <c r="I16" s="440"/>
      <c r="J16" s="20"/>
      <c r="K16" s="10"/>
      <c r="L16" s="10"/>
      <c r="M16" s="10"/>
      <c r="N16" s="10"/>
      <c r="O16" s="10"/>
      <c r="U16" s="10"/>
    </row>
    <row r="17" spans="2:21" ht="15.4" customHeight="1" x14ac:dyDescent="0.3">
      <c r="B17" s="438"/>
      <c r="C17" s="439"/>
      <c r="D17" s="439"/>
      <c r="E17" s="439"/>
      <c r="F17" s="439"/>
      <c r="G17" s="439"/>
      <c r="H17" s="439"/>
      <c r="I17" s="440"/>
      <c r="J17" s="20"/>
      <c r="K17" s="10"/>
      <c r="L17" s="10"/>
      <c r="M17" s="10"/>
      <c r="N17" s="10"/>
      <c r="O17" s="10"/>
      <c r="U17" s="10"/>
    </row>
    <row r="18" spans="2:21" ht="15.4" customHeight="1" x14ac:dyDescent="0.3">
      <c r="B18" s="438"/>
      <c r="C18" s="439"/>
      <c r="D18" s="439"/>
      <c r="E18" s="439"/>
      <c r="F18" s="439"/>
      <c r="G18" s="439"/>
      <c r="H18" s="439"/>
      <c r="I18" s="440"/>
      <c r="K18" s="10"/>
      <c r="L18" s="10"/>
      <c r="M18" s="10"/>
      <c r="N18" s="10"/>
      <c r="O18" s="10"/>
      <c r="U18" s="10"/>
    </row>
    <row r="19" spans="2:21" ht="15.4" customHeight="1" x14ac:dyDescent="0.3">
      <c r="B19" s="438"/>
      <c r="C19" s="439"/>
      <c r="D19" s="439"/>
      <c r="E19" s="439"/>
      <c r="F19" s="439"/>
      <c r="G19" s="439"/>
      <c r="H19" s="439"/>
      <c r="I19" s="440"/>
      <c r="K19" s="10" t="s">
        <v>19</v>
      </c>
      <c r="L19" s="10"/>
      <c r="M19" s="10"/>
      <c r="N19" s="10"/>
      <c r="O19" s="10"/>
      <c r="U19" s="10"/>
    </row>
    <row r="20" spans="2:21" ht="15.4" customHeight="1" x14ac:dyDescent="0.3">
      <c r="B20" s="438"/>
      <c r="C20" s="439"/>
      <c r="D20" s="439"/>
      <c r="E20" s="439"/>
      <c r="F20" s="439"/>
      <c r="G20" s="439"/>
      <c r="H20" s="439"/>
      <c r="I20" s="440"/>
      <c r="K20" s="10"/>
      <c r="L20" s="10"/>
      <c r="M20" s="10"/>
      <c r="N20" s="10"/>
      <c r="O20" s="10"/>
      <c r="U20" s="10"/>
    </row>
    <row r="21" spans="2:21" ht="15.4" customHeight="1" x14ac:dyDescent="0.3">
      <c r="B21" s="438"/>
      <c r="C21" s="439"/>
      <c r="D21" s="439"/>
      <c r="E21" s="439"/>
      <c r="F21" s="439"/>
      <c r="G21" s="439"/>
      <c r="H21" s="439"/>
      <c r="I21" s="440"/>
      <c r="K21" s="19"/>
      <c r="L21" s="10"/>
      <c r="M21" s="10"/>
      <c r="N21" s="10"/>
      <c r="O21" s="10"/>
      <c r="U21" s="10"/>
    </row>
    <row r="22" spans="2:21" ht="15.4" customHeight="1" x14ac:dyDescent="0.3">
      <c r="B22" s="438"/>
      <c r="C22" s="439"/>
      <c r="D22" s="439"/>
      <c r="E22" s="439"/>
      <c r="F22" s="439"/>
      <c r="G22" s="439"/>
      <c r="H22" s="439"/>
      <c r="I22" s="440"/>
      <c r="K22" s="19"/>
      <c r="L22" s="10"/>
      <c r="M22" s="10"/>
      <c r="N22" s="10"/>
      <c r="O22" s="10"/>
      <c r="U22" s="10"/>
    </row>
    <row r="23" spans="2:21" ht="15.4" customHeight="1" x14ac:dyDescent="0.3">
      <c r="B23" s="438"/>
      <c r="C23" s="439"/>
      <c r="D23" s="439"/>
      <c r="E23" s="439"/>
      <c r="F23" s="439"/>
      <c r="G23" s="439"/>
      <c r="H23" s="439"/>
      <c r="I23" s="440"/>
      <c r="K23" s="18"/>
      <c r="L23" s="10"/>
      <c r="M23" s="10"/>
      <c r="N23" s="10"/>
      <c r="O23" s="10"/>
      <c r="U23" s="10"/>
    </row>
    <row r="24" spans="2:21" ht="15.4" customHeight="1" x14ac:dyDescent="0.3">
      <c r="B24" s="438"/>
      <c r="C24" s="439"/>
      <c r="D24" s="439"/>
      <c r="E24" s="439"/>
      <c r="F24" s="439"/>
      <c r="G24" s="439"/>
      <c r="H24" s="439"/>
      <c r="I24" s="440"/>
      <c r="K24" s="17" t="s">
        <v>19</v>
      </c>
      <c r="L24" s="10"/>
      <c r="M24" s="10"/>
      <c r="N24" s="10"/>
      <c r="O24" s="10"/>
      <c r="U24" s="10"/>
    </row>
    <row r="25" spans="2:21" ht="15.4" customHeight="1" x14ac:dyDescent="0.3">
      <c r="B25" s="438"/>
      <c r="C25" s="439"/>
      <c r="D25" s="439"/>
      <c r="E25" s="439"/>
      <c r="F25" s="439"/>
      <c r="G25" s="439"/>
      <c r="H25" s="439"/>
      <c r="I25" s="440"/>
      <c r="K25" s="10"/>
      <c r="L25" s="10"/>
      <c r="M25" s="10"/>
      <c r="N25" s="10"/>
      <c r="O25" s="10"/>
      <c r="U25" s="10"/>
    </row>
    <row r="26" spans="2:21" ht="15.4" customHeight="1" x14ac:dyDescent="0.3">
      <c r="B26" s="438"/>
      <c r="C26" s="439"/>
      <c r="D26" s="439"/>
      <c r="E26" s="439"/>
      <c r="F26" s="439"/>
      <c r="G26" s="439"/>
      <c r="H26" s="439"/>
      <c r="I26" s="440"/>
      <c r="K26" s="10"/>
      <c r="L26" s="10"/>
      <c r="M26" s="10"/>
      <c r="N26" s="10"/>
      <c r="O26" s="10"/>
      <c r="U26" s="10"/>
    </row>
    <row r="27" spans="2:21" ht="15.4" customHeight="1" x14ac:dyDescent="0.3">
      <c r="B27" s="438"/>
      <c r="C27" s="439"/>
      <c r="D27" s="439"/>
      <c r="E27" s="439"/>
      <c r="F27" s="439"/>
      <c r="G27" s="439"/>
      <c r="H27" s="439"/>
      <c r="I27" s="440"/>
      <c r="K27" s="10"/>
      <c r="L27" s="10" t="s">
        <v>256</v>
      </c>
      <c r="M27" s="10"/>
      <c r="N27" s="10"/>
      <c r="O27" s="10"/>
      <c r="U27" s="10"/>
    </row>
    <row r="28" spans="2:21" ht="61.15" customHeight="1" thickBot="1" x14ac:dyDescent="0.35">
      <c r="B28" s="441"/>
      <c r="C28" s="442"/>
      <c r="D28" s="442"/>
      <c r="E28" s="442"/>
      <c r="F28" s="442"/>
      <c r="G28" s="442"/>
      <c r="H28" s="442"/>
      <c r="I28" s="443"/>
      <c r="K28" s="10"/>
      <c r="L28" s="10"/>
      <c r="M28" s="10"/>
      <c r="N28" s="10"/>
      <c r="O28" s="10"/>
      <c r="U28" s="10"/>
    </row>
    <row r="29" spans="2:21" ht="66" customHeight="1" thickTop="1" x14ac:dyDescent="0.3">
      <c r="B29" s="448" t="s">
        <v>128</v>
      </c>
      <c r="C29" s="449"/>
      <c r="D29" s="449"/>
      <c r="E29" s="449"/>
      <c r="F29" s="449"/>
      <c r="G29" s="449"/>
      <c r="H29" s="449"/>
      <c r="I29" s="449"/>
      <c r="K29" s="10"/>
      <c r="L29" s="10"/>
      <c r="M29" s="10"/>
      <c r="N29" s="10"/>
      <c r="O29" s="10"/>
      <c r="U29" s="10"/>
    </row>
    <row r="30" spans="2:21" ht="6" customHeight="1" thickBot="1" x14ac:dyDescent="0.35">
      <c r="B30" s="119"/>
      <c r="C30" s="46"/>
      <c r="D30" s="46"/>
      <c r="E30" s="46"/>
      <c r="F30" s="46"/>
      <c r="G30" s="46"/>
      <c r="H30" s="46"/>
      <c r="I30" s="46"/>
      <c r="K30" s="10"/>
      <c r="L30" s="10"/>
      <c r="M30" s="10"/>
      <c r="N30" s="10"/>
      <c r="O30" s="10"/>
      <c r="U30" s="10"/>
    </row>
    <row r="31" spans="2:21" ht="22.15" customHeight="1" thickTop="1" x14ac:dyDescent="0.3">
      <c r="B31" s="445" t="s">
        <v>270</v>
      </c>
      <c r="C31" s="446"/>
      <c r="D31" s="446"/>
      <c r="E31" s="446"/>
      <c r="F31" s="446"/>
      <c r="G31" s="446"/>
      <c r="H31" s="447"/>
      <c r="I31" s="13"/>
      <c r="O31" s="10"/>
      <c r="U31" s="10"/>
    </row>
    <row r="32" spans="2:21" ht="15" customHeight="1" thickBot="1" x14ac:dyDescent="0.35">
      <c r="B32" s="362"/>
      <c r="C32" s="363"/>
      <c r="D32" s="431" t="s">
        <v>271</v>
      </c>
      <c r="E32" s="431"/>
      <c r="F32" s="431"/>
      <c r="G32" s="431"/>
      <c r="H32" s="364"/>
      <c r="I32" s="13"/>
      <c r="O32" s="10"/>
      <c r="U32" s="10"/>
    </row>
    <row r="33" spans="2:21" ht="15.2" customHeight="1" thickTop="1" x14ac:dyDescent="0.3">
      <c r="B33" s="452" t="s">
        <v>121</v>
      </c>
      <c r="C33" s="453"/>
      <c r="D33" s="392" t="s">
        <v>86</v>
      </c>
      <c r="E33" s="393"/>
      <c r="F33" s="393"/>
      <c r="G33" s="393"/>
      <c r="H33" s="394"/>
      <c r="I33" s="114" t="s">
        <v>70</v>
      </c>
      <c r="O33" s="10"/>
      <c r="U33" s="10"/>
    </row>
    <row r="34" spans="2:21" ht="15.2" customHeight="1" x14ac:dyDescent="0.3">
      <c r="B34" s="459" t="s">
        <v>122</v>
      </c>
      <c r="C34" s="460"/>
      <c r="D34" s="414" t="s">
        <v>124</v>
      </c>
      <c r="E34" s="390"/>
      <c r="F34" s="390"/>
      <c r="G34" s="390"/>
      <c r="H34" s="391"/>
      <c r="I34" s="114" t="s">
        <v>70</v>
      </c>
      <c r="O34" s="10"/>
      <c r="U34" s="10"/>
    </row>
    <row r="35" spans="2:21" ht="15.2" customHeight="1" thickBot="1" x14ac:dyDescent="0.35">
      <c r="B35" s="409" t="s">
        <v>129</v>
      </c>
      <c r="C35" s="410"/>
      <c r="D35" s="411" t="s">
        <v>130</v>
      </c>
      <c r="E35" s="412"/>
      <c r="F35" s="412"/>
      <c r="G35" s="412"/>
      <c r="H35" s="413"/>
      <c r="I35" s="114" t="s">
        <v>70</v>
      </c>
      <c r="O35" s="10"/>
      <c r="U35" s="10"/>
    </row>
    <row r="36" spans="2:21" ht="15" customHeight="1" thickTop="1" x14ac:dyDescent="0.3">
      <c r="B36" s="395" t="s">
        <v>287</v>
      </c>
      <c r="C36" s="396"/>
      <c r="D36" s="457">
        <v>3.5</v>
      </c>
      <c r="E36" s="458"/>
      <c r="F36" s="117"/>
      <c r="G36" s="118"/>
      <c r="H36" s="118"/>
      <c r="O36" s="10"/>
      <c r="U36" s="10"/>
    </row>
    <row r="37" spans="2:21" ht="15" customHeight="1" x14ac:dyDescent="0.3">
      <c r="B37" s="395" t="s">
        <v>20</v>
      </c>
      <c r="C37" s="396"/>
      <c r="D37" s="457">
        <v>3.5</v>
      </c>
      <c r="E37" s="458"/>
      <c r="F37" s="365"/>
      <c r="G37" s="366"/>
      <c r="H37" s="366"/>
      <c r="I37" s="366"/>
      <c r="O37" s="10"/>
      <c r="U37" s="10"/>
    </row>
    <row r="38" spans="2:21" ht="15" customHeight="1" x14ac:dyDescent="0.3">
      <c r="B38" s="395" t="s">
        <v>252</v>
      </c>
      <c r="C38" s="396"/>
      <c r="D38" s="457">
        <v>10</v>
      </c>
      <c r="E38" s="458"/>
      <c r="F38" s="16"/>
      <c r="G38" s="16"/>
      <c r="H38" s="15"/>
      <c r="I38" s="13"/>
      <c r="O38" s="10"/>
      <c r="U38" s="10"/>
    </row>
    <row r="39" spans="2:21" ht="15" customHeight="1" x14ac:dyDescent="0.3">
      <c r="B39" s="395" t="s">
        <v>21</v>
      </c>
      <c r="C39" s="396"/>
      <c r="D39" s="457">
        <v>6</v>
      </c>
      <c r="E39" s="458"/>
      <c r="F39" s="16"/>
      <c r="G39" s="16"/>
      <c r="H39" s="15"/>
      <c r="I39" s="13"/>
      <c r="O39" s="10"/>
      <c r="U39" s="10"/>
    </row>
    <row r="40" spans="2:21" ht="15" customHeight="1" x14ac:dyDescent="0.3">
      <c r="B40" s="395" t="s">
        <v>22</v>
      </c>
      <c r="C40" s="396"/>
      <c r="D40" s="450">
        <v>20</v>
      </c>
      <c r="E40" s="451"/>
      <c r="F40" s="16"/>
      <c r="G40" s="16"/>
      <c r="H40" s="15"/>
      <c r="I40" s="13"/>
      <c r="O40" s="10"/>
      <c r="U40" s="10"/>
    </row>
    <row r="41" spans="2:21" ht="30" customHeight="1" thickBot="1" x14ac:dyDescent="0.35">
      <c r="B41" s="426" t="s">
        <v>278</v>
      </c>
      <c r="C41" s="427"/>
      <c r="D41" s="415">
        <v>15</v>
      </c>
      <c r="E41" s="416"/>
      <c r="F41" s="380" t="s">
        <v>281</v>
      </c>
      <c r="G41" s="347"/>
      <c r="H41" s="347"/>
      <c r="I41" s="13"/>
      <c r="J41" s="357" t="s">
        <v>19</v>
      </c>
      <c r="O41" s="10"/>
      <c r="U41" s="10"/>
    </row>
    <row r="42" spans="2:21" ht="15" customHeight="1" thickTop="1" x14ac:dyDescent="0.3">
      <c r="B42" s="399" t="s">
        <v>23</v>
      </c>
      <c r="C42" s="400"/>
      <c r="D42" s="45" t="s">
        <v>77</v>
      </c>
      <c r="E42" s="454" t="s">
        <v>41</v>
      </c>
      <c r="F42" s="455"/>
      <c r="G42" s="455"/>
      <c r="H42" s="456"/>
      <c r="I42" s="114" t="s">
        <v>70</v>
      </c>
      <c r="O42" s="10"/>
      <c r="U42" s="10"/>
    </row>
    <row r="43" spans="2:21" ht="15" customHeight="1" x14ac:dyDescent="0.3">
      <c r="B43" s="401"/>
      <c r="C43" s="402"/>
      <c r="D43" s="14" t="s">
        <v>37</v>
      </c>
      <c r="E43" s="428" t="s">
        <v>293</v>
      </c>
      <c r="F43" s="429"/>
      <c r="G43" s="429"/>
      <c r="H43" s="430"/>
      <c r="I43" s="114" t="s">
        <v>70</v>
      </c>
      <c r="O43" s="11"/>
      <c r="P43" s="11"/>
      <c r="Q43" s="11"/>
      <c r="R43" s="11"/>
      <c r="U43" s="10"/>
    </row>
    <row r="44" spans="2:21" ht="15" customHeight="1" thickBot="1" x14ac:dyDescent="0.35">
      <c r="B44" s="401"/>
      <c r="C44" s="402"/>
      <c r="D44" s="75" t="s">
        <v>36</v>
      </c>
      <c r="E44" s="389">
        <v>3</v>
      </c>
      <c r="F44" s="390"/>
      <c r="G44" s="390"/>
      <c r="H44" s="391"/>
      <c r="I44" s="114" t="s">
        <v>70</v>
      </c>
      <c r="O44" s="11"/>
      <c r="P44" s="11"/>
      <c r="Q44" s="11"/>
      <c r="R44" s="11"/>
      <c r="U44" s="10"/>
    </row>
    <row r="45" spans="2:21" ht="15" customHeight="1" thickTop="1" x14ac:dyDescent="0.3">
      <c r="B45" s="401"/>
      <c r="C45" s="402"/>
      <c r="D45" s="14" t="s">
        <v>24</v>
      </c>
      <c r="E45" s="80"/>
      <c r="F45" s="417" t="s">
        <v>277</v>
      </c>
      <c r="G45" s="418"/>
      <c r="H45" s="418"/>
      <c r="I45" s="419"/>
      <c r="O45" s="11"/>
      <c r="P45" s="11"/>
      <c r="Q45" s="11"/>
      <c r="R45" s="11"/>
      <c r="U45" s="10"/>
    </row>
    <row r="46" spans="2:21" ht="15" customHeight="1" x14ac:dyDescent="0.3">
      <c r="B46" s="401"/>
      <c r="C46" s="402"/>
      <c r="D46" s="14" t="s">
        <v>25</v>
      </c>
      <c r="E46" s="80"/>
      <c r="F46" s="420"/>
      <c r="G46" s="421"/>
      <c r="H46" s="421"/>
      <c r="I46" s="422"/>
      <c r="O46" s="11"/>
      <c r="P46" s="11"/>
      <c r="Q46" s="11"/>
      <c r="R46" s="11"/>
      <c r="U46" s="10"/>
    </row>
    <row r="47" spans="2:21" ht="15" customHeight="1" thickBot="1" x14ac:dyDescent="0.35">
      <c r="B47" s="401"/>
      <c r="C47" s="402"/>
      <c r="D47" s="14" t="s">
        <v>83</v>
      </c>
      <c r="E47" s="79"/>
      <c r="F47" s="423"/>
      <c r="G47" s="424"/>
      <c r="H47" s="424"/>
      <c r="I47" s="425"/>
      <c r="K47" s="11"/>
      <c r="L47" s="11"/>
      <c r="M47" s="11"/>
      <c r="N47" s="11"/>
      <c r="O47" s="11"/>
      <c r="P47" s="11"/>
      <c r="Q47" s="11"/>
      <c r="R47" s="11"/>
      <c r="U47" s="10"/>
    </row>
    <row r="48" spans="2:21" ht="15" customHeight="1" thickTop="1" x14ac:dyDescent="0.3">
      <c r="B48" s="407" t="s">
        <v>279</v>
      </c>
      <c r="C48" s="408"/>
      <c r="D48" s="405">
        <v>0</v>
      </c>
      <c r="E48" s="406"/>
      <c r="F48" s="367"/>
      <c r="G48" s="13"/>
      <c r="H48" s="12"/>
      <c r="L48" s="11"/>
      <c r="M48" s="11"/>
      <c r="N48" s="11"/>
      <c r="O48" s="11"/>
      <c r="P48" s="11"/>
      <c r="Q48" s="11"/>
      <c r="R48" s="11"/>
      <c r="U48" s="10"/>
    </row>
    <row r="49" spans="2:8" ht="15" customHeight="1" thickBot="1" x14ac:dyDescent="0.3">
      <c r="B49" s="403" t="s">
        <v>254</v>
      </c>
      <c r="C49" s="404"/>
      <c r="D49" s="397">
        <v>0</v>
      </c>
      <c r="E49" s="398"/>
      <c r="F49" s="6"/>
      <c r="G49" s="6"/>
      <c r="H49" s="6"/>
    </row>
    <row r="50" spans="2:8" ht="16.5" thickTop="1" x14ac:dyDescent="0.25">
      <c r="B50" s="368" t="s">
        <v>280</v>
      </c>
      <c r="C50" s="9"/>
      <c r="D50" s="7"/>
      <c r="F50" s="6"/>
      <c r="G50" s="6"/>
      <c r="H50" s="6"/>
    </row>
    <row r="51" spans="2:8" ht="15.75" x14ac:dyDescent="0.25">
      <c r="C51" s="9"/>
      <c r="F51" s="6"/>
      <c r="G51" s="6"/>
      <c r="H51" s="6"/>
    </row>
    <row r="52" spans="2:8" ht="15.75" x14ac:dyDescent="0.25">
      <c r="C52" s="8"/>
      <c r="D52" s="7"/>
      <c r="F52" s="6"/>
      <c r="G52" s="6"/>
      <c r="H52" s="6"/>
    </row>
    <row r="53" spans="2:8" ht="15.75" x14ac:dyDescent="0.25">
      <c r="C53" s="8"/>
      <c r="D53" s="7"/>
      <c r="F53" s="6"/>
      <c r="G53" s="6"/>
      <c r="H53" s="6"/>
    </row>
    <row r="54" spans="2:8" ht="15.75" x14ac:dyDescent="0.25">
      <c r="C54" s="8"/>
      <c r="D54" s="7"/>
      <c r="F54" s="6"/>
      <c r="G54" s="6"/>
      <c r="H54" s="6"/>
    </row>
    <row r="55" spans="2:8" ht="15.75" x14ac:dyDescent="0.25">
      <c r="C55" s="8"/>
      <c r="D55" s="7"/>
      <c r="F55" s="6"/>
      <c r="G55" s="6"/>
      <c r="H55" s="6"/>
    </row>
    <row r="56" spans="2:8" ht="15.75" x14ac:dyDescent="0.25">
      <c r="C56" s="8"/>
      <c r="D56" s="7"/>
      <c r="F56" s="6"/>
      <c r="G56" s="6"/>
      <c r="H56" s="6"/>
    </row>
    <row r="57" spans="2:8" ht="15.75" x14ac:dyDescent="0.25">
      <c r="C57" s="8"/>
      <c r="D57" s="7"/>
      <c r="F57" s="6"/>
      <c r="G57" s="6"/>
      <c r="H57" s="6"/>
    </row>
    <row r="58" spans="2:8" ht="15.75" x14ac:dyDescent="0.25">
      <c r="C58" s="8"/>
      <c r="D58" s="7"/>
      <c r="F58" s="6"/>
      <c r="G58" s="6"/>
      <c r="H58" s="6"/>
    </row>
    <row r="59" spans="2:8" ht="15.75" x14ac:dyDescent="0.25">
      <c r="C59" s="8"/>
      <c r="D59" s="7"/>
      <c r="F59" s="6"/>
      <c r="G59" s="6"/>
      <c r="H59" s="6"/>
    </row>
    <row r="60" spans="2:8" ht="15.75" x14ac:dyDescent="0.25">
      <c r="C60" s="8"/>
      <c r="D60" s="7"/>
      <c r="F60" s="6"/>
      <c r="G60" s="6"/>
      <c r="H60" s="6"/>
    </row>
    <row r="61" spans="2:8" ht="15.75" x14ac:dyDescent="0.25">
      <c r="C61" s="8"/>
      <c r="D61" s="7"/>
      <c r="F61" s="6"/>
      <c r="G61" s="6"/>
      <c r="H61" s="6"/>
    </row>
    <row r="62" spans="2:8" ht="15.75" x14ac:dyDescent="0.25">
      <c r="C62" s="8"/>
      <c r="D62" s="7"/>
      <c r="F62" s="6"/>
      <c r="G62" s="6"/>
      <c r="H62" s="6"/>
    </row>
  </sheetData>
  <mergeCells count="36">
    <mergeCell ref="B40:C40"/>
    <mergeCell ref="D40:E40"/>
    <mergeCell ref="B33:C33"/>
    <mergeCell ref="B36:C36"/>
    <mergeCell ref="E42:H42"/>
    <mergeCell ref="D39:E39"/>
    <mergeCell ref="B38:C38"/>
    <mergeCell ref="D36:E36"/>
    <mergeCell ref="D38:E38"/>
    <mergeCell ref="D37:E37"/>
    <mergeCell ref="B34:C34"/>
    <mergeCell ref="D32:G32"/>
    <mergeCell ref="E1:H1"/>
    <mergeCell ref="G2:H2"/>
    <mergeCell ref="G3:H3"/>
    <mergeCell ref="G4:H4"/>
    <mergeCell ref="B8:I28"/>
    <mergeCell ref="B7:I7"/>
    <mergeCell ref="B31:H31"/>
    <mergeCell ref="B29:I29"/>
    <mergeCell ref="E44:H44"/>
    <mergeCell ref="D33:H33"/>
    <mergeCell ref="B37:C37"/>
    <mergeCell ref="D49:E49"/>
    <mergeCell ref="B42:C47"/>
    <mergeCell ref="B49:C49"/>
    <mergeCell ref="D48:E48"/>
    <mergeCell ref="B48:C48"/>
    <mergeCell ref="B35:C35"/>
    <mergeCell ref="D35:H35"/>
    <mergeCell ref="D34:H34"/>
    <mergeCell ref="D41:E41"/>
    <mergeCell ref="F45:I47"/>
    <mergeCell ref="B41:C41"/>
    <mergeCell ref="B39:C39"/>
    <mergeCell ref="E43:H43"/>
  </mergeCells>
  <dataValidations count="6">
    <dataValidation type="list" allowBlank="1" showInputMessage="1" showErrorMessage="1" sqref="E44" xr:uid="{00000000-0002-0000-0000-000000000000}">
      <formula1>Gage_number</formula1>
    </dataValidation>
    <dataValidation type="list" allowBlank="1" showInputMessage="1" showErrorMessage="1" sqref="E42:H42" xr:uid="{00000000-0002-0000-0000-000001000000}">
      <formula1>metal_type</formula1>
    </dataValidation>
    <dataValidation type="list" allowBlank="1" showInputMessage="1" showErrorMessage="1" sqref="E43:H43" xr:uid="{00000000-0002-0000-0000-000002000000}">
      <formula1>corrugation_all</formula1>
    </dataValidation>
    <dataValidation type="list" allowBlank="1" showInputMessage="1" showErrorMessage="1" sqref="D33" xr:uid="{00000000-0002-0000-0000-000003000000}">
      <formula1>structure_type</formula1>
    </dataValidation>
    <dataValidation type="list" allowBlank="1" showInputMessage="1" showErrorMessage="1" sqref="D34:H34" xr:uid="{00000000-0002-0000-0000-000004000000}">
      <formula1>seam_type</formula1>
    </dataValidation>
    <dataValidation type="list" allowBlank="1" showInputMessage="1" showErrorMessage="1" sqref="D35:H35" xr:uid="{00000000-0002-0000-0000-000005000000}">
      <formula1>structure_category</formula1>
    </dataValidation>
  </dataValidations>
  <pageMargins left="0.5" right="0.5" top="0.65" bottom="0.65" header="0.3" footer="0.3"/>
  <pageSetup scale="86" orientation="portrait" r:id="rId1"/>
  <headerFooter>
    <oddFooter>&amp;Lrevised by ODOT 01/17/2012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8"/>
  <sheetViews>
    <sheetView zoomScaleNormal="100" workbookViewId="0">
      <selection activeCell="I211" sqref="I211"/>
    </sheetView>
  </sheetViews>
  <sheetFormatPr defaultColWidth="8.85546875" defaultRowHeight="12.75" x14ac:dyDescent="0.2"/>
  <cols>
    <col min="1" max="1" width="13.7109375" style="53" customWidth="1"/>
    <col min="2" max="2" width="24.140625" style="53" customWidth="1"/>
    <col min="3" max="3" width="16" style="53" customWidth="1"/>
    <col min="4" max="4" width="13.28515625" style="53" customWidth="1"/>
    <col min="5" max="5" width="11.28515625" style="53" customWidth="1"/>
    <col min="6" max="6" width="10.7109375" style="53" customWidth="1"/>
    <col min="7" max="7" width="3" style="53" customWidth="1"/>
    <col min="8" max="8" width="8.28515625" style="53" customWidth="1"/>
    <col min="9" max="16384" width="8.85546875" style="53"/>
  </cols>
  <sheetData>
    <row r="1" spans="1:11" ht="17.45" customHeight="1" thickTop="1" x14ac:dyDescent="0.2">
      <c r="A1" s="51" t="s">
        <v>8</v>
      </c>
      <c r="B1" s="358" t="str">
        <f>'input-structure info'!C1</f>
        <v>ABC-123-1234</v>
      </c>
      <c r="C1" s="52" t="s">
        <v>10</v>
      </c>
      <c r="D1" s="507">
        <f>'input-structure info'!E1</f>
        <v>45678</v>
      </c>
      <c r="E1" s="507"/>
      <c r="F1" s="507"/>
      <c r="G1" s="508"/>
    </row>
    <row r="2" spans="1:11" ht="15" customHeight="1" x14ac:dyDescent="0.2">
      <c r="A2" s="54" t="s">
        <v>11</v>
      </c>
      <c r="B2" s="359">
        <f>'input-structure info'!C2</f>
        <v>1234567</v>
      </c>
      <c r="C2" s="55" t="s">
        <v>12</v>
      </c>
      <c r="D2" s="56"/>
      <c r="E2" s="57" t="s">
        <v>13</v>
      </c>
      <c r="F2" s="509">
        <v>6</v>
      </c>
      <c r="G2" s="510"/>
    </row>
    <row r="3" spans="1:11" ht="15" customHeight="1" x14ac:dyDescent="0.2">
      <c r="A3" s="54" t="s">
        <v>14</v>
      </c>
      <c r="B3" s="360">
        <f>'input-structure info'!C3</f>
        <v>1960</v>
      </c>
      <c r="C3" s="55" t="s">
        <v>15</v>
      </c>
      <c r="D3" s="58" t="s">
        <v>16</v>
      </c>
      <c r="E3" s="57" t="s">
        <v>5</v>
      </c>
      <c r="F3" s="511">
        <v>40261</v>
      </c>
      <c r="G3" s="512"/>
    </row>
    <row r="4" spans="1:11" ht="15" customHeight="1" x14ac:dyDescent="0.2">
      <c r="A4" s="54" t="s">
        <v>17</v>
      </c>
      <c r="B4" s="59" t="str">
        <f>'input-structure info'!C4</f>
        <v>Corrugated Metal Pipe</v>
      </c>
      <c r="C4" s="55" t="s">
        <v>27</v>
      </c>
      <c r="D4" s="58" t="s">
        <v>18</v>
      </c>
      <c r="E4" s="57" t="s">
        <v>5</v>
      </c>
      <c r="F4" s="511">
        <v>40262</v>
      </c>
      <c r="G4" s="512"/>
    </row>
    <row r="5" spans="1:11" ht="7.15" customHeight="1" thickBot="1" x14ac:dyDescent="0.25">
      <c r="A5" s="60"/>
      <c r="B5" s="61"/>
      <c r="C5" s="62"/>
      <c r="D5" s="62"/>
      <c r="E5" s="62"/>
      <c r="F5" s="63"/>
      <c r="G5" s="64"/>
    </row>
    <row r="6" spans="1:11" ht="14.45" customHeight="1" thickTop="1" x14ac:dyDescent="0.2">
      <c r="A6" s="339"/>
      <c r="B6" s="340"/>
      <c r="C6" s="339"/>
      <c r="D6" s="339"/>
      <c r="E6" s="339"/>
      <c r="F6" s="341"/>
      <c r="G6" s="341"/>
    </row>
    <row r="7" spans="1:11" ht="4.9000000000000004" customHeight="1" x14ac:dyDescent="0.2">
      <c r="A7" s="496" t="s">
        <v>267</v>
      </c>
      <c r="B7" s="497"/>
      <c r="C7" s="497"/>
      <c r="D7" s="497"/>
      <c r="E7" s="497"/>
      <c r="F7" s="497"/>
      <c r="G7" s="497"/>
    </row>
    <row r="8" spans="1:11" ht="28.9" customHeight="1" x14ac:dyDescent="0.2">
      <c r="A8" s="497"/>
      <c r="B8" s="497"/>
      <c r="C8" s="497"/>
      <c r="D8" s="497"/>
      <c r="E8" s="497"/>
      <c r="F8" s="497"/>
      <c r="G8" s="497"/>
    </row>
    <row r="9" spans="1:11" ht="16.149999999999999" customHeight="1" x14ac:dyDescent="0.25">
      <c r="A9" s="513" t="s">
        <v>290</v>
      </c>
      <c r="B9" s="513"/>
      <c r="C9" s="513"/>
      <c r="D9" s="513"/>
      <c r="E9" s="513"/>
      <c r="F9" s="513"/>
      <c r="G9" s="513"/>
    </row>
    <row r="10" spans="1:11" ht="19.149999999999999" customHeight="1" x14ac:dyDescent="0.3">
      <c r="A10" s="478" t="s">
        <v>117</v>
      </c>
      <c r="B10" s="478"/>
      <c r="C10" s="65"/>
      <c r="D10" s="65"/>
      <c r="E10" s="65"/>
      <c r="F10" s="65"/>
      <c r="G10" s="65"/>
      <c r="K10" s="342"/>
    </row>
    <row r="11" spans="1:11" ht="16.149999999999999" customHeight="1" x14ac:dyDescent="0.3">
      <c r="A11" s="495" t="s">
        <v>300</v>
      </c>
      <c r="B11" s="495"/>
      <c r="C11" s="495"/>
      <c r="D11" s="495"/>
      <c r="E11" s="495"/>
      <c r="F11" s="495"/>
      <c r="G11" s="65"/>
      <c r="K11" s="10" t="s">
        <v>253</v>
      </c>
    </row>
    <row r="12" spans="1:11" ht="16.149999999999999" customHeight="1" x14ac:dyDescent="0.3">
      <c r="A12" s="501" t="s">
        <v>301</v>
      </c>
      <c r="B12" s="501"/>
      <c r="C12" s="501"/>
      <c r="D12" s="501"/>
      <c r="E12" s="501"/>
      <c r="F12" s="501"/>
      <c r="K12" s="10" t="s">
        <v>264</v>
      </c>
    </row>
    <row r="13" spans="1:11" ht="16.149999999999999" customHeight="1" x14ac:dyDescent="0.2">
      <c r="A13" s="501" t="s">
        <v>31</v>
      </c>
      <c r="B13" s="501"/>
      <c r="C13" s="501"/>
      <c r="D13" s="501"/>
      <c r="E13" s="501"/>
      <c r="F13" s="501"/>
    </row>
    <row r="14" spans="1:11" ht="16.149999999999999" customHeight="1" x14ac:dyDescent="0.2">
      <c r="A14" s="495" t="s">
        <v>32</v>
      </c>
      <c r="B14" s="495"/>
      <c r="C14" s="495"/>
      <c r="D14" s="495"/>
      <c r="E14" s="495"/>
      <c r="F14" s="495"/>
    </row>
    <row r="15" spans="1:11" ht="16.149999999999999" customHeight="1" x14ac:dyDescent="0.2">
      <c r="A15" s="501" t="s">
        <v>33</v>
      </c>
      <c r="B15" s="501"/>
      <c r="C15" s="501"/>
      <c r="D15" s="501"/>
      <c r="E15" s="501"/>
      <c r="F15" s="501"/>
    </row>
    <row r="16" spans="1:11" ht="16.149999999999999" customHeight="1" x14ac:dyDescent="0.2">
      <c r="A16" s="495" t="s">
        <v>302</v>
      </c>
      <c r="B16" s="495"/>
      <c r="C16" s="495"/>
      <c r="D16" s="495"/>
      <c r="E16" s="495"/>
      <c r="F16" s="495"/>
    </row>
    <row r="17" spans="1:11" ht="16.149999999999999" customHeight="1" x14ac:dyDescent="0.2">
      <c r="A17" s="501" t="s">
        <v>34</v>
      </c>
      <c r="B17" s="501"/>
      <c r="C17" s="501"/>
      <c r="D17" s="501"/>
      <c r="E17" s="501"/>
      <c r="F17" s="501"/>
      <c r="K17" s="53" t="s">
        <v>19</v>
      </c>
    </row>
    <row r="18" spans="1:11" ht="9.6" customHeight="1" x14ac:dyDescent="0.2">
      <c r="B18" s="68"/>
    </row>
    <row r="19" spans="1:11" ht="20.45" customHeight="1" x14ac:dyDescent="0.2">
      <c r="B19" s="69" t="s">
        <v>258</v>
      </c>
      <c r="C19" s="502" t="s">
        <v>30</v>
      </c>
      <c r="D19" s="503"/>
      <c r="E19" s="70">
        <f>'input-structure info'!D38</f>
        <v>10</v>
      </c>
    </row>
    <row r="20" spans="1:11" ht="9.6" customHeight="1" x14ac:dyDescent="0.2"/>
    <row r="21" spans="1:11" ht="17.45" customHeight="1" x14ac:dyDescent="0.2">
      <c r="B21" s="504" t="s">
        <v>259</v>
      </c>
      <c r="C21" s="469" t="s">
        <v>35</v>
      </c>
      <c r="D21" s="469"/>
      <c r="E21" s="70">
        <f>2*'input-structure info'!D41</f>
        <v>30</v>
      </c>
    </row>
    <row r="22" spans="1:11" ht="16.149999999999999" customHeight="1" x14ac:dyDescent="0.2">
      <c r="B22" s="505"/>
      <c r="C22" s="469" t="s">
        <v>29</v>
      </c>
      <c r="D22" s="469"/>
      <c r="E22" s="71">
        <f>'input-structure info'!D48</f>
        <v>0</v>
      </c>
    </row>
    <row r="23" spans="1:11" ht="16.149999999999999" customHeight="1" x14ac:dyDescent="0.2">
      <c r="B23" s="506"/>
      <c r="C23" s="491" t="s">
        <v>257</v>
      </c>
      <c r="D23" s="491"/>
      <c r="E23" s="70">
        <f>-5.6*E22+0.95</f>
        <v>0.95</v>
      </c>
    </row>
    <row r="24" spans="1:11" ht="12.6" customHeight="1" x14ac:dyDescent="0.2">
      <c r="B24" s="72"/>
    </row>
    <row r="25" spans="1:11" ht="18.600000000000001" customHeight="1" x14ac:dyDescent="0.2">
      <c r="B25" s="350" t="s">
        <v>260</v>
      </c>
      <c r="C25" s="469" t="s">
        <v>35</v>
      </c>
      <c r="D25" s="469"/>
      <c r="E25" s="70">
        <f>2*'input-structure info'!D41</f>
        <v>30</v>
      </c>
    </row>
    <row r="26" spans="1:11" ht="7.9" customHeight="1" x14ac:dyDescent="0.2">
      <c r="B26" s="349"/>
    </row>
    <row r="27" spans="1:11" ht="16.149999999999999" customHeight="1" x14ac:dyDescent="0.2">
      <c r="A27" s="498" t="s">
        <v>127</v>
      </c>
      <c r="B27" s="499"/>
      <c r="C27" s="500" t="str">
        <f>'input-structure info'!D35</f>
        <v>Typical (NCSPA design data sheet No. 19, II. A. 1.)</v>
      </c>
      <c r="D27" s="500"/>
      <c r="E27" s="500"/>
      <c r="F27" s="500"/>
      <c r="G27" s="113"/>
      <c r="H27" s="93"/>
    </row>
    <row r="28" spans="1:11" ht="5.45" customHeight="1" x14ac:dyDescent="0.2">
      <c r="A28" s="297"/>
      <c r="B28" s="297"/>
      <c r="C28" s="343"/>
      <c r="D28" s="344"/>
      <c r="E28" s="343"/>
      <c r="F28" s="343"/>
      <c r="G28" s="113"/>
      <c r="H28" s="93"/>
    </row>
    <row r="29" spans="1:11" ht="21" customHeight="1" x14ac:dyDescent="0.2">
      <c r="A29" s="492" t="s">
        <v>297</v>
      </c>
      <c r="B29" s="492"/>
      <c r="C29" s="493"/>
      <c r="D29" s="73">
        <f>IF(C27 ="Typical (NCSPA design data sheet no. 19, II. A. 1.)", E19, E21)</f>
        <v>10</v>
      </c>
      <c r="H29" s="94"/>
    </row>
    <row r="30" spans="1:11" ht="22.9" customHeight="1" x14ac:dyDescent="0.2">
      <c r="A30" s="492" t="s">
        <v>296</v>
      </c>
      <c r="B30" s="492"/>
      <c r="C30" s="493"/>
      <c r="D30" s="73">
        <f>'input-structure info'!D41:E41</f>
        <v>15</v>
      </c>
      <c r="E30" s="465" t="str">
        <f>IF(D31="","", IF(D30&gt;D31, "Long Span Structural Plate Structure Rt exceeds max allowd, Spreadsheet Cannot be Used!",""))</f>
        <v/>
      </c>
      <c r="F30" s="466"/>
      <c r="G30" s="466"/>
      <c r="H30" s="94"/>
    </row>
    <row r="31" spans="1:11" ht="27.6" customHeight="1" x14ac:dyDescent="0.2">
      <c r="A31" s="102"/>
      <c r="B31" s="102"/>
      <c r="C31" s="102" t="s">
        <v>294</v>
      </c>
      <c r="D31" s="70" t="str">
        <f>IF('input-structure info'!D33="Long Span Structural Plate (AASHTO 12.7)", 25, "")</f>
        <v/>
      </c>
      <c r="E31" s="465"/>
      <c r="F31" s="466"/>
      <c r="G31" s="466"/>
      <c r="H31" s="94"/>
    </row>
    <row r="32" spans="1:11" ht="26.45" customHeight="1" x14ac:dyDescent="0.2">
      <c r="A32" s="102"/>
      <c r="B32" s="102"/>
      <c r="C32" s="102"/>
      <c r="D32" s="494" t="s">
        <v>295</v>
      </c>
      <c r="E32" s="494"/>
      <c r="F32" s="494"/>
      <c r="G32" s="494"/>
      <c r="H32" s="387"/>
    </row>
    <row r="33" spans="1:8" ht="19.149999999999999" customHeight="1" x14ac:dyDescent="0.2">
      <c r="A33" s="478" t="s">
        <v>118</v>
      </c>
      <c r="B33" s="478"/>
      <c r="H33" s="94"/>
    </row>
    <row r="34" spans="1:8" ht="6.6" customHeight="1" x14ac:dyDescent="0.2">
      <c r="A34" s="50"/>
      <c r="B34" s="50"/>
      <c r="H34" s="94"/>
    </row>
    <row r="35" spans="1:8" ht="17.45" customHeight="1" x14ac:dyDescent="0.2">
      <c r="A35" s="101" t="s">
        <v>50</v>
      </c>
      <c r="B35" s="101"/>
      <c r="H35" s="94"/>
    </row>
    <row r="36" spans="1:8" ht="16.149999999999999" customHeight="1" x14ac:dyDescent="0.2">
      <c r="A36" s="101" t="s">
        <v>51</v>
      </c>
      <c r="B36" s="101"/>
      <c r="H36" s="94"/>
    </row>
    <row r="37" spans="1:8" ht="16.149999999999999" customHeight="1" x14ac:dyDescent="0.2">
      <c r="A37" s="50"/>
      <c r="B37" s="201" t="s">
        <v>47</v>
      </c>
      <c r="C37" s="489" t="str">
        <f>'input-structure info'!E42</f>
        <v>Steel</v>
      </c>
      <c r="D37" s="490"/>
      <c r="E37" s="476"/>
      <c r="F37" s="113"/>
      <c r="H37" s="94"/>
    </row>
    <row r="38" spans="1:8" ht="16.149999999999999" customHeight="1" x14ac:dyDescent="0.2">
      <c r="A38" s="50"/>
      <c r="B38" s="469" t="s">
        <v>79</v>
      </c>
      <c r="C38" s="469"/>
      <c r="D38" s="469"/>
      <c r="E38" s="96">
        <f>VLOOKUP(C37,'Reference tables'!C32:F36,3,FALSE)</f>
        <v>33</v>
      </c>
      <c r="F38" s="97" t="s">
        <v>49</v>
      </c>
      <c r="H38" s="94"/>
    </row>
    <row r="39" spans="1:8" ht="16.149999999999999" customHeight="1" x14ac:dyDescent="0.2">
      <c r="A39" s="50"/>
      <c r="B39" s="469" t="s">
        <v>80</v>
      </c>
      <c r="C39" s="469"/>
      <c r="D39" s="469"/>
      <c r="E39" s="96">
        <f>VLOOKUP(C37,'Reference tables'!C32:F36,2,FALSE)</f>
        <v>45</v>
      </c>
      <c r="F39" s="97" t="s">
        <v>49</v>
      </c>
      <c r="H39" s="94"/>
    </row>
    <row r="40" spans="1:8" ht="16.149999999999999" customHeight="1" x14ac:dyDescent="0.2">
      <c r="A40" s="50"/>
      <c r="B40" s="469" t="s">
        <v>78</v>
      </c>
      <c r="C40" s="469"/>
      <c r="D40" s="469"/>
      <c r="E40" s="96">
        <f>VLOOKUP(C37,'Reference tables'!C32:F36,4,FALSE)</f>
        <v>29000</v>
      </c>
      <c r="F40" s="97" t="s">
        <v>49</v>
      </c>
      <c r="H40" s="94"/>
    </row>
    <row r="41" spans="1:8" ht="7.15" customHeight="1" x14ac:dyDescent="0.2">
      <c r="A41" s="50"/>
      <c r="B41" s="102"/>
      <c r="C41" s="102"/>
      <c r="D41" s="102"/>
      <c r="E41" s="103"/>
      <c r="F41" s="97"/>
      <c r="H41" s="94"/>
    </row>
    <row r="42" spans="1:8" ht="16.149999999999999" customHeight="1" x14ac:dyDescent="0.2">
      <c r="A42" s="378" t="s">
        <v>52</v>
      </c>
      <c r="B42" s="102"/>
      <c r="C42" s="102"/>
      <c r="D42" s="102"/>
      <c r="E42" s="103"/>
      <c r="F42" s="97"/>
      <c r="H42" s="94"/>
    </row>
    <row r="43" spans="1:8" ht="16.149999999999999" customHeight="1" x14ac:dyDescent="0.2">
      <c r="A43" s="102" t="s">
        <v>54</v>
      </c>
      <c r="B43" s="477" t="str">
        <f>'input-structure info'!E43</f>
        <v>6 x 2 (steel structural plate pipe)</v>
      </c>
      <c r="C43" s="477"/>
      <c r="F43" s="371"/>
      <c r="H43" s="94"/>
    </row>
    <row r="44" spans="1:8" ht="16.149999999999999" customHeight="1" x14ac:dyDescent="0.2">
      <c r="A44" s="102" t="s">
        <v>274</v>
      </c>
      <c r="B44" s="477">
        <f>'input-structure info'!E44</f>
        <v>3</v>
      </c>
      <c r="C44" s="477"/>
      <c r="F44" s="371"/>
      <c r="H44" s="94"/>
    </row>
    <row r="45" spans="1:8" ht="16.149999999999999" customHeight="1" x14ac:dyDescent="0.2">
      <c r="A45" s="102" t="s">
        <v>24</v>
      </c>
      <c r="B45" s="479" t="str">
        <f>IF(B43="N/A",'input-structure info'!E45, "")</f>
        <v/>
      </c>
      <c r="C45" s="479"/>
      <c r="F45" s="371"/>
      <c r="H45" s="94"/>
    </row>
    <row r="46" spans="1:8" ht="16.149999999999999" customHeight="1" x14ac:dyDescent="0.2">
      <c r="A46" s="102" t="s">
        <v>25</v>
      </c>
      <c r="B46" s="479" t="str">
        <f>IF(B43="N/A",'input-structure info'!E46, "")</f>
        <v/>
      </c>
      <c r="C46" s="479"/>
      <c r="F46" s="371"/>
      <c r="H46" s="94"/>
    </row>
    <row r="47" spans="1:8" ht="20.45" customHeight="1" x14ac:dyDescent="0.2">
      <c r="A47" s="374" t="s">
        <v>275</v>
      </c>
      <c r="B47" s="462">
        <f>IF(B44="N/A", 'input-structure info'!E47, VLOOKUP(B44,'Reference tables'!B39:C48,2,FALSE))</f>
        <v>0.249</v>
      </c>
      <c r="C47" s="462"/>
      <c r="D47" s="463" t="str">
        <f>IF(B48="", "", IF(B48="-","Long Span Structural Structure Geometric Limits Exceed", IF(B47&lt;B48, "Long Span Structural Plate Structure Top Arc Minimum Thickness not Meet, Spreadsheet Cannot be Used!","")))</f>
        <v/>
      </c>
      <c r="E47" s="464"/>
      <c r="F47" s="464"/>
      <c r="G47" s="464"/>
      <c r="H47" s="94"/>
    </row>
    <row r="48" spans="1:8" ht="21.6" customHeight="1" x14ac:dyDescent="0.2">
      <c r="A48" s="377" t="s">
        <v>298</v>
      </c>
      <c r="B48" s="462" t="str">
        <f>IF('input-structure info'!D33="Long Span Structural Plate (AASHTO 12.7)", 'Reference tables'!C17, "")</f>
        <v/>
      </c>
      <c r="C48" s="462"/>
      <c r="D48" s="463"/>
      <c r="E48" s="464"/>
      <c r="F48" s="464"/>
      <c r="G48" s="464"/>
      <c r="H48" s="94"/>
    </row>
    <row r="49" spans="1:12" ht="16.149999999999999" customHeight="1" x14ac:dyDescent="0.2">
      <c r="A49" s="377"/>
      <c r="B49" s="461" t="s">
        <v>299</v>
      </c>
      <c r="C49" s="461"/>
      <c r="D49" s="461"/>
      <c r="E49" s="461"/>
      <c r="F49" s="461"/>
      <c r="H49" s="94"/>
    </row>
    <row r="50" spans="1:12" ht="21" customHeight="1" x14ac:dyDescent="0.2">
      <c r="A50" s="377"/>
      <c r="B50" s="379"/>
      <c r="D50" s="372"/>
      <c r="E50" s="372"/>
      <c r="F50" s="371"/>
      <c r="H50" s="94"/>
    </row>
    <row r="51" spans="1:12" ht="16.899999999999999" customHeight="1" x14ac:dyDescent="0.2">
      <c r="A51" s="102" t="s">
        <v>71</v>
      </c>
      <c r="B51" s="346">
        <v>2.0030000000000001</v>
      </c>
      <c r="C51" s="468" t="s">
        <v>276</v>
      </c>
      <c r="D51" s="468"/>
      <c r="E51" s="468"/>
      <c r="F51" s="473"/>
      <c r="G51" s="473"/>
      <c r="H51" s="94"/>
    </row>
    <row r="52" spans="1:12" ht="16.899999999999999" customHeight="1" x14ac:dyDescent="0.2">
      <c r="A52" s="374" t="s">
        <v>272</v>
      </c>
      <c r="B52" s="376">
        <v>0.68400000000000005</v>
      </c>
      <c r="C52" s="468"/>
      <c r="D52" s="468"/>
      <c r="E52" s="468"/>
      <c r="F52" s="473"/>
      <c r="G52" s="473"/>
      <c r="H52" s="94"/>
    </row>
    <row r="53" spans="1:12" ht="16.899999999999999" customHeight="1" x14ac:dyDescent="0.2">
      <c r="A53" s="369" t="s">
        <v>82</v>
      </c>
      <c r="B53" s="346">
        <v>78.174999999999997</v>
      </c>
      <c r="C53" s="468"/>
      <c r="D53" s="468"/>
      <c r="E53" s="468"/>
      <c r="F53" s="370"/>
      <c r="G53" s="370"/>
      <c r="H53" s="94"/>
    </row>
    <row r="54" spans="1:12" ht="18" customHeight="1" x14ac:dyDescent="0.2">
      <c r="B54" s="375" t="s">
        <v>273</v>
      </c>
      <c r="C54" s="369"/>
      <c r="D54" s="369"/>
      <c r="E54" s="373"/>
      <c r="F54" s="370"/>
      <c r="G54" s="370"/>
      <c r="H54" s="94"/>
    </row>
    <row r="55" spans="1:12" ht="11.45" customHeight="1" x14ac:dyDescent="0.2">
      <c r="C55" s="369"/>
      <c r="D55" s="369"/>
      <c r="E55" s="373"/>
      <c r="F55" s="370"/>
      <c r="G55" s="370"/>
      <c r="H55" s="94"/>
    </row>
    <row r="56" spans="1:12" ht="22.15" customHeight="1" x14ac:dyDescent="0.2">
      <c r="A56" s="478" t="s">
        <v>119</v>
      </c>
      <c r="B56" s="478"/>
      <c r="H56" s="94"/>
    </row>
    <row r="57" spans="1:12" ht="15.6" customHeight="1" x14ac:dyDescent="0.2">
      <c r="A57" s="50"/>
      <c r="B57" s="201" t="s">
        <v>53</v>
      </c>
      <c r="C57" s="477" t="str">
        <f>'input-structure info'!D33</f>
        <v>Corrugated Metal Pipe (AASHTO 12.4)</v>
      </c>
      <c r="D57" s="477"/>
      <c r="E57" s="477"/>
      <c r="H57" s="66"/>
    </row>
    <row r="58" spans="1:12" ht="17.45" customHeight="1" x14ac:dyDescent="0.2">
      <c r="A58" s="50"/>
      <c r="B58" s="201" t="s">
        <v>123</v>
      </c>
      <c r="C58" s="474" t="str">
        <f>'input-structure info'!D34</f>
        <v>Annular pipe w/ spot welded, riveted or bolted seam</v>
      </c>
      <c r="D58" s="475"/>
      <c r="E58" s="476"/>
      <c r="H58" s="66"/>
    </row>
    <row r="59" spans="1:12" ht="17.45" customHeight="1" x14ac:dyDescent="0.2">
      <c r="A59" s="50"/>
      <c r="B59" s="469" t="s">
        <v>133</v>
      </c>
      <c r="C59" s="469"/>
      <c r="D59" s="469"/>
      <c r="E59" s="70">
        <f>'input-structure info'!D40</f>
        <v>20</v>
      </c>
      <c r="H59" s="66"/>
    </row>
    <row r="60" spans="1:12" ht="18" customHeight="1" x14ac:dyDescent="0.2">
      <c r="A60" s="50"/>
      <c r="B60" s="524" t="s">
        <v>120</v>
      </c>
      <c r="C60" s="524"/>
      <c r="D60" s="524"/>
      <c r="E60" s="70">
        <f>VLOOKUP('input-structure info'!D33, 'Reference tables'!C2:D6, 2, FALSE)</f>
        <v>1.25</v>
      </c>
      <c r="F60" s="465" t="str">
        <f>IF(E60="-", "Long Span Structural Plate Structure Geometric Limits Exceed!", "")</f>
        <v/>
      </c>
      <c r="G60" s="466"/>
      <c r="H60" s="466"/>
      <c r="I60" s="466"/>
      <c r="J60" s="466"/>
      <c r="K60" s="466"/>
      <c r="L60" s="466"/>
    </row>
    <row r="61" spans="1:12" ht="14.45" customHeight="1" x14ac:dyDescent="0.2">
      <c r="A61" s="50"/>
      <c r="B61" s="470" t="s">
        <v>266</v>
      </c>
      <c r="C61" s="471"/>
      <c r="D61" s="472"/>
      <c r="E61" s="179">
        <f>MIN('input-structure info'!D36,'input-structure info'!D37)</f>
        <v>3.5</v>
      </c>
      <c r="F61" s="465" t="str">
        <f>IF(E60="-", "", IF(E61&gt;=E60, " ", "! H&lt;h, cover not deep enough! "))</f>
        <v xml:space="preserve"> </v>
      </c>
      <c r="G61" s="466"/>
      <c r="H61" s="66"/>
    </row>
    <row r="62" spans="1:12" ht="12" customHeight="1" x14ac:dyDescent="0.2">
      <c r="A62" s="50"/>
      <c r="B62" s="525" t="s">
        <v>265</v>
      </c>
      <c r="C62" s="526"/>
      <c r="D62" s="527"/>
      <c r="E62" s="356"/>
      <c r="F62" s="465"/>
      <c r="G62" s="466"/>
      <c r="H62" s="66"/>
    </row>
    <row r="63" spans="1:12" ht="27" customHeight="1" x14ac:dyDescent="0.2">
      <c r="B63" s="517" t="s">
        <v>170</v>
      </c>
      <c r="C63" s="518"/>
      <c r="D63" s="519"/>
      <c r="E63" s="179">
        <f>1-'input-structure info'!D49</f>
        <v>1</v>
      </c>
    </row>
    <row r="64" spans="1:12" ht="16.149999999999999" customHeight="1" x14ac:dyDescent="0.2">
      <c r="B64" s="469" t="s">
        <v>162</v>
      </c>
      <c r="C64" s="469"/>
      <c r="D64" s="469"/>
      <c r="E64" s="74">
        <v>1</v>
      </c>
    </row>
    <row r="65" spans="1:8" ht="18.600000000000001" customHeight="1" x14ac:dyDescent="0.2">
      <c r="B65" s="521" t="s">
        <v>163</v>
      </c>
      <c r="C65" s="522"/>
      <c r="D65" s="523"/>
      <c r="E65" s="70">
        <f>IF('input-structure info'!D34="Annular pipe w/ spot welded, riveted or bolted seam", 0.67, IF('input-structure info'!D34="Helical pipe w/ lock seam or fully welded seam", 1, ""))</f>
        <v>0.67</v>
      </c>
    </row>
    <row r="66" spans="1:8" ht="16.149999999999999" customHeight="1" x14ac:dyDescent="0.2">
      <c r="B66" s="528" t="s">
        <v>43</v>
      </c>
      <c r="C66" s="469"/>
      <c r="D66" s="469"/>
      <c r="E66" s="346">
        <v>0.12</v>
      </c>
    </row>
    <row r="67" spans="1:8" ht="16.149999999999999" customHeight="1" x14ac:dyDescent="0.2">
      <c r="B67" s="528" t="s">
        <v>81</v>
      </c>
      <c r="C67" s="469"/>
      <c r="D67" s="469"/>
      <c r="E67" s="70">
        <v>0.22</v>
      </c>
    </row>
    <row r="68" spans="1:8" ht="18" customHeight="1" x14ac:dyDescent="0.2">
      <c r="A68" s="467"/>
      <c r="B68" s="467"/>
      <c r="C68" s="467"/>
      <c r="D68" s="467"/>
      <c r="E68" s="467"/>
      <c r="F68" s="467"/>
      <c r="G68" s="467"/>
    </row>
    <row r="69" spans="1:8" ht="16.149999999999999" customHeight="1" x14ac:dyDescent="0.2">
      <c r="A69" s="204" t="s">
        <v>303</v>
      </c>
      <c r="C69" s="102"/>
      <c r="D69" s="102"/>
      <c r="E69" s="103"/>
      <c r="F69" s="97"/>
      <c r="H69" s="94"/>
    </row>
    <row r="70" spans="1:8" ht="16.149999999999999" customHeight="1" x14ac:dyDescent="0.2"/>
    <row r="71" spans="1:8" ht="16.149999999999999" customHeight="1" x14ac:dyDescent="0.2">
      <c r="A71" s="102" t="s">
        <v>134</v>
      </c>
    </row>
    <row r="72" spans="1:8" ht="16.149999999999999" customHeight="1" x14ac:dyDescent="0.2"/>
    <row r="73" spans="1:8" ht="16.149999999999999" customHeight="1" x14ac:dyDescent="0.2">
      <c r="A73" s="102" t="s">
        <v>134</v>
      </c>
    </row>
    <row r="74" spans="1:8" ht="16.149999999999999" customHeight="1" x14ac:dyDescent="0.2"/>
    <row r="75" spans="1:8" ht="16.149999999999999" customHeight="1" x14ac:dyDescent="0.2">
      <c r="A75" s="102" t="s">
        <v>135</v>
      </c>
      <c r="B75" s="102" t="s">
        <v>136</v>
      </c>
      <c r="C75" s="70">
        <f>D29*12</f>
        <v>120</v>
      </c>
      <c r="D75" s="312" t="str">
        <f>IF(C75&gt;F75, "&gt;", "&lt;")</f>
        <v>&lt;</v>
      </c>
      <c r="F75" s="70">
        <f>(B52/E67)*(24*E40*1000/(E39*1000))^0.5</f>
        <v>386.66225892804545</v>
      </c>
    </row>
    <row r="76" spans="1:8" ht="8.4499999999999993" customHeight="1" x14ac:dyDescent="0.2">
      <c r="A76" s="102"/>
      <c r="B76" s="102"/>
      <c r="C76" s="348"/>
      <c r="D76" s="312"/>
      <c r="F76" s="95"/>
    </row>
    <row r="77" spans="1:8" ht="19.899999999999999" customHeight="1" x14ac:dyDescent="0.2">
      <c r="A77" s="102" t="s">
        <v>28</v>
      </c>
      <c r="B77" s="203" t="s">
        <v>304</v>
      </c>
      <c r="C77" s="70">
        <f>IF(C75&lt;F75, (E39*1000-((E39*1000)^2/(48*E40*1000))*(E67*C75/B52)^2)/1000, (12*E40*1000/(E67*C75/B52)^2)/1000)</f>
        <v>42.832887572834082</v>
      </c>
      <c r="D77" s="53" t="s">
        <v>49</v>
      </c>
    </row>
    <row r="78" spans="1:8" ht="16.149999999999999" customHeight="1" x14ac:dyDescent="0.2"/>
    <row r="79" spans="1:8" ht="16.149999999999999" customHeight="1" x14ac:dyDescent="0.2">
      <c r="A79" s="204" t="s">
        <v>305</v>
      </c>
    </row>
    <row r="80" spans="1:8" ht="58.15" customHeight="1" x14ac:dyDescent="0.2">
      <c r="A80" s="204"/>
      <c r="B80" s="102" t="s">
        <v>282</v>
      </c>
      <c r="C80" s="345">
        <v>62</v>
      </c>
      <c r="D80" s="468" t="s">
        <v>283</v>
      </c>
      <c r="E80" s="529"/>
      <c r="F80" s="529"/>
    </row>
    <row r="81" spans="1:6" ht="10.15" customHeight="1" x14ac:dyDescent="0.2">
      <c r="A81" s="204"/>
      <c r="B81" s="102"/>
      <c r="C81" s="207"/>
      <c r="D81" s="206"/>
      <c r="E81" s="206"/>
      <c r="F81" s="205"/>
    </row>
    <row r="82" spans="1:6" ht="16.149999999999999" customHeight="1" x14ac:dyDescent="0.2">
      <c r="B82" s="469" t="s">
        <v>137</v>
      </c>
      <c r="C82" s="485" t="s">
        <v>284</v>
      </c>
      <c r="D82" s="520"/>
      <c r="E82" s="520"/>
      <c r="F82" s="74">
        <f>E38*B51*E64*E63</f>
        <v>66.099000000000004</v>
      </c>
    </row>
    <row r="83" spans="1:6" ht="16.149999999999999" customHeight="1" x14ac:dyDescent="0.2">
      <c r="B83" s="469"/>
      <c r="C83" s="485" t="s">
        <v>261</v>
      </c>
      <c r="D83" s="485"/>
      <c r="E83" s="485"/>
      <c r="F83" s="74">
        <f>IF(C27="Unsymmetrical  or deflect over 5% (NCSPA design data sheet No. 19, II. A. 2.)", C77*B51*E64*E63*E23, C77*B51*E64*E63)</f>
        <v>85.794273808386677</v>
      </c>
    </row>
    <row r="84" spans="1:6" ht="14.25" x14ac:dyDescent="0.2">
      <c r="B84" s="469"/>
      <c r="C84" s="485" t="s">
        <v>164</v>
      </c>
      <c r="D84" s="485"/>
      <c r="E84" s="485"/>
      <c r="F84" s="74">
        <f>E65*C80</f>
        <v>41.54</v>
      </c>
    </row>
    <row r="86" spans="1:6" ht="18.75" x14ac:dyDescent="0.2">
      <c r="A86" s="102" t="s">
        <v>28</v>
      </c>
      <c r="B86" s="259" t="s">
        <v>306</v>
      </c>
      <c r="C86" s="74">
        <f>MIN(F82,F83,F84)</f>
        <v>41.54</v>
      </c>
      <c r="D86" s="53" t="s">
        <v>165</v>
      </c>
    </row>
    <row r="88" spans="1:6" ht="18" x14ac:dyDescent="0.2">
      <c r="A88" s="204" t="s">
        <v>307</v>
      </c>
    </row>
    <row r="89" spans="1:6" x14ac:dyDescent="0.2">
      <c r="B89" s="481" t="s">
        <v>166</v>
      </c>
      <c r="C89" s="200" t="s">
        <v>167</v>
      </c>
      <c r="D89" s="70">
        <f>E66*E61*D29/2</f>
        <v>2.1</v>
      </c>
      <c r="E89" s="53" t="s">
        <v>165</v>
      </c>
    </row>
    <row r="90" spans="1:6" ht="14.25" x14ac:dyDescent="0.2">
      <c r="B90" s="482"/>
      <c r="C90" s="200" t="s">
        <v>168</v>
      </c>
      <c r="D90" s="70">
        <f>E66*E61*D30</f>
        <v>6.3</v>
      </c>
      <c r="E90" s="53" t="s">
        <v>165</v>
      </c>
    </row>
    <row r="92" spans="1:6" ht="18.75" x14ac:dyDescent="0.2">
      <c r="A92" s="102" t="s">
        <v>28</v>
      </c>
      <c r="B92" s="259" t="s">
        <v>308</v>
      </c>
      <c r="C92" s="70">
        <f>MAX(D89,D90)</f>
        <v>6.3</v>
      </c>
      <c r="D92" s="53" t="s">
        <v>165</v>
      </c>
    </row>
    <row r="93" spans="1:6" ht="18" x14ac:dyDescent="0.2">
      <c r="A93" s="204" t="s">
        <v>309</v>
      </c>
    </row>
    <row r="94" spans="1:6" ht="15" x14ac:dyDescent="0.2">
      <c r="A94" s="204"/>
      <c r="B94" s="481" t="s">
        <v>169</v>
      </c>
      <c r="C94" s="200" t="s">
        <v>197</v>
      </c>
      <c r="D94" s="53" t="s">
        <v>165</v>
      </c>
    </row>
    <row r="95" spans="1:6" ht="15" x14ac:dyDescent="0.2">
      <c r="A95" s="204"/>
      <c r="B95" s="482"/>
      <c r="C95" s="200" t="s">
        <v>198</v>
      </c>
      <c r="D95" s="53" t="s">
        <v>165</v>
      </c>
    </row>
    <row r="96" spans="1:6" ht="8.4499999999999993" customHeight="1" x14ac:dyDescent="0.2">
      <c r="A96" s="204"/>
    </row>
    <row r="97" spans="1:7" ht="15" x14ac:dyDescent="0.2">
      <c r="A97" s="204"/>
      <c r="B97" s="477" t="s">
        <v>175</v>
      </c>
      <c r="C97" s="486" t="s">
        <v>251</v>
      </c>
      <c r="D97" s="71">
        <v>0.3</v>
      </c>
      <c r="E97" s="485" t="s">
        <v>173</v>
      </c>
      <c r="F97" s="485"/>
    </row>
    <row r="98" spans="1:7" ht="15" x14ac:dyDescent="0.2">
      <c r="A98" s="204"/>
      <c r="B98" s="477"/>
      <c r="C98" s="487"/>
      <c r="D98" s="71">
        <v>0.2</v>
      </c>
      <c r="E98" s="485" t="s">
        <v>172</v>
      </c>
      <c r="F98" s="485"/>
    </row>
    <row r="99" spans="1:7" ht="15" x14ac:dyDescent="0.2">
      <c r="A99" s="204"/>
      <c r="B99" s="477"/>
      <c r="C99" s="487"/>
      <c r="D99" s="71">
        <v>0.1</v>
      </c>
      <c r="E99" s="485" t="s">
        <v>174</v>
      </c>
      <c r="F99" s="485"/>
    </row>
    <row r="100" spans="1:7" ht="15" x14ac:dyDescent="0.2">
      <c r="A100" s="204"/>
      <c r="B100" s="477"/>
      <c r="C100" s="488"/>
      <c r="D100" s="71">
        <v>0</v>
      </c>
      <c r="E100" s="485" t="s">
        <v>176</v>
      </c>
      <c r="F100" s="485"/>
    </row>
    <row r="101" spans="1:7" ht="7.15" customHeight="1" x14ac:dyDescent="0.2">
      <c r="A101" s="204"/>
    </row>
    <row r="102" spans="1:7" ht="15" x14ac:dyDescent="0.2">
      <c r="A102" s="204"/>
      <c r="B102" s="102"/>
      <c r="C102" s="102" t="s">
        <v>177</v>
      </c>
      <c r="D102" s="70">
        <f>E61</f>
        <v>3.5</v>
      </c>
      <c r="E102" s="53" t="s">
        <v>44</v>
      </c>
    </row>
    <row r="103" spans="1:7" ht="15" x14ac:dyDescent="0.2">
      <c r="A103" s="204"/>
      <c r="C103" s="260" t="s">
        <v>171</v>
      </c>
      <c r="D103" s="71">
        <f>IF(D102&gt;=3,0,IF(D102&gt;2,0.1,IF(D102&gt;1,0.2,IF(D102&gt;0,0.3))))</f>
        <v>0</v>
      </c>
    </row>
    <row r="104" spans="1:7" ht="15" x14ac:dyDescent="0.2">
      <c r="A104" s="204"/>
      <c r="C104" s="260" t="s">
        <v>195</v>
      </c>
      <c r="D104" s="70">
        <f>1+D103</f>
        <v>1</v>
      </c>
    </row>
    <row r="105" spans="1:7" ht="21" customHeight="1" x14ac:dyDescent="0.2">
      <c r="A105" s="204"/>
      <c r="C105" s="260"/>
      <c r="D105" s="95"/>
    </row>
    <row r="106" spans="1:7" ht="14.45" customHeight="1" x14ac:dyDescent="0.2">
      <c r="A106" s="480"/>
      <c r="B106" s="480"/>
      <c r="C106" s="480"/>
      <c r="D106" s="480"/>
      <c r="E106" s="480"/>
      <c r="F106" s="480"/>
      <c r="G106" s="480"/>
    </row>
    <row r="107" spans="1:7" ht="14.45" customHeight="1" x14ac:dyDescent="0.2">
      <c r="A107" s="480"/>
      <c r="B107" s="480"/>
      <c r="C107" s="480"/>
      <c r="D107" s="480"/>
      <c r="E107" s="480"/>
      <c r="F107" s="480"/>
      <c r="G107" s="480"/>
    </row>
    <row r="108" spans="1:7" ht="14.45" customHeight="1" x14ac:dyDescent="0.2">
      <c r="A108" s="480"/>
      <c r="B108" s="480"/>
      <c r="C108" s="480"/>
      <c r="D108" s="480"/>
      <c r="E108" s="480"/>
      <c r="F108" s="480"/>
      <c r="G108" s="480"/>
    </row>
    <row r="109" spans="1:7" ht="14.45" customHeight="1" x14ac:dyDescent="0.2">
      <c r="A109" s="480"/>
      <c r="B109" s="480"/>
      <c r="C109" s="480"/>
      <c r="D109" s="480"/>
      <c r="E109" s="480"/>
      <c r="F109" s="480"/>
      <c r="G109" s="480"/>
    </row>
    <row r="110" spans="1:7" ht="14.45" customHeight="1" x14ac:dyDescent="0.2">
      <c r="A110" s="480"/>
      <c r="B110" s="480"/>
      <c r="C110" s="480"/>
      <c r="D110" s="480"/>
      <c r="E110" s="480"/>
      <c r="F110" s="480"/>
      <c r="G110" s="480"/>
    </row>
    <row r="111" spans="1:7" ht="14.45" customHeight="1" x14ac:dyDescent="0.2">
      <c r="A111" s="480"/>
      <c r="B111" s="480"/>
      <c r="C111" s="480"/>
      <c r="D111" s="480"/>
      <c r="E111" s="480"/>
      <c r="F111" s="480"/>
      <c r="G111" s="480"/>
    </row>
    <row r="112" spans="1:7" ht="14.45" customHeight="1" x14ac:dyDescent="0.2">
      <c r="A112" s="480"/>
      <c r="B112" s="480"/>
      <c r="C112" s="480"/>
      <c r="D112" s="480"/>
      <c r="E112" s="480"/>
      <c r="F112" s="480"/>
      <c r="G112" s="480"/>
    </row>
    <row r="113" spans="1:7" ht="14.45" customHeight="1" x14ac:dyDescent="0.2">
      <c r="A113" s="480"/>
      <c r="B113" s="480"/>
      <c r="C113" s="480"/>
      <c r="D113" s="480"/>
      <c r="E113" s="480"/>
      <c r="F113" s="480"/>
      <c r="G113" s="480"/>
    </row>
    <row r="114" spans="1:7" ht="14.45" customHeight="1" x14ac:dyDescent="0.2">
      <c r="A114" s="480"/>
      <c r="B114" s="480"/>
      <c r="C114" s="480"/>
      <c r="D114" s="480"/>
      <c r="E114" s="480"/>
      <c r="F114" s="480"/>
      <c r="G114" s="480"/>
    </row>
    <row r="115" spans="1:7" ht="22.9" customHeight="1" x14ac:dyDescent="0.2">
      <c r="A115" s="480"/>
      <c r="B115" s="480"/>
      <c r="C115" s="480"/>
      <c r="D115" s="480"/>
      <c r="E115" s="480"/>
      <c r="F115" s="480"/>
      <c r="G115" s="480"/>
    </row>
    <row r="116" spans="1:7" ht="14.45" customHeight="1" x14ac:dyDescent="0.2">
      <c r="A116" s="104"/>
      <c r="B116" s="104"/>
      <c r="C116" s="104"/>
      <c r="D116" s="104"/>
      <c r="E116" s="104"/>
      <c r="F116" s="104"/>
      <c r="G116" s="104"/>
    </row>
    <row r="117" spans="1:7" ht="15.6" customHeight="1" x14ac:dyDescent="0.2">
      <c r="A117" s="274" t="s">
        <v>186</v>
      </c>
      <c r="B117" s="104"/>
      <c r="C117" s="104"/>
      <c r="D117" s="104"/>
      <c r="E117" s="104"/>
      <c r="F117" s="104"/>
      <c r="G117" s="104"/>
    </row>
    <row r="118" spans="1:7" ht="18.600000000000001" customHeight="1" x14ac:dyDescent="0.2">
      <c r="A118" s="267" t="s">
        <v>184</v>
      </c>
      <c r="C118" s="104"/>
      <c r="D118" s="104"/>
      <c r="E118" s="104"/>
      <c r="F118" s="104"/>
      <c r="G118" s="104"/>
    </row>
    <row r="119" spans="1:7" ht="17.45" customHeight="1" x14ac:dyDescent="0.2">
      <c r="A119" s="267" t="s">
        <v>185</v>
      </c>
      <c r="C119" s="104"/>
      <c r="D119" s="104"/>
      <c r="E119" s="104"/>
      <c r="F119" s="104"/>
      <c r="G119" s="104"/>
    </row>
    <row r="120" spans="1:7" ht="12" customHeight="1" x14ac:dyDescent="0.2">
      <c r="A120" s="267"/>
      <c r="C120" s="104"/>
      <c r="D120" s="104"/>
      <c r="E120" s="104"/>
      <c r="F120" s="104"/>
      <c r="G120" s="104"/>
    </row>
    <row r="121" spans="1:7" x14ac:dyDescent="0.2">
      <c r="A121" s="262" t="s">
        <v>199</v>
      </c>
      <c r="C121" s="260"/>
      <c r="D121" s="95"/>
    </row>
    <row r="122" spans="1:7" ht="14.25" x14ac:dyDescent="0.2">
      <c r="A122" s="261" t="s">
        <v>178</v>
      </c>
      <c r="B122" s="95">
        <f>20/12</f>
        <v>1.6666666666666667</v>
      </c>
      <c r="C122" s="266" t="s">
        <v>44</v>
      </c>
      <c r="D122" s="484" t="s">
        <v>188</v>
      </c>
      <c r="E122" s="484"/>
      <c r="F122" s="95">
        <f>20/12+1.75*D102</f>
        <v>7.791666666666667</v>
      </c>
      <c r="G122" s="53" t="s">
        <v>44</v>
      </c>
    </row>
    <row r="123" spans="1:7" ht="14.25" x14ac:dyDescent="0.2">
      <c r="A123" s="261" t="s">
        <v>179</v>
      </c>
      <c r="B123" s="95">
        <f>10/12</f>
        <v>0.83333333333333337</v>
      </c>
      <c r="C123" s="266" t="s">
        <v>44</v>
      </c>
      <c r="D123" s="484" t="s">
        <v>183</v>
      </c>
      <c r="E123" s="484"/>
      <c r="F123" s="95">
        <f>10/12+1.75*D102</f>
        <v>6.958333333333333</v>
      </c>
      <c r="G123" s="53" t="s">
        <v>44</v>
      </c>
    </row>
    <row r="124" spans="1:7" ht="15.6" customHeight="1" x14ac:dyDescent="0.2">
      <c r="A124" s="204"/>
      <c r="C124" s="260"/>
      <c r="D124" s="95"/>
    </row>
    <row r="125" spans="1:7" ht="16.149999999999999" customHeight="1" x14ac:dyDescent="0.2">
      <c r="A125" s="262" t="s">
        <v>200</v>
      </c>
      <c r="C125" s="260"/>
      <c r="D125" s="95"/>
    </row>
    <row r="126" spans="1:7" ht="13.9" customHeight="1" x14ac:dyDescent="0.2">
      <c r="A126" s="483" t="s">
        <v>285</v>
      </c>
      <c r="B126" s="483"/>
      <c r="C126" s="483"/>
      <c r="D126" s="483" t="s">
        <v>194</v>
      </c>
      <c r="E126" s="483"/>
    </row>
    <row r="127" spans="1:7" ht="14.45" customHeight="1" x14ac:dyDescent="0.2">
      <c r="A127" s="483"/>
      <c r="B127" s="483"/>
      <c r="C127" s="483"/>
      <c r="D127" s="483" t="s">
        <v>182</v>
      </c>
      <c r="E127" s="483"/>
    </row>
    <row r="128" spans="1:7" ht="16.149999999999999" customHeight="1" x14ac:dyDescent="0.2">
      <c r="A128" s="271" t="s">
        <v>28</v>
      </c>
      <c r="B128" s="264"/>
      <c r="C128" s="263"/>
      <c r="D128" s="263"/>
      <c r="E128" s="263"/>
    </row>
    <row r="129" spans="1:6" ht="22.15" customHeight="1" x14ac:dyDescent="0.2">
      <c r="A129" s="261" t="s">
        <v>180</v>
      </c>
      <c r="B129" s="95"/>
      <c r="C129" s="272" t="s">
        <v>44</v>
      </c>
    </row>
    <row r="130" spans="1:6" ht="22.15" customHeight="1" x14ac:dyDescent="0.2">
      <c r="A130" s="268" t="s">
        <v>181</v>
      </c>
      <c r="B130" s="269"/>
      <c r="C130" s="272" t="s">
        <v>44</v>
      </c>
    </row>
    <row r="131" spans="1:6" ht="22.15" customHeight="1" x14ac:dyDescent="0.2">
      <c r="A131" s="261" t="s">
        <v>189</v>
      </c>
      <c r="B131" s="95"/>
      <c r="C131" s="272" t="s">
        <v>44</v>
      </c>
    </row>
    <row r="132" spans="1:6" ht="22.15" customHeight="1" x14ac:dyDescent="0.2">
      <c r="A132" s="268" t="s">
        <v>187</v>
      </c>
      <c r="B132" s="269"/>
      <c r="C132" s="272" t="s">
        <v>44</v>
      </c>
    </row>
    <row r="133" spans="1:6" ht="16.149999999999999" customHeight="1" x14ac:dyDescent="0.2">
      <c r="A133" s="261"/>
      <c r="B133" s="95"/>
      <c r="C133" s="265"/>
      <c r="D133" s="102" t="s">
        <v>286</v>
      </c>
      <c r="E133" s="70">
        <f>D102</f>
        <v>3.5</v>
      </c>
      <c r="F133" s="53" t="s">
        <v>44</v>
      </c>
    </row>
    <row r="134" spans="1:6" ht="16.149999999999999" customHeight="1" x14ac:dyDescent="0.2">
      <c r="A134" s="261"/>
      <c r="B134" s="95"/>
      <c r="C134" s="265"/>
      <c r="D134" s="102" t="s">
        <v>203</v>
      </c>
      <c r="E134" s="179">
        <f>'input-structure info'!D40</f>
        <v>20</v>
      </c>
      <c r="F134" s="53" t="s">
        <v>202</v>
      </c>
    </row>
    <row r="135" spans="1:6" ht="16.899999999999999" customHeight="1" thickBot="1" x14ac:dyDescent="0.25">
      <c r="A135" s="261"/>
      <c r="B135" s="95"/>
      <c r="C135" s="542" t="s">
        <v>268</v>
      </c>
      <c r="D135" s="542"/>
      <c r="E135" s="542"/>
      <c r="F135" s="542"/>
    </row>
    <row r="136" spans="1:6" ht="22.9" customHeight="1" thickTop="1" x14ac:dyDescent="0.2">
      <c r="A136" s="313"/>
      <c r="B136" s="314" t="s">
        <v>1</v>
      </c>
      <c r="C136" s="314" t="s">
        <v>0</v>
      </c>
      <c r="D136" s="315" t="s">
        <v>190</v>
      </c>
      <c r="E136" s="315" t="s">
        <v>191</v>
      </c>
      <c r="F136" s="316" t="s">
        <v>192</v>
      </c>
    </row>
    <row r="137" spans="1:6" ht="16.899999999999999" customHeight="1" x14ac:dyDescent="0.2">
      <c r="A137" s="317" t="s">
        <v>196</v>
      </c>
      <c r="B137" s="270">
        <v>32000</v>
      </c>
      <c r="C137" s="270">
        <v>20000</v>
      </c>
      <c r="D137" s="270">
        <v>17000</v>
      </c>
      <c r="E137" s="270">
        <v>14000</v>
      </c>
      <c r="F137" s="318">
        <v>17000</v>
      </c>
    </row>
    <row r="138" spans="1:6" ht="16.899999999999999" customHeight="1" x14ac:dyDescent="0.2">
      <c r="A138" s="319" t="s">
        <v>204</v>
      </c>
      <c r="B138" s="270">
        <f>B137/2*$D$104</f>
        <v>16000</v>
      </c>
      <c r="C138" s="270">
        <f>C137/2*$D$104</f>
        <v>10000</v>
      </c>
      <c r="D138" s="270">
        <f>D137/2*$D$104</f>
        <v>8500</v>
      </c>
      <c r="E138" s="270">
        <f>E137/2*$D$104</f>
        <v>7000</v>
      </c>
      <c r="F138" s="318">
        <f>F137/2*$D$104</f>
        <v>8500</v>
      </c>
    </row>
    <row r="139" spans="1:6" ht="16.899999999999999" customHeight="1" x14ac:dyDescent="0.2">
      <c r="A139" s="319" t="s">
        <v>243</v>
      </c>
      <c r="B139" s="70">
        <v>0</v>
      </c>
      <c r="C139" s="70">
        <v>0</v>
      </c>
      <c r="D139" s="70">
        <v>4</v>
      </c>
      <c r="E139" s="70">
        <v>4</v>
      </c>
      <c r="F139" s="320">
        <v>4</v>
      </c>
    </row>
    <row r="140" spans="1:6" ht="16.899999999999999" customHeight="1" x14ac:dyDescent="0.2">
      <c r="A140" s="319" t="s">
        <v>244</v>
      </c>
      <c r="B140" s="70">
        <v>0</v>
      </c>
      <c r="C140" s="70">
        <v>0</v>
      </c>
      <c r="D140" s="70">
        <v>0</v>
      </c>
      <c r="E140" s="70">
        <v>4</v>
      </c>
      <c r="F140" s="320">
        <v>0</v>
      </c>
    </row>
    <row r="141" spans="1:6" ht="16.899999999999999" customHeight="1" x14ac:dyDescent="0.2">
      <c r="A141" s="321" t="s">
        <v>193</v>
      </c>
      <c r="B141" s="70">
        <v>6</v>
      </c>
      <c r="C141" s="70">
        <v>6</v>
      </c>
      <c r="D141" s="70">
        <v>6</v>
      </c>
      <c r="E141" s="70">
        <v>6</v>
      </c>
      <c r="F141" s="320">
        <v>6</v>
      </c>
    </row>
    <row r="142" spans="1:6" ht="16.899999999999999" customHeight="1" x14ac:dyDescent="0.2">
      <c r="A142" s="322" t="s">
        <v>205</v>
      </c>
      <c r="B142" s="70">
        <f>F122</f>
        <v>7.791666666666667</v>
      </c>
      <c r="C142" s="70">
        <f>(C138*0.01/2.5)^0.5/12*2.5+1.75*$E$133</f>
        <v>7.4426156917368242</v>
      </c>
      <c r="D142" s="70">
        <f t="shared" ref="D142:F142" si="0">(D138*0.01/2.5)^0.5/12*2.5+1.75*$E$133</f>
        <v>7.3397816447594373</v>
      </c>
      <c r="E142" s="70">
        <f t="shared" si="0"/>
        <v>7.2273963796102461</v>
      </c>
      <c r="F142" s="320">
        <f t="shared" si="0"/>
        <v>7.3397816447594373</v>
      </c>
    </row>
    <row r="143" spans="1:6" ht="16.899999999999999" customHeight="1" x14ac:dyDescent="0.2">
      <c r="A143" s="322" t="s">
        <v>207</v>
      </c>
      <c r="B143" s="70">
        <f>F123</f>
        <v>6.958333333333333</v>
      </c>
      <c r="C143" s="273">
        <f>(C138*0.01/2.5)^0.5/12+1.75*$E$133</f>
        <v>6.6520462766947297</v>
      </c>
      <c r="D143" s="273">
        <f>(D138*0.01/2.5)^0.5/12+1.75*$E$133</f>
        <v>6.6109126579037749</v>
      </c>
      <c r="E143" s="273">
        <f>(E138*0.01/2.5)^0.5/12+1.75*$E$133</f>
        <v>6.5659585518440986</v>
      </c>
      <c r="F143" s="323">
        <f>(F138*0.01/2.5)^0.5/12+1.75*$E$133</f>
        <v>6.6109126579037749</v>
      </c>
    </row>
    <row r="144" spans="1:6" ht="16.899999999999999" customHeight="1" x14ac:dyDescent="0.2">
      <c r="A144" s="322" t="s">
        <v>201</v>
      </c>
      <c r="B144" s="70">
        <f>IF(B142&gt;B141, MIN(F122+B141,$E$134), MIN(F122,$E$134) )</f>
        <v>13.791666666666668</v>
      </c>
      <c r="C144" s="70">
        <f>IF(C142&gt;C141, MIN(C142+C141, $E$134), MIN(C142,$E$134))</f>
        <v>13.442615691736824</v>
      </c>
      <c r="D144" s="70">
        <f>IF(D142&gt;D141, MIN(D142+D141, $E$134), MIN(D142,$E$134))</f>
        <v>13.339781644759437</v>
      </c>
      <c r="E144" s="70">
        <f>IF(E142&gt;E141, MIN(E142+E141, E134), MIN(E142,E134))</f>
        <v>13.227396379610246</v>
      </c>
      <c r="F144" s="320">
        <f>IF(F142&gt;F141, MIN(F142+F141, $E$134), MIN(F142,$E$134))</f>
        <v>13.339781644759437</v>
      </c>
    </row>
    <row r="145" spans="1:7" ht="16.899999999999999" customHeight="1" x14ac:dyDescent="0.2">
      <c r="A145" s="322" t="s">
        <v>206</v>
      </c>
      <c r="B145" s="70">
        <f>IF(B143&gt;B139, B143+B139, B143)</f>
        <v>6.958333333333333</v>
      </c>
      <c r="C145" s="70">
        <f>IF(C143&gt;C139,C143+C139, C143)</f>
        <v>6.6520462766947297</v>
      </c>
      <c r="D145" s="70">
        <f>IF(D143&gt;D139, D143+D139, D143)</f>
        <v>10.610912657903775</v>
      </c>
      <c r="E145" s="70">
        <f>IF(E143&gt;E139, E143+E139+E140, E143)</f>
        <v>14.565958551844098</v>
      </c>
      <c r="F145" s="320">
        <f>IF(F143&gt;F139, F143+F139, F143)</f>
        <v>10.610912657903775</v>
      </c>
    </row>
    <row r="146" spans="1:7" ht="16.899999999999999" customHeight="1" x14ac:dyDescent="0.2">
      <c r="A146" s="324" t="s">
        <v>208</v>
      </c>
      <c r="B146" s="70">
        <f>B144*B145</f>
        <v>95.9670138888889</v>
      </c>
      <c r="C146" s="70">
        <f t="shared" ref="C146:F146" si="1">C144*C145</f>
        <v>89.420901661256096</v>
      </c>
      <c r="D146" s="70">
        <f t="shared" si="1"/>
        <v>141.54725790805034</v>
      </c>
      <c r="E146" s="70">
        <f t="shared" si="1"/>
        <v>192.66970741421551</v>
      </c>
      <c r="F146" s="320">
        <f t="shared" si="1"/>
        <v>141.54725790805034</v>
      </c>
    </row>
    <row r="147" spans="1:7" ht="16.899999999999999" customHeight="1" x14ac:dyDescent="0.2">
      <c r="A147" s="322" t="s">
        <v>242</v>
      </c>
      <c r="B147" s="70">
        <f>IF(AND(B144&gt;B142,B145&gt;B143),4*B138/1000,IF(OR(B144&gt;B142,B145&gt;B143),2*B138/1000,B138/1000))</f>
        <v>32</v>
      </c>
      <c r="C147" s="70">
        <f>IF(AND(C144&gt;C142,C145&gt;C143),4*C138/1000,IF(OR(C144&gt;C142,C145&gt;C143),2*C138/1000,C138/1000))</f>
        <v>20</v>
      </c>
      <c r="D147" s="70">
        <f>IF(AND(D144&gt;D142,D145&gt;D143),4*D138/1000,IF(OR(D144&gt;D142,D145&gt;D143),2*D138/1000,D138/1000))</f>
        <v>34</v>
      </c>
      <c r="E147" s="70">
        <f>IF(AND(E144&gt;E142,E145&gt;E143),6*E138/1000,IF(E145&gt;E143,3*E138/1000,IF(E144&gt;E142,2*E138/1000,E138/1000)))</f>
        <v>42</v>
      </c>
      <c r="F147" s="320">
        <f>IF(AND(F144&gt;F142,F145&gt;F143),4*F138/1000,IF(OR(F144&gt;F142,F145&gt;F143),2*F138/1000,F138/1000))</f>
        <v>34</v>
      </c>
    </row>
    <row r="148" spans="1:7" ht="25.9" customHeight="1" x14ac:dyDescent="0.2">
      <c r="A148" s="322" t="s">
        <v>269</v>
      </c>
      <c r="B148" s="70">
        <f>B147/B146</f>
        <v>0.33344790780975808</v>
      </c>
      <c r="C148" s="70">
        <f>C147/C146</f>
        <v>0.22366135465468601</v>
      </c>
      <c r="D148" s="70">
        <f>D147/D146</f>
        <v>0.24020246313839957</v>
      </c>
      <c r="E148" s="70">
        <f>E147/E146</f>
        <v>0.21798963917926814</v>
      </c>
      <c r="F148" s="320">
        <f>F147/F146</f>
        <v>0.24020246313839957</v>
      </c>
    </row>
    <row r="149" spans="1:7" ht="25.9" customHeight="1" thickBot="1" x14ac:dyDescent="0.25">
      <c r="A149" s="351" t="s">
        <v>310</v>
      </c>
      <c r="B149" s="325">
        <f>MAX(B148*$D$29/2, B148*$D$30)</f>
        <v>5.0017186171463717</v>
      </c>
      <c r="C149" s="325">
        <f>MAX(C148*$D$29/2, C148*$D$30)</f>
        <v>3.3549203198202902</v>
      </c>
      <c r="D149" s="325">
        <f>MAX(D148*$D$29/2, D148*$D$30)</f>
        <v>3.6030369470759935</v>
      </c>
      <c r="E149" s="325">
        <f>MAX(E148*$D$29/2, E148*$D$30)</f>
        <v>3.2698445876890223</v>
      </c>
      <c r="F149" s="326">
        <f>MAX(F148*$D$29/2, F148*$D$30)</f>
        <v>3.6030369470759935</v>
      </c>
    </row>
    <row r="150" spans="1:7" ht="16.149999999999999" customHeight="1" thickTop="1" x14ac:dyDescent="0.2">
      <c r="A150" s="549" t="s">
        <v>263</v>
      </c>
      <c r="B150" s="550"/>
      <c r="C150" s="550"/>
      <c r="D150" s="550"/>
      <c r="E150" s="550"/>
      <c r="F150" s="551"/>
    </row>
    <row r="151" spans="1:7" ht="16.149999999999999" customHeight="1" x14ac:dyDescent="0.2">
      <c r="A151" s="534" t="s">
        <v>262</v>
      </c>
      <c r="B151" s="535"/>
      <c r="C151" s="535"/>
      <c r="D151" s="535"/>
      <c r="E151" s="535"/>
      <c r="F151" s="536"/>
    </row>
    <row r="152" spans="1:7" ht="16.149999999999999" customHeight="1" x14ac:dyDescent="0.2">
      <c r="A152" s="543" t="s">
        <v>246</v>
      </c>
      <c r="B152" s="544"/>
      <c r="C152" s="544"/>
      <c r="D152" s="544"/>
      <c r="E152" s="544"/>
      <c r="F152" s="545"/>
    </row>
    <row r="153" spans="1:7" ht="16.149999999999999" customHeight="1" x14ac:dyDescent="0.2">
      <c r="A153" s="546" t="s">
        <v>247</v>
      </c>
      <c r="B153" s="547"/>
      <c r="C153" s="547"/>
      <c r="D153" s="547"/>
      <c r="E153" s="547"/>
      <c r="F153" s="548"/>
    </row>
    <row r="154" spans="1:7" ht="16.149999999999999" customHeight="1" x14ac:dyDescent="0.2">
      <c r="A154" s="534" t="s">
        <v>245</v>
      </c>
      <c r="B154" s="535"/>
      <c r="C154" s="535"/>
      <c r="D154" s="535"/>
      <c r="E154" s="535"/>
      <c r="F154" s="536"/>
    </row>
    <row r="155" spans="1:7" ht="16.149999999999999" customHeight="1" thickBot="1" x14ac:dyDescent="0.25">
      <c r="A155" s="552"/>
      <c r="B155" s="553"/>
      <c r="C155" s="553"/>
      <c r="D155" s="553"/>
      <c r="E155" s="553"/>
      <c r="F155" s="554"/>
    </row>
    <row r="156" spans="1:7" ht="10.9" customHeight="1" thickTop="1" x14ac:dyDescent="0.2">
      <c r="A156" s="261"/>
      <c r="B156" s="95"/>
      <c r="C156" s="265"/>
    </row>
    <row r="157" spans="1:7" ht="19.899999999999999" customHeight="1" x14ac:dyDescent="0.2">
      <c r="A157" s="478" t="s">
        <v>209</v>
      </c>
      <c r="B157" s="478"/>
      <c r="C157" s="478"/>
      <c r="D157" s="478"/>
      <c r="E157" s="478"/>
      <c r="F157" s="478"/>
      <c r="G157" s="478"/>
    </row>
    <row r="158" spans="1:7" ht="18.75" x14ac:dyDescent="0.2">
      <c r="A158" s="275" t="s">
        <v>225</v>
      </c>
    </row>
    <row r="159" spans="1:7" ht="18" x14ac:dyDescent="0.2">
      <c r="A159" s="204" t="s">
        <v>210</v>
      </c>
    </row>
    <row r="162" spans="1:6" ht="18" x14ac:dyDescent="0.2">
      <c r="A162" s="204" t="s">
        <v>224</v>
      </c>
    </row>
    <row r="165" spans="1:6" ht="16.899999999999999" customHeight="1" x14ac:dyDescent="0.2">
      <c r="B165" s="53" t="s">
        <v>226</v>
      </c>
      <c r="D165" s="95">
        <f>IF((2.36*E61/D29+0.528)&gt;1, 1, 2.36*E61/D29+0.528)</f>
        <v>1</v>
      </c>
    </row>
    <row r="166" spans="1:6" ht="14.25" x14ac:dyDescent="0.2">
      <c r="B166" s="296" t="s">
        <v>227</v>
      </c>
      <c r="C166" s="70">
        <f>IF(E60="-", "-",E61^2/(D165*(E60)^2))</f>
        <v>7.84</v>
      </c>
      <c r="D166" s="388" t="str">
        <f>IF(C166="-", "Long Span Structural Plate Structure Geometric Limits Exceed, Spreadsheet Cannot be Used!", "")</f>
        <v/>
      </c>
    </row>
    <row r="167" spans="1:6" ht="13.5" thickBot="1" x14ac:dyDescent="0.25">
      <c r="B167" s="296"/>
      <c r="C167" s="95"/>
    </row>
    <row r="168" spans="1:6" ht="24" customHeight="1" thickTop="1" thickBot="1" x14ac:dyDescent="0.25">
      <c r="A168" s="537" t="s">
        <v>249</v>
      </c>
      <c r="B168" s="538"/>
      <c r="C168" s="538"/>
      <c r="D168" s="538"/>
      <c r="E168" s="538"/>
      <c r="F168" s="539"/>
    </row>
    <row r="169" spans="1:6" ht="16.899999999999999" customHeight="1" thickTop="1" thickBot="1" x14ac:dyDescent="0.25">
      <c r="A169" s="331"/>
      <c r="B169" s="330" t="s">
        <v>1</v>
      </c>
      <c r="C169" s="327" t="s">
        <v>0</v>
      </c>
      <c r="D169" s="328" t="s">
        <v>190</v>
      </c>
      <c r="E169" s="328" t="s">
        <v>191</v>
      </c>
      <c r="F169" s="329" t="s">
        <v>192</v>
      </c>
    </row>
    <row r="170" spans="1:6" ht="16.899999999999999" customHeight="1" thickTop="1" x14ac:dyDescent="0.2">
      <c r="A170" s="332" t="s">
        <v>211</v>
      </c>
      <c r="B170" s="352">
        <f>$C$86</f>
        <v>41.54</v>
      </c>
      <c r="C170" s="353">
        <f t="shared" ref="C170:F170" si="2">$C$86</f>
        <v>41.54</v>
      </c>
      <c r="D170" s="353">
        <f t="shared" si="2"/>
        <v>41.54</v>
      </c>
      <c r="E170" s="353">
        <f t="shared" si="2"/>
        <v>41.54</v>
      </c>
      <c r="F170" s="354">
        <f t="shared" si="2"/>
        <v>41.54</v>
      </c>
    </row>
    <row r="171" spans="1:6" ht="16.899999999999999" customHeight="1" x14ac:dyDescent="0.2">
      <c r="A171" s="333" t="s">
        <v>212</v>
      </c>
      <c r="B171" s="355">
        <f>$C$92</f>
        <v>6.3</v>
      </c>
      <c r="C171" s="70">
        <f t="shared" ref="C171:F171" si="3">$C$92</f>
        <v>6.3</v>
      </c>
      <c r="D171" s="70">
        <f t="shared" si="3"/>
        <v>6.3</v>
      </c>
      <c r="E171" s="70">
        <f t="shared" si="3"/>
        <v>6.3</v>
      </c>
      <c r="F171" s="320">
        <f t="shared" si="3"/>
        <v>6.3</v>
      </c>
    </row>
    <row r="172" spans="1:6" ht="16.899999999999999" customHeight="1" x14ac:dyDescent="0.2">
      <c r="A172" s="333" t="s">
        <v>213</v>
      </c>
      <c r="B172" s="355">
        <f>B149</f>
        <v>5.0017186171463717</v>
      </c>
      <c r="C172" s="70">
        <f t="shared" ref="C172:F172" si="4">C149</f>
        <v>3.3549203198202902</v>
      </c>
      <c r="D172" s="70">
        <f t="shared" si="4"/>
        <v>3.6030369470759935</v>
      </c>
      <c r="E172" s="70">
        <f t="shared" si="4"/>
        <v>3.2698445876890223</v>
      </c>
      <c r="F172" s="320">
        <f t="shared" si="4"/>
        <v>3.6030369470759935</v>
      </c>
    </row>
    <row r="173" spans="1:6" ht="16.899999999999999" customHeight="1" x14ac:dyDescent="0.2">
      <c r="A173" s="333" t="s">
        <v>214</v>
      </c>
      <c r="B173" s="361">
        <f>($B$170-1.95*$B$171)/(B172*1.3)</f>
        <v>4.4992227424991098</v>
      </c>
      <c r="C173" s="70">
        <f t="shared" ref="C173:F173" si="5">($B$170-1.95*$B$171)/(C172*1.3)</f>
        <v>6.7077140464103771</v>
      </c>
      <c r="D173" s="70">
        <f t="shared" si="5"/>
        <v>6.2457994420814664</v>
      </c>
      <c r="E173" s="70">
        <f t="shared" si="5"/>
        <v>6.8822372288191378</v>
      </c>
      <c r="F173" s="320">
        <f t="shared" si="5"/>
        <v>6.2457994420814664</v>
      </c>
    </row>
    <row r="174" spans="1:6" ht="14.25" x14ac:dyDescent="0.2">
      <c r="A174" s="333" t="s">
        <v>228</v>
      </c>
      <c r="B174" s="355">
        <f>$C$166</f>
        <v>7.84</v>
      </c>
      <c r="C174" s="70">
        <f t="shared" ref="C174:F174" si="6">$C$166</f>
        <v>7.84</v>
      </c>
      <c r="D174" s="70">
        <f t="shared" si="6"/>
        <v>7.84</v>
      </c>
      <c r="E174" s="70">
        <f t="shared" si="6"/>
        <v>7.84</v>
      </c>
      <c r="F174" s="320">
        <f t="shared" si="6"/>
        <v>7.84</v>
      </c>
    </row>
    <row r="175" spans="1:6" ht="15" thickBot="1" x14ac:dyDescent="0.25">
      <c r="A175" s="334" t="s">
        <v>229</v>
      </c>
      <c r="B175" s="384">
        <f>MIN(B173,$B$174)</f>
        <v>4.4992227424991098</v>
      </c>
      <c r="C175" s="386">
        <f t="shared" ref="C175:F175" si="7">MIN(C173,$B$174)</f>
        <v>6.7077140464103771</v>
      </c>
      <c r="D175" s="325">
        <f>MIN(D173,$B$174)</f>
        <v>6.2457994420814664</v>
      </c>
      <c r="E175" s="385">
        <f t="shared" si="7"/>
        <v>6.8822372288191378</v>
      </c>
      <c r="F175" s="385">
        <f t="shared" si="7"/>
        <v>6.2457994420814664</v>
      </c>
    </row>
    <row r="176" spans="1:6" ht="13.5" thickTop="1" x14ac:dyDescent="0.2"/>
    <row r="177" spans="1:6" ht="18.75" x14ac:dyDescent="0.2">
      <c r="A177" s="275" t="s">
        <v>230</v>
      </c>
    </row>
    <row r="178" spans="1:6" ht="18" x14ac:dyDescent="0.2">
      <c r="A178" s="204" t="s">
        <v>231</v>
      </c>
    </row>
    <row r="181" spans="1:6" ht="18" x14ac:dyDescent="0.2">
      <c r="A181" s="204" t="s">
        <v>232</v>
      </c>
    </row>
    <row r="183" spans="1:6" ht="13.5" thickBot="1" x14ac:dyDescent="0.25"/>
    <row r="184" spans="1:6" ht="21" customHeight="1" thickTop="1" thickBot="1" x14ac:dyDescent="0.25">
      <c r="A184" s="540" t="s">
        <v>250</v>
      </c>
      <c r="B184" s="541"/>
    </row>
    <row r="185" spans="1:6" ht="17.45" customHeight="1" thickTop="1" thickBot="1" x14ac:dyDescent="0.25">
      <c r="A185" s="331"/>
      <c r="B185" s="335" t="s">
        <v>1</v>
      </c>
      <c r="C185" s="298"/>
      <c r="D185" s="68"/>
      <c r="E185" s="68"/>
      <c r="F185" s="68"/>
    </row>
    <row r="186" spans="1:6" ht="15" thickTop="1" x14ac:dyDescent="0.2">
      <c r="A186" s="332" t="s">
        <v>233</v>
      </c>
      <c r="B186" s="336">
        <f>B173*3/5</f>
        <v>2.6995336454994656</v>
      </c>
      <c r="C186" s="95"/>
      <c r="D186" s="95"/>
      <c r="E186" s="95"/>
      <c r="F186" s="95"/>
    </row>
    <row r="187" spans="1:6" ht="14.25" x14ac:dyDescent="0.2">
      <c r="A187" s="333" t="s">
        <v>234</v>
      </c>
      <c r="B187" s="337">
        <f>E133^2/E60^2</f>
        <v>7.84</v>
      </c>
    </row>
    <row r="188" spans="1:6" ht="15" thickBot="1" x14ac:dyDescent="0.25">
      <c r="A188" s="334" t="s">
        <v>235</v>
      </c>
      <c r="B188" s="338">
        <f>MIN(B186,$B$187)</f>
        <v>2.6995336454994656</v>
      </c>
      <c r="C188" s="95"/>
      <c r="D188" s="95"/>
      <c r="E188" s="95"/>
      <c r="F188" s="95"/>
    </row>
    <row r="189" spans="1:6" ht="13.5" thickTop="1" x14ac:dyDescent="0.2">
      <c r="A189" s="68"/>
      <c r="B189" s="95"/>
      <c r="C189" s="95"/>
      <c r="D189" s="95"/>
      <c r="E189" s="95"/>
      <c r="F189" s="95"/>
    </row>
    <row r="190" spans="1:6" ht="23.45" customHeight="1" thickBot="1" x14ac:dyDescent="0.25"/>
    <row r="191" spans="1:6" ht="24.6" customHeight="1" thickTop="1" x14ac:dyDescent="0.2">
      <c r="A191" s="555" t="s">
        <v>215</v>
      </c>
      <c r="B191" s="556"/>
      <c r="C191" s="556"/>
      <c r="D191" s="556"/>
      <c r="E191" s="556"/>
      <c r="F191" s="557"/>
    </row>
    <row r="192" spans="1:6" ht="14.25" thickBot="1" x14ac:dyDescent="0.25">
      <c r="A192" s="276"/>
      <c r="B192" s="277" t="s">
        <v>216</v>
      </c>
      <c r="C192" s="277" t="s">
        <v>217</v>
      </c>
      <c r="D192" s="278" t="s">
        <v>218</v>
      </c>
      <c r="E192" s="279" t="s">
        <v>219</v>
      </c>
      <c r="F192" s="280" t="s">
        <v>220</v>
      </c>
    </row>
    <row r="193" spans="1:10" ht="15" thickTop="1" thickBot="1" x14ac:dyDescent="0.25">
      <c r="A193" s="281" t="s">
        <v>221</v>
      </c>
      <c r="B193" s="282" t="s">
        <v>1</v>
      </c>
      <c r="C193" s="283">
        <v>36</v>
      </c>
      <c r="D193" s="284">
        <f>B188</f>
        <v>2.6995336454994656</v>
      </c>
      <c r="E193" s="285">
        <f t="shared" ref="E193:E198" si="8">C193*D193</f>
        <v>97.183211237980757</v>
      </c>
      <c r="F193" s="286">
        <f>D193*20</f>
        <v>53.990672909989314</v>
      </c>
      <c r="G193" s="530" t="str">
        <f>IF(C166="-", "Long Span Structural Plate Structure Geometric Limits Exceed, Spreadsheet Cannot be Used!", "")</f>
        <v/>
      </c>
      <c r="H193" s="466"/>
      <c r="I193" s="466"/>
      <c r="J193" s="466"/>
    </row>
    <row r="194" spans="1:10" ht="13.5" x14ac:dyDescent="0.2">
      <c r="A194" s="558" t="s">
        <v>222</v>
      </c>
      <c r="B194" s="287" t="s">
        <v>1</v>
      </c>
      <c r="C194" s="288">
        <v>36</v>
      </c>
      <c r="D194" s="289">
        <f>B175</f>
        <v>4.4992227424991098</v>
      </c>
      <c r="E194" s="290">
        <f t="shared" si="8"/>
        <v>161.97201872996794</v>
      </c>
      <c r="F194" s="291">
        <f>D194*20</f>
        <v>89.9844548499822</v>
      </c>
      <c r="G194" s="530"/>
      <c r="H194" s="466"/>
      <c r="I194" s="466"/>
      <c r="J194" s="466"/>
    </row>
    <row r="195" spans="1:10" ht="13.5" x14ac:dyDescent="0.2">
      <c r="A195" s="558"/>
      <c r="B195" s="292" t="s">
        <v>0</v>
      </c>
      <c r="C195" s="293">
        <v>15</v>
      </c>
      <c r="D195" s="294">
        <f>C175</f>
        <v>6.7077140464103771</v>
      </c>
      <c r="E195" s="295">
        <f t="shared" si="8"/>
        <v>100.61571069615566</v>
      </c>
      <c r="F195" s="560"/>
      <c r="G195" s="530"/>
      <c r="H195" s="466"/>
      <c r="I195" s="466"/>
      <c r="J195" s="466"/>
    </row>
    <row r="196" spans="1:10" ht="13.5" x14ac:dyDescent="0.2">
      <c r="A196" s="558"/>
      <c r="B196" s="292" t="s">
        <v>190</v>
      </c>
      <c r="C196" s="293">
        <v>23</v>
      </c>
      <c r="D196" s="294">
        <f>D175</f>
        <v>6.2457994420814664</v>
      </c>
      <c r="E196" s="295">
        <f t="shared" si="8"/>
        <v>143.65338716787372</v>
      </c>
      <c r="F196" s="560"/>
      <c r="G196" s="530"/>
      <c r="H196" s="466"/>
      <c r="I196" s="466"/>
      <c r="J196" s="466"/>
    </row>
    <row r="197" spans="1:10" ht="13.5" x14ac:dyDescent="0.2">
      <c r="A197" s="558"/>
      <c r="B197" s="292" t="s">
        <v>191</v>
      </c>
      <c r="C197" s="293">
        <v>27</v>
      </c>
      <c r="D197" s="294">
        <f>E175</f>
        <v>6.8822372288191378</v>
      </c>
      <c r="E197" s="295">
        <f t="shared" si="8"/>
        <v>185.82040517811672</v>
      </c>
      <c r="F197" s="560"/>
      <c r="G197" s="530" t="str">
        <f>IF('input-structure info'!D33="Long Span Structural Plate (AASHTO 12.7)", IF('input-Corrugated Metal Pipe'!B47&lt;'input-Corrugated Metal Pipe'!B48, "Long Span Structural Plate Structure Geometric Limits Exceed, Spreadsheet Cannot be Used!",""),"")</f>
        <v/>
      </c>
      <c r="H197" s="466"/>
      <c r="I197" s="466"/>
      <c r="J197" s="466"/>
    </row>
    <row r="198" spans="1:10" ht="13.5" x14ac:dyDescent="0.2">
      <c r="A198" s="558"/>
      <c r="B198" s="292" t="s">
        <v>192</v>
      </c>
      <c r="C198" s="293">
        <v>40</v>
      </c>
      <c r="D198" s="294">
        <f>F175</f>
        <v>6.2457994420814664</v>
      </c>
      <c r="E198" s="295">
        <f t="shared" si="8"/>
        <v>249.83197768325866</v>
      </c>
      <c r="F198" s="560"/>
      <c r="G198" s="530"/>
      <c r="H198" s="466"/>
      <c r="I198" s="466"/>
      <c r="J198" s="466"/>
    </row>
    <row r="199" spans="1:10" ht="14.25" thickBot="1" x14ac:dyDescent="0.25">
      <c r="A199" s="559"/>
      <c r="B199" s="277" t="s">
        <v>223</v>
      </c>
      <c r="C199" s="514">
        <f>MROUND(MIN(D195,D196,D197,D198),0.05)</f>
        <v>6.25</v>
      </c>
      <c r="D199" s="515"/>
      <c r="E199" s="516"/>
      <c r="F199" s="561"/>
      <c r="G199" s="530"/>
      <c r="H199" s="466"/>
      <c r="I199" s="466"/>
      <c r="J199" s="466"/>
    </row>
    <row r="200" spans="1:10" ht="14.25" thickTop="1" thickBot="1" x14ac:dyDescent="0.25"/>
    <row r="201" spans="1:10" ht="13.5" x14ac:dyDescent="0.2">
      <c r="B201" s="531" t="s">
        <v>236</v>
      </c>
      <c r="C201" s="532"/>
      <c r="D201" s="533"/>
    </row>
    <row r="202" spans="1:10" ht="24" x14ac:dyDescent="0.2">
      <c r="B202" s="299" t="s">
        <v>237</v>
      </c>
      <c r="C202" s="300" t="s">
        <v>291</v>
      </c>
      <c r="D202" s="382" t="s">
        <v>292</v>
      </c>
    </row>
    <row r="203" spans="1:10" x14ac:dyDescent="0.2">
      <c r="B203" s="301" t="s">
        <v>222</v>
      </c>
      <c r="C203" s="302" t="str">
        <f>B194</f>
        <v>HS20</v>
      </c>
      <c r="D203" s="383">
        <f>IF(D194&lt;10, D194*100, 999)</f>
        <v>449.92227424991097</v>
      </c>
    </row>
    <row r="204" spans="1:10" x14ac:dyDescent="0.2">
      <c r="B204" s="301" t="s">
        <v>221</v>
      </c>
      <c r="C204" s="302" t="str">
        <f>B193</f>
        <v>HS20</v>
      </c>
      <c r="D204" s="383">
        <f>IF(D193&lt;10,D193*100, 999)</f>
        <v>269.95336454994657</v>
      </c>
    </row>
    <row r="205" spans="1:10" x14ac:dyDescent="0.2">
      <c r="B205" s="301" t="s">
        <v>238</v>
      </c>
      <c r="C205" s="303"/>
      <c r="D205" s="304">
        <f>(MROUND(IF(C199&gt;=1.5,1.5,IF(C199&gt;=1,C199,IF(C199&gt;=0.925,1,C199))),0.05))*100</f>
        <v>150</v>
      </c>
    </row>
    <row r="206" spans="1:10" x14ac:dyDescent="0.2">
      <c r="B206" s="301" t="s">
        <v>239</v>
      </c>
      <c r="C206" s="305"/>
      <c r="D206" s="306">
        <f>F3</f>
        <v>40261</v>
      </c>
    </row>
    <row r="207" spans="1:10" x14ac:dyDescent="0.2">
      <c r="B207" s="301" t="s">
        <v>240</v>
      </c>
      <c r="C207" s="305"/>
      <c r="D207" s="304">
        <v>2</v>
      </c>
    </row>
    <row r="208" spans="1:10" ht="13.5" thickBot="1" x14ac:dyDescent="0.25">
      <c r="B208" s="307" t="s">
        <v>241</v>
      </c>
      <c r="C208" s="308"/>
      <c r="D208" s="309" t="str">
        <f>D3</f>
        <v>CW</v>
      </c>
    </row>
  </sheetData>
  <mergeCells count="91">
    <mergeCell ref="G193:J196"/>
    <mergeCell ref="G197:J199"/>
    <mergeCell ref="B89:B90"/>
    <mergeCell ref="B201:D201"/>
    <mergeCell ref="A151:F151"/>
    <mergeCell ref="A168:F168"/>
    <mergeCell ref="A184:B184"/>
    <mergeCell ref="C135:F135"/>
    <mergeCell ref="A152:F152"/>
    <mergeCell ref="A153:F153"/>
    <mergeCell ref="A150:F150"/>
    <mergeCell ref="A154:F155"/>
    <mergeCell ref="A157:G157"/>
    <mergeCell ref="A191:F191"/>
    <mergeCell ref="A194:A199"/>
    <mergeCell ref="F195:F199"/>
    <mergeCell ref="C199:E199"/>
    <mergeCell ref="B97:B100"/>
    <mergeCell ref="B63:D63"/>
    <mergeCell ref="B59:D59"/>
    <mergeCell ref="C82:E82"/>
    <mergeCell ref="B65:D65"/>
    <mergeCell ref="B64:D64"/>
    <mergeCell ref="B60:D60"/>
    <mergeCell ref="B62:D62"/>
    <mergeCell ref="C83:E83"/>
    <mergeCell ref="C84:E84"/>
    <mergeCell ref="B82:B84"/>
    <mergeCell ref="B66:D66"/>
    <mergeCell ref="B67:D67"/>
    <mergeCell ref="D80:F80"/>
    <mergeCell ref="A126:C127"/>
    <mergeCell ref="D1:G1"/>
    <mergeCell ref="F2:G2"/>
    <mergeCell ref="F3:G3"/>
    <mergeCell ref="F4:G4"/>
    <mergeCell ref="A15:F15"/>
    <mergeCell ref="A10:B10"/>
    <mergeCell ref="A11:F11"/>
    <mergeCell ref="A12:F12"/>
    <mergeCell ref="A13:F13"/>
    <mergeCell ref="A14:F14"/>
    <mergeCell ref="A9:G9"/>
    <mergeCell ref="A16:F16"/>
    <mergeCell ref="A7:G8"/>
    <mergeCell ref="A27:B27"/>
    <mergeCell ref="C27:F27"/>
    <mergeCell ref="A17:F17"/>
    <mergeCell ref="C19:D19"/>
    <mergeCell ref="C21:D21"/>
    <mergeCell ref="B21:B23"/>
    <mergeCell ref="C37:E37"/>
    <mergeCell ref="A33:B33"/>
    <mergeCell ref="C22:D22"/>
    <mergeCell ref="C23:D23"/>
    <mergeCell ref="A29:C29"/>
    <mergeCell ref="A30:C30"/>
    <mergeCell ref="E30:G31"/>
    <mergeCell ref="D32:G32"/>
    <mergeCell ref="A106:G115"/>
    <mergeCell ref="B94:B95"/>
    <mergeCell ref="D126:E126"/>
    <mergeCell ref="D127:E127"/>
    <mergeCell ref="D122:E122"/>
    <mergeCell ref="D123:E123"/>
    <mergeCell ref="E97:F97"/>
    <mergeCell ref="E98:F98"/>
    <mergeCell ref="E99:F99"/>
    <mergeCell ref="E100:F100"/>
    <mergeCell ref="C97:C100"/>
    <mergeCell ref="A68:G68"/>
    <mergeCell ref="C51:E53"/>
    <mergeCell ref="C25:D25"/>
    <mergeCell ref="B61:D61"/>
    <mergeCell ref="F51:G52"/>
    <mergeCell ref="B39:D39"/>
    <mergeCell ref="C58:E58"/>
    <mergeCell ref="C57:E57"/>
    <mergeCell ref="A56:B56"/>
    <mergeCell ref="B43:C43"/>
    <mergeCell ref="B44:C44"/>
    <mergeCell ref="B45:C45"/>
    <mergeCell ref="B46:C46"/>
    <mergeCell ref="B47:C47"/>
    <mergeCell ref="B40:D40"/>
    <mergeCell ref="B38:D38"/>
    <mergeCell ref="B49:F49"/>
    <mergeCell ref="B48:C48"/>
    <mergeCell ref="D47:G48"/>
    <mergeCell ref="F60:L60"/>
    <mergeCell ref="F61:G62"/>
  </mergeCells>
  <pageMargins left="0.5" right="0.5" top="0.65" bottom="0.65" header="0.3" footer="0.3"/>
  <pageSetup orientation="portrait" r:id="rId1"/>
  <headerFooter>
    <oddFooter>&amp;LRevised by ODOT 01/17/2012&amp;CPage &amp;P</oddFooter>
  </headerFooter>
  <rowBreaks count="5" manualBreakCount="5">
    <brk id="41" max="6" man="1"/>
    <brk id="78" max="6" man="1"/>
    <brk id="119" max="6" man="1"/>
    <brk id="156" max="6" man="1"/>
    <brk id="189" max="6" man="1"/>
  </rowBreaks>
  <drawing r:id="rId2"/>
  <legacyDrawing r:id="rId3"/>
  <oleObjects>
    <mc:AlternateContent xmlns:mc="http://schemas.openxmlformats.org/markup-compatibility/2006">
      <mc:Choice Requires="x14">
        <oleObject progId="Equation.3" shapeId="11274" r:id="rId4">
          <objectPr defaultSize="0" autoPict="0" r:id="rId5">
            <anchor moveWithCells="1">
              <from>
                <xdr:col>1</xdr:col>
                <xdr:colOff>57150</xdr:colOff>
                <xdr:row>69</xdr:row>
                <xdr:rowOff>95250</xdr:rowOff>
              </from>
              <to>
                <xdr:col>2</xdr:col>
                <xdr:colOff>876300</xdr:colOff>
                <xdr:row>71</xdr:row>
                <xdr:rowOff>95250</xdr:rowOff>
              </to>
            </anchor>
          </objectPr>
        </oleObject>
      </mc:Choice>
      <mc:Fallback>
        <oleObject progId="Equation.3" shapeId="11274" r:id="rId4"/>
      </mc:Fallback>
    </mc:AlternateContent>
    <mc:AlternateContent xmlns:mc="http://schemas.openxmlformats.org/markup-compatibility/2006">
      <mc:Choice Requires="x14">
        <oleObject progId="Equation.3" shapeId="11275" r:id="rId6">
          <objectPr defaultSize="0" autoPict="0" r:id="rId7">
            <anchor moveWithCells="1">
              <from>
                <xdr:col>1</xdr:col>
                <xdr:colOff>47625</xdr:colOff>
                <xdr:row>71</xdr:row>
                <xdr:rowOff>104775</xdr:rowOff>
              </from>
              <to>
                <xdr:col>2</xdr:col>
                <xdr:colOff>438150</xdr:colOff>
                <xdr:row>73</xdr:row>
                <xdr:rowOff>95250</xdr:rowOff>
              </to>
            </anchor>
          </objectPr>
        </oleObject>
      </mc:Choice>
      <mc:Fallback>
        <oleObject progId="Equation.3" shapeId="11275" r:id="rId6"/>
      </mc:Fallback>
    </mc:AlternateContent>
    <mc:AlternateContent xmlns:mc="http://schemas.openxmlformats.org/markup-compatibility/2006">
      <mc:Choice Requires="x14">
        <oleObject progId="Equation.3" shapeId="11278" r:id="rId8">
          <objectPr defaultSize="0" autoPict="0" r:id="rId9">
            <anchor moveWithCells="1">
              <from>
                <xdr:col>4</xdr:col>
                <xdr:colOff>57150</xdr:colOff>
                <xdr:row>73</xdr:row>
                <xdr:rowOff>114300</xdr:rowOff>
              </from>
              <to>
                <xdr:col>4</xdr:col>
                <xdr:colOff>704850</xdr:colOff>
                <xdr:row>75</xdr:row>
                <xdr:rowOff>57150</xdr:rowOff>
              </to>
            </anchor>
          </objectPr>
        </oleObject>
      </mc:Choice>
      <mc:Fallback>
        <oleObject progId="Equation.3" shapeId="11278" r:id="rId8"/>
      </mc:Fallback>
    </mc:AlternateContent>
    <mc:AlternateContent xmlns:mc="http://schemas.openxmlformats.org/markup-compatibility/2006">
      <mc:Choice Requires="x14">
        <oleObject progId="Equation.3" shapeId="11337" r:id="rId10">
          <objectPr defaultSize="0" autoPict="0" r:id="rId11">
            <anchor moveWithCells="1">
              <from>
                <xdr:col>1</xdr:col>
                <xdr:colOff>19050</xdr:colOff>
                <xdr:row>131</xdr:row>
                <xdr:rowOff>19050</xdr:rowOff>
              </from>
              <to>
                <xdr:col>1</xdr:col>
                <xdr:colOff>1466850</xdr:colOff>
                <xdr:row>132</xdr:row>
                <xdr:rowOff>0</xdr:rowOff>
              </to>
            </anchor>
          </objectPr>
        </oleObject>
      </mc:Choice>
      <mc:Fallback>
        <oleObject progId="Equation.3" shapeId="11337" r:id="rId10"/>
      </mc:Fallback>
    </mc:AlternateContent>
    <mc:AlternateContent xmlns:mc="http://schemas.openxmlformats.org/markup-compatibility/2006">
      <mc:Choice Requires="x14">
        <oleObject progId="Equation.3" shapeId="11340" r:id="rId12">
          <objectPr defaultSize="0" autoPict="0" r:id="rId13">
            <anchor moveWithCells="1">
              <from>
                <xdr:col>1</xdr:col>
                <xdr:colOff>19050</xdr:colOff>
                <xdr:row>129</xdr:row>
                <xdr:rowOff>0</xdr:rowOff>
              </from>
              <to>
                <xdr:col>1</xdr:col>
                <xdr:colOff>1123950</xdr:colOff>
                <xdr:row>130</xdr:row>
                <xdr:rowOff>0</xdr:rowOff>
              </to>
            </anchor>
          </objectPr>
        </oleObject>
      </mc:Choice>
      <mc:Fallback>
        <oleObject progId="Equation.3" shapeId="11340" r:id="rId12"/>
      </mc:Fallback>
    </mc:AlternateContent>
    <mc:AlternateContent xmlns:mc="http://schemas.openxmlformats.org/markup-compatibility/2006">
      <mc:Choice Requires="x14">
        <oleObject progId="Equation.3" shapeId="11341" r:id="rId14">
          <objectPr defaultSize="0" autoPict="0" r:id="rId15">
            <anchor moveWithCells="1">
              <from>
                <xdr:col>1</xdr:col>
                <xdr:colOff>9525</xdr:colOff>
                <xdr:row>128</xdr:row>
                <xdr:rowOff>19050</xdr:rowOff>
              </from>
              <to>
                <xdr:col>1</xdr:col>
                <xdr:colOff>1200150</xdr:colOff>
                <xdr:row>129</xdr:row>
                <xdr:rowOff>19050</xdr:rowOff>
              </to>
            </anchor>
          </objectPr>
        </oleObject>
      </mc:Choice>
      <mc:Fallback>
        <oleObject progId="Equation.3" shapeId="11341" r:id="rId14"/>
      </mc:Fallback>
    </mc:AlternateContent>
    <mc:AlternateContent xmlns:mc="http://schemas.openxmlformats.org/markup-compatibility/2006">
      <mc:Choice Requires="x14">
        <oleObject progId="Equation.3" shapeId="11342" r:id="rId16">
          <objectPr defaultSize="0" autoPict="0" r:id="rId17">
            <anchor moveWithCells="1">
              <from>
                <xdr:col>1</xdr:col>
                <xdr:colOff>9525</xdr:colOff>
                <xdr:row>130</xdr:row>
                <xdr:rowOff>9525</xdr:rowOff>
              </from>
              <to>
                <xdr:col>1</xdr:col>
                <xdr:colOff>1543050</xdr:colOff>
                <xdr:row>131</xdr:row>
                <xdr:rowOff>19050</xdr:rowOff>
              </to>
            </anchor>
          </objectPr>
        </oleObject>
      </mc:Choice>
      <mc:Fallback>
        <oleObject progId="Equation.3" shapeId="11342" r:id="rId16"/>
      </mc:Fallback>
    </mc:AlternateContent>
    <mc:AlternateContent xmlns:mc="http://schemas.openxmlformats.org/markup-compatibility/2006">
      <mc:Choice Requires="x14">
        <oleObject progId="Equation.3" shapeId="11343" r:id="rId18">
          <objectPr defaultSize="0" autoPict="0" r:id="rId19">
            <anchor moveWithCells="1">
              <from>
                <xdr:col>1</xdr:col>
                <xdr:colOff>9525</xdr:colOff>
                <xdr:row>159</xdr:row>
                <xdr:rowOff>38100</xdr:rowOff>
              </from>
              <to>
                <xdr:col>1</xdr:col>
                <xdr:colOff>1352550</xdr:colOff>
                <xdr:row>160</xdr:row>
                <xdr:rowOff>142875</xdr:rowOff>
              </to>
            </anchor>
          </objectPr>
        </oleObject>
      </mc:Choice>
      <mc:Fallback>
        <oleObject progId="Equation.3" shapeId="11343" r:id="rId18"/>
      </mc:Fallback>
    </mc:AlternateContent>
    <mc:AlternateContent xmlns:mc="http://schemas.openxmlformats.org/markup-compatibility/2006">
      <mc:Choice Requires="x14">
        <oleObject progId="Equation.3" shapeId="11344" r:id="rId20">
          <objectPr defaultSize="0" autoPict="0" r:id="rId21">
            <anchor moveWithCells="1">
              <from>
                <xdr:col>0</xdr:col>
                <xdr:colOff>933450</xdr:colOff>
                <xdr:row>162</xdr:row>
                <xdr:rowOff>38100</xdr:rowOff>
              </from>
              <to>
                <xdr:col>1</xdr:col>
                <xdr:colOff>1314450</xdr:colOff>
                <xdr:row>163</xdr:row>
                <xdr:rowOff>133350</xdr:rowOff>
              </to>
            </anchor>
          </objectPr>
        </oleObject>
      </mc:Choice>
      <mc:Fallback>
        <oleObject progId="Equation.3" shapeId="11344" r:id="rId20"/>
      </mc:Fallback>
    </mc:AlternateContent>
    <mc:AlternateContent xmlns:mc="http://schemas.openxmlformats.org/markup-compatibility/2006">
      <mc:Choice Requires="x14">
        <oleObject progId="Equation.3" shapeId="11345" r:id="rId22">
          <objectPr defaultSize="0" autoPict="0" r:id="rId23">
            <anchor moveWithCells="1">
              <from>
                <xdr:col>1</xdr:col>
                <xdr:colOff>1028700</xdr:colOff>
                <xdr:row>163</xdr:row>
                <xdr:rowOff>171450</xdr:rowOff>
              </from>
              <to>
                <xdr:col>2</xdr:col>
                <xdr:colOff>1085850</xdr:colOff>
                <xdr:row>165</xdr:row>
                <xdr:rowOff>9525</xdr:rowOff>
              </to>
            </anchor>
          </objectPr>
        </oleObject>
      </mc:Choice>
      <mc:Fallback>
        <oleObject progId="Equation.3" shapeId="11345" r:id="rId22"/>
      </mc:Fallback>
    </mc:AlternateContent>
    <mc:AlternateContent xmlns:mc="http://schemas.openxmlformats.org/markup-compatibility/2006">
      <mc:Choice Requires="x14">
        <oleObject progId="Equation.3" shapeId="11347" r:id="rId24">
          <objectPr defaultSize="0" autoPict="0" r:id="rId25">
            <anchor moveWithCells="1">
              <from>
                <xdr:col>1</xdr:col>
                <xdr:colOff>19050</xdr:colOff>
                <xdr:row>178</xdr:row>
                <xdr:rowOff>38100</xdr:rowOff>
              </from>
              <to>
                <xdr:col>1</xdr:col>
                <xdr:colOff>1333500</xdr:colOff>
                <xdr:row>180</xdr:row>
                <xdr:rowOff>0</xdr:rowOff>
              </to>
            </anchor>
          </objectPr>
        </oleObject>
      </mc:Choice>
      <mc:Fallback>
        <oleObject progId="Equation.3" shapeId="11347" r:id="rId24"/>
      </mc:Fallback>
    </mc:AlternateContent>
    <mc:AlternateContent xmlns:mc="http://schemas.openxmlformats.org/markup-compatibility/2006">
      <mc:Choice Requires="x14">
        <oleObject progId="Equation.3" shapeId="11348" r:id="rId26">
          <objectPr defaultSize="0" autoPict="0" r:id="rId27">
            <anchor moveWithCells="1">
              <from>
                <xdr:col>1</xdr:col>
                <xdr:colOff>19050</xdr:colOff>
                <xdr:row>181</xdr:row>
                <xdr:rowOff>0</xdr:rowOff>
              </from>
              <to>
                <xdr:col>1</xdr:col>
                <xdr:colOff>1047750</xdr:colOff>
                <xdr:row>182</xdr:row>
                <xdr:rowOff>114300</xdr:rowOff>
              </to>
            </anchor>
          </objectPr>
        </oleObject>
      </mc:Choice>
      <mc:Fallback>
        <oleObject progId="Equation.3" shapeId="11348" r:id="rId2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66"/>
  <sheetViews>
    <sheetView showGridLines="0" topLeftCell="B1" zoomScaleNormal="100" workbookViewId="0">
      <selection activeCell="F12" sqref="F12"/>
    </sheetView>
  </sheetViews>
  <sheetFormatPr defaultColWidth="8.85546875" defaultRowHeight="15" x14ac:dyDescent="0.2"/>
  <cols>
    <col min="1" max="1" width="11.28515625" style="98" customWidth="1"/>
    <col min="2" max="2" width="13.85546875" style="104" customWidth="1"/>
    <col min="3" max="3" width="47.28515625" style="98" customWidth="1"/>
    <col min="4" max="4" width="18.42578125" style="98" customWidth="1"/>
    <col min="5" max="5" width="10.28515625" style="98" customWidth="1"/>
    <col min="6" max="6" width="15.42578125" style="98" customWidth="1"/>
    <col min="7" max="16384" width="8.85546875" style="98"/>
  </cols>
  <sheetData>
    <row r="1" spans="2:8" x14ac:dyDescent="0.2">
      <c r="D1" s="187" t="s">
        <v>3</v>
      </c>
      <c r="E1" s="188" t="s">
        <v>107</v>
      </c>
    </row>
    <row r="2" spans="2:8" ht="14.45" customHeight="1" x14ac:dyDescent="0.2">
      <c r="B2" s="573" t="s">
        <v>53</v>
      </c>
      <c r="C2" s="107" t="s">
        <v>86</v>
      </c>
      <c r="D2" s="189">
        <f>MAX('input-Corrugated Metal Pipe'!D29/8,1)</f>
        <v>1.25</v>
      </c>
    </row>
    <row r="3" spans="2:8" ht="14.45" customHeight="1" x14ac:dyDescent="0.2">
      <c r="B3" s="573"/>
      <c r="C3" s="107" t="s">
        <v>88</v>
      </c>
      <c r="D3" s="189">
        <f>MAX('input-Corrugated Metal Pipe'!D29/4,1)</f>
        <v>2.5</v>
      </c>
      <c r="G3" s="180"/>
      <c r="H3" s="180"/>
    </row>
    <row r="4" spans="2:8" ht="14.45" customHeight="1" x14ac:dyDescent="0.2">
      <c r="B4" s="573"/>
      <c r="C4" s="107" t="s">
        <v>87</v>
      </c>
      <c r="D4" s="189">
        <f>IF('input-Corrugated Metal Pipe'!D29*12&lt;=48,MAX('input-Corrugated Metal Pipe'!D29/2,1),MAX('input-Corrugated Metal Pipe'!D29/2.75,2))</f>
        <v>3.6363636363636362</v>
      </c>
    </row>
    <row r="5" spans="2:8" ht="14.45" customHeight="1" x14ac:dyDescent="0.2">
      <c r="B5" s="573"/>
      <c r="C5" s="107" t="s">
        <v>89</v>
      </c>
      <c r="D5" s="189">
        <f>MAX('input-Corrugated Metal Pipe'!D29/8,1)</f>
        <v>1.25</v>
      </c>
    </row>
    <row r="6" spans="2:8" ht="14.45" customHeight="1" x14ac:dyDescent="0.2">
      <c r="B6" s="573"/>
      <c r="C6" s="107" t="s">
        <v>90</v>
      </c>
      <c r="D6" s="189" t="str">
        <f>IF('input-structure info'!D33="Long Span Structural Plate (AASHTO 12.7)",VLOOKUP('input-Corrugated Metal Pipe'!B47,B22:C28,2),"-")</f>
        <v>-</v>
      </c>
    </row>
    <row r="7" spans="2:8" ht="14.45" customHeight="1" x14ac:dyDescent="0.2">
      <c r="B7" s="195"/>
      <c r="C7" s="66"/>
      <c r="D7" s="202"/>
    </row>
    <row r="8" spans="2:8" ht="14.45" customHeight="1" x14ac:dyDescent="0.2">
      <c r="B8" s="562" t="s">
        <v>123</v>
      </c>
      <c r="C8" s="107" t="s">
        <v>124</v>
      </c>
      <c r="D8" s="202"/>
    </row>
    <row r="9" spans="2:8" ht="14.45" customHeight="1" x14ac:dyDescent="0.2">
      <c r="B9" s="563"/>
      <c r="C9" s="107" t="s">
        <v>125</v>
      </c>
      <c r="D9" s="202"/>
      <c r="G9" s="180"/>
      <c r="H9" s="180"/>
    </row>
    <row r="10" spans="2:8" ht="14.45" customHeight="1" x14ac:dyDescent="0.2">
      <c r="B10" s="195"/>
      <c r="C10" s="66"/>
      <c r="D10" s="202"/>
    </row>
    <row r="11" spans="2:8" ht="14.45" customHeight="1" x14ac:dyDescent="0.2">
      <c r="B11" s="570" t="s">
        <v>126</v>
      </c>
      <c r="C11" s="115" t="s">
        <v>130</v>
      </c>
      <c r="D11" s="202"/>
    </row>
    <row r="12" spans="2:8" ht="14.45" customHeight="1" x14ac:dyDescent="0.2">
      <c r="B12" s="571"/>
      <c r="C12" s="116" t="s">
        <v>131</v>
      </c>
      <c r="D12" s="202"/>
    </row>
    <row r="13" spans="2:8" ht="14.45" customHeight="1" x14ac:dyDescent="0.2">
      <c r="B13" s="572"/>
      <c r="C13" s="116" t="s">
        <v>132</v>
      </c>
      <c r="D13" s="202"/>
    </row>
    <row r="14" spans="2:8" ht="14.45" customHeight="1" x14ac:dyDescent="0.2">
      <c r="B14" s="195"/>
      <c r="C14" s="66"/>
      <c r="D14" s="202"/>
    </row>
    <row r="15" spans="2:8" ht="12.75" x14ac:dyDescent="0.2">
      <c r="B15" s="190" t="s">
        <v>113</v>
      </c>
      <c r="C15" s="196"/>
    </row>
    <row r="16" spans="2:8" ht="15" customHeight="1" x14ac:dyDescent="0.2">
      <c r="B16" s="195"/>
      <c r="C16" s="199" t="s">
        <v>114</v>
      </c>
    </row>
    <row r="17" spans="2:7" ht="15" customHeight="1" x14ac:dyDescent="0.2">
      <c r="B17" s="195" t="s">
        <v>115</v>
      </c>
      <c r="C17" s="198">
        <f>IF(C21="&lt;= 15'",0.109,IF(C21="15'-17'",0.138,IF(C21="17'-20'",0.168,IF(C21="20'-23'",0.218,IF(C21="23'-25'",0.249,"-")))))</f>
        <v>0.109</v>
      </c>
      <c r="D17" s="66" t="s">
        <v>116</v>
      </c>
    </row>
    <row r="18" spans="2:7" ht="15" customHeight="1" x14ac:dyDescent="0.2">
      <c r="B18" s="195"/>
      <c r="C18" s="196"/>
    </row>
    <row r="19" spans="2:7" ht="15" customHeight="1" x14ac:dyDescent="0.2">
      <c r="B19" s="190" t="s">
        <v>112</v>
      </c>
      <c r="C19" s="196"/>
    </row>
    <row r="20" spans="2:7" ht="15" customHeight="1" x14ac:dyDescent="0.2">
      <c r="B20" s="191" t="s">
        <v>108</v>
      </c>
      <c r="C20" s="192">
        <f>'input-Corrugated Metal Pipe'!D30</f>
        <v>15</v>
      </c>
      <c r="D20" s="66" t="s">
        <v>44</v>
      </c>
    </row>
    <row r="21" spans="2:7" ht="15" customHeight="1" x14ac:dyDescent="0.2">
      <c r="B21" s="193" t="s">
        <v>4</v>
      </c>
      <c r="C21" s="193" t="str">
        <f>IF(C20&lt;=15,"&lt;= 15'", IF(C20&lt;17,"15'-17'",IF(C20&lt;20,"17'-20'",IF(C20&lt;23,"20'-23'",IF(C20&lt;25, "23'-25'", IF(C20&gt;25, "&gt;25'"))))))</f>
        <v>&lt;= 15'</v>
      </c>
      <c r="D21" s="311" t="s">
        <v>109</v>
      </c>
    </row>
    <row r="22" spans="2:7" ht="15" customHeight="1" x14ac:dyDescent="0.2">
      <c r="B22" s="194">
        <v>0.109</v>
      </c>
      <c r="C22" s="189">
        <f>IF(C21="&lt;= 15'",2.5,"-")</f>
        <v>2.5</v>
      </c>
    </row>
    <row r="23" spans="2:7" ht="15" customHeight="1" x14ac:dyDescent="0.2">
      <c r="B23" s="194">
        <v>0.13800000000000001</v>
      </c>
      <c r="C23" s="189">
        <f>IF(C21="&lt;= 15'",2.5,IF(C21="15'-17'",3, "-"))</f>
        <v>2.5</v>
      </c>
    </row>
    <row r="24" spans="2:7" ht="15" customHeight="1" x14ac:dyDescent="0.2">
      <c r="B24" s="194">
        <v>0.16800000000000001</v>
      </c>
      <c r="C24" s="189">
        <f>IF(C21="&lt;= 15'",2.5,IF(C21="15'-17'",3,IF(C21="17'-20'",3,"-")))</f>
        <v>2.5</v>
      </c>
    </row>
    <row r="25" spans="2:7" ht="15" customHeight="1" x14ac:dyDescent="0.2">
      <c r="B25" s="194">
        <v>0.188</v>
      </c>
      <c r="C25" s="189">
        <f>IF(C21="&lt;= 15'",2.5,IF(C21="15'-17'",3,IF(C21="17'-20'",3,"-")))</f>
        <v>2.5</v>
      </c>
      <c r="F25" s="310"/>
      <c r="G25" s="202"/>
    </row>
    <row r="26" spans="2:7" ht="15" customHeight="1" x14ac:dyDescent="0.2">
      <c r="B26" s="194">
        <v>0.218</v>
      </c>
      <c r="C26" s="189">
        <f>IF(C21="&lt;= 15'",2,IF(C21="15'-17'",2.5,IF(C21="17'-20'",2.5,IF(C21="20'-23'",3,"-"))))</f>
        <v>2</v>
      </c>
      <c r="F26" s="310"/>
      <c r="G26" s="202"/>
    </row>
    <row r="27" spans="2:7" ht="15" customHeight="1" x14ac:dyDescent="0.2">
      <c r="B27" s="194">
        <v>0.249</v>
      </c>
      <c r="C27" s="189">
        <f>IF(C21="&lt;= 15'",2,IF(C21="15'-17'",2,IF(C21="17'-20'",2.5,IF(C21="20'-23'",3,IF(C21="23'-25'",4,"-")))))</f>
        <v>2</v>
      </c>
      <c r="F27" s="310"/>
      <c r="G27" s="202"/>
    </row>
    <row r="28" spans="2:7" ht="15" customHeight="1" x14ac:dyDescent="0.2">
      <c r="B28" s="194">
        <v>0.28000000000000003</v>
      </c>
      <c r="C28" s="189">
        <f>IF(C21="&lt;= 15'",2,IF(C21="15'-17'",2,IF(C21="17'-20'",2.5,IF(C21="20'-23'",3,IF(C21="23'-25'",4,"-")))))</f>
        <v>2</v>
      </c>
      <c r="F28" s="310"/>
      <c r="G28" s="202"/>
    </row>
    <row r="29" spans="2:7" ht="15" customHeight="1" x14ac:dyDescent="0.2">
      <c r="B29" s="195"/>
      <c r="C29" s="196"/>
      <c r="F29" s="310"/>
      <c r="G29" s="202"/>
    </row>
    <row r="30" spans="2:7" ht="15" customHeight="1" x14ac:dyDescent="0.2"/>
    <row r="31" spans="2:7" ht="14.45" customHeight="1" x14ac:dyDescent="0.2">
      <c r="D31" s="197" t="s">
        <v>110</v>
      </c>
      <c r="E31" s="197" t="s">
        <v>111</v>
      </c>
      <c r="F31" s="193" t="s">
        <v>48</v>
      </c>
    </row>
    <row r="32" spans="2:7" ht="12" x14ac:dyDescent="0.2">
      <c r="B32" s="567" t="s">
        <v>47</v>
      </c>
      <c r="C32" s="67" t="s">
        <v>41</v>
      </c>
      <c r="D32" s="99">
        <v>45</v>
      </c>
      <c r="E32" s="99">
        <v>33</v>
      </c>
      <c r="F32" s="99">
        <v>29000</v>
      </c>
    </row>
    <row r="33" spans="2:6" ht="12" x14ac:dyDescent="0.2">
      <c r="B33" s="568"/>
      <c r="C33" s="67" t="s">
        <v>84</v>
      </c>
      <c r="D33" s="99">
        <v>35</v>
      </c>
      <c r="E33" s="99">
        <v>24</v>
      </c>
      <c r="F33" s="99">
        <v>10000</v>
      </c>
    </row>
    <row r="34" spans="2:6" ht="12" x14ac:dyDescent="0.2">
      <c r="B34" s="568"/>
      <c r="C34" s="67" t="s">
        <v>85</v>
      </c>
      <c r="D34" s="99">
        <v>34</v>
      </c>
      <c r="E34" s="99">
        <v>24</v>
      </c>
      <c r="F34" s="99">
        <v>10000</v>
      </c>
    </row>
    <row r="35" spans="2:6" ht="12" x14ac:dyDescent="0.2">
      <c r="B35" s="568"/>
      <c r="C35" s="100" t="s">
        <v>45</v>
      </c>
      <c r="D35" s="99">
        <v>31</v>
      </c>
      <c r="E35" s="99">
        <v>24</v>
      </c>
      <c r="F35" s="99">
        <v>10000</v>
      </c>
    </row>
    <row r="36" spans="2:6" ht="12" x14ac:dyDescent="0.2">
      <c r="B36" s="569"/>
      <c r="C36" s="100" t="s">
        <v>46</v>
      </c>
      <c r="D36" s="99">
        <v>27</v>
      </c>
      <c r="E36" s="99">
        <v>20</v>
      </c>
      <c r="F36" s="99">
        <v>10000</v>
      </c>
    </row>
    <row r="37" spans="2:6" ht="27" customHeight="1" x14ac:dyDescent="0.2"/>
    <row r="38" spans="2:6" ht="21.6" customHeight="1" x14ac:dyDescent="0.2">
      <c r="B38" s="78" t="s">
        <v>40</v>
      </c>
      <c r="C38" s="78" t="s">
        <v>39</v>
      </c>
    </row>
    <row r="39" spans="2:6" ht="12.75" x14ac:dyDescent="0.2">
      <c r="B39" s="77">
        <v>16</v>
      </c>
      <c r="C39" s="76">
        <v>6.4000000000000001E-2</v>
      </c>
    </row>
    <row r="40" spans="2:6" ht="12.75" x14ac:dyDescent="0.2">
      <c r="B40" s="77">
        <v>14</v>
      </c>
      <c r="C40" s="76">
        <v>7.9000000000000001E-2</v>
      </c>
    </row>
    <row r="41" spans="2:6" ht="12.75" x14ac:dyDescent="0.2">
      <c r="B41" s="77">
        <v>12</v>
      </c>
      <c r="C41" s="76">
        <v>0.109</v>
      </c>
    </row>
    <row r="42" spans="2:6" ht="12.75" x14ac:dyDescent="0.2">
      <c r="B42" s="77">
        <v>10</v>
      </c>
      <c r="C42" s="76">
        <v>0.13800000000000001</v>
      </c>
    </row>
    <row r="43" spans="2:6" ht="12.75" x14ac:dyDescent="0.2">
      <c r="B43" s="77">
        <v>8</v>
      </c>
      <c r="C43" s="76">
        <v>0.16800000000000001</v>
      </c>
    </row>
    <row r="44" spans="2:6" ht="12.75" x14ac:dyDescent="0.2">
      <c r="B44" s="77">
        <v>7</v>
      </c>
      <c r="C44" s="76">
        <v>0.188</v>
      </c>
    </row>
    <row r="45" spans="2:6" ht="12.75" x14ac:dyDescent="0.2">
      <c r="B45" s="77">
        <v>5</v>
      </c>
      <c r="C45" s="76">
        <v>0.218</v>
      </c>
      <c r="E45" s="98" t="s">
        <v>19</v>
      </c>
    </row>
    <row r="46" spans="2:6" ht="12.75" x14ac:dyDescent="0.2">
      <c r="B46" s="77">
        <v>3</v>
      </c>
      <c r="C46" s="76">
        <v>0.249</v>
      </c>
    </row>
    <row r="47" spans="2:6" ht="12.75" x14ac:dyDescent="0.2">
      <c r="B47" s="77">
        <v>1</v>
      </c>
      <c r="C47" s="76">
        <v>0.28000000000000003</v>
      </c>
    </row>
    <row r="48" spans="2:6" ht="12.75" x14ac:dyDescent="0.2">
      <c r="B48" s="81" t="s">
        <v>7</v>
      </c>
      <c r="C48" s="178">
        <f>'input-structure info'!E47</f>
        <v>0</v>
      </c>
      <c r="D48" s="66" t="s">
        <v>73</v>
      </c>
    </row>
    <row r="49" spans="2:3" ht="12.75" x14ac:dyDescent="0.2">
      <c r="B49" s="5"/>
      <c r="C49" s="109"/>
    </row>
    <row r="50" spans="2:3" ht="12.75" x14ac:dyDescent="0.2">
      <c r="B50" s="5"/>
      <c r="C50" s="109"/>
    </row>
    <row r="51" spans="2:3" ht="18.75" x14ac:dyDescent="0.2">
      <c r="B51" s="564" t="s">
        <v>55</v>
      </c>
      <c r="C51" s="111" t="s">
        <v>56</v>
      </c>
    </row>
    <row r="52" spans="2:3" ht="18.75" x14ac:dyDescent="0.2">
      <c r="B52" s="565"/>
      <c r="C52" s="111" t="s">
        <v>57</v>
      </c>
    </row>
    <row r="53" spans="2:3" ht="18.75" x14ac:dyDescent="0.2">
      <c r="B53" s="565"/>
      <c r="C53" s="111" t="s">
        <v>58</v>
      </c>
    </row>
    <row r="54" spans="2:3" ht="18.75" x14ac:dyDescent="0.2">
      <c r="B54" s="565"/>
      <c r="C54" s="111" t="s">
        <v>59</v>
      </c>
    </row>
    <row r="55" spans="2:3" ht="18.75" x14ac:dyDescent="0.2">
      <c r="B55" s="565"/>
      <c r="C55" s="111" t="s">
        <v>60</v>
      </c>
    </row>
    <row r="56" spans="2:3" ht="18.75" x14ac:dyDescent="0.2">
      <c r="B56" s="565"/>
      <c r="C56" s="112" t="s">
        <v>61</v>
      </c>
    </row>
    <row r="57" spans="2:3" ht="18.75" x14ac:dyDescent="0.2">
      <c r="B57" s="565"/>
      <c r="C57" s="111" t="s">
        <v>62</v>
      </c>
    </row>
    <row r="58" spans="2:3" ht="18.75" x14ac:dyDescent="0.2">
      <c r="B58" s="565"/>
      <c r="C58" s="111" t="s">
        <v>63</v>
      </c>
    </row>
    <row r="59" spans="2:3" ht="18.75" x14ac:dyDescent="0.2">
      <c r="B59" s="565"/>
      <c r="C59" s="111" t="s">
        <v>64</v>
      </c>
    </row>
    <row r="60" spans="2:3" ht="18.75" x14ac:dyDescent="0.2">
      <c r="B60" s="565"/>
      <c r="C60" s="111" t="s">
        <v>65</v>
      </c>
    </row>
    <row r="61" spans="2:3" ht="18.75" x14ac:dyDescent="0.2">
      <c r="B61" s="565"/>
      <c r="C61" s="111" t="s">
        <v>66</v>
      </c>
    </row>
    <row r="62" spans="2:3" ht="18.75" x14ac:dyDescent="0.2">
      <c r="B62" s="565"/>
      <c r="C62" s="111" t="s">
        <v>67</v>
      </c>
    </row>
    <row r="63" spans="2:3" ht="18.75" x14ac:dyDescent="0.2">
      <c r="B63" s="565"/>
      <c r="C63" s="112" t="s">
        <v>68</v>
      </c>
    </row>
    <row r="64" spans="2:3" ht="18.75" x14ac:dyDescent="0.2">
      <c r="B64" s="565"/>
      <c r="C64" s="111" t="s">
        <v>69</v>
      </c>
    </row>
    <row r="65" spans="2:3" ht="15.75" x14ac:dyDescent="0.2">
      <c r="B65" s="566"/>
      <c r="C65" s="111" t="s">
        <v>7</v>
      </c>
    </row>
    <row r="66" spans="2:3" ht="12.75" x14ac:dyDescent="0.2">
      <c r="B66" s="98"/>
      <c r="C66" s="110"/>
    </row>
  </sheetData>
  <mergeCells count="5">
    <mergeCell ref="B8:B9"/>
    <mergeCell ref="B51:B65"/>
    <mergeCell ref="B32:B36"/>
    <mergeCell ref="B11:B13"/>
    <mergeCell ref="B2:B6"/>
  </mergeCells>
  <pageMargins left="0.7" right="0.7" top="0.75" bottom="0.75" header="0.3" footer="0.3"/>
  <pageSetup paperSize="17" scale="98" orientation="landscape" r:id="rId1"/>
  <rowBreaks count="1" manualBreakCount="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7"/>
  <sheetViews>
    <sheetView showGridLines="0" zoomScaleNormal="100" workbookViewId="0">
      <selection activeCell="J14" sqref="J14"/>
    </sheetView>
  </sheetViews>
  <sheetFormatPr defaultRowHeight="12.75" x14ac:dyDescent="0.2"/>
  <cols>
    <col min="1" max="1" width="6.5703125" customWidth="1"/>
    <col min="2" max="2" width="10.7109375" customWidth="1"/>
    <col min="3" max="3" width="7" customWidth="1"/>
    <col min="4" max="4" width="6.28515625" customWidth="1"/>
    <col min="5" max="5" width="9.85546875" customWidth="1"/>
    <col min="6" max="6" width="6.42578125" customWidth="1"/>
    <col min="7" max="7" width="5.7109375" customWidth="1"/>
    <col min="8" max="8" width="11.85546875" customWidth="1"/>
    <col min="9" max="9" width="7" customWidth="1"/>
    <col min="10" max="10" width="5.7109375" customWidth="1"/>
    <col min="11" max="11" width="9.7109375" customWidth="1"/>
    <col min="12" max="12" width="5.85546875" customWidth="1"/>
    <col min="13" max="13" width="6" customWidth="1"/>
    <col min="14" max="14" width="10.5703125" customWidth="1"/>
    <col min="15" max="15" width="9.7109375" customWidth="1"/>
    <col min="17" max="17" width="9.85546875" customWidth="1"/>
    <col min="18" max="18" width="9.28515625" customWidth="1"/>
    <col min="20" max="20" width="10.28515625" customWidth="1"/>
    <col min="23" max="23" width="11.28515625" customWidth="1"/>
  </cols>
  <sheetData>
    <row r="1" spans="1:23" ht="35.450000000000003" customHeight="1" thickBot="1" x14ac:dyDescent="0.35">
      <c r="A1" s="576" t="s">
        <v>255</v>
      </c>
      <c r="B1" s="577"/>
      <c r="C1" s="578"/>
      <c r="E1" s="381"/>
      <c r="F1" s="381"/>
      <c r="G1" s="381"/>
      <c r="H1" s="381" t="s">
        <v>105</v>
      </c>
      <c r="I1" s="381"/>
      <c r="J1" s="381"/>
      <c r="K1" s="381"/>
      <c r="L1" s="381"/>
      <c r="M1" s="381"/>
      <c r="N1" s="381"/>
      <c r="O1" s="381"/>
      <c r="P1" s="381"/>
      <c r="Q1" s="381"/>
      <c r="R1" s="381"/>
    </row>
    <row r="2" spans="1:23" s="106" customFormat="1" ht="18" customHeight="1" thickBot="1" x14ac:dyDescent="0.25">
      <c r="A2" s="574" t="s">
        <v>41</v>
      </c>
      <c r="B2" s="575"/>
      <c r="C2" s="582" t="s">
        <v>92</v>
      </c>
      <c r="D2" s="583"/>
      <c r="E2" s="584"/>
      <c r="F2" s="582" t="s">
        <v>91</v>
      </c>
      <c r="G2" s="583"/>
      <c r="H2" s="584"/>
      <c r="I2" s="582" t="s">
        <v>93</v>
      </c>
      <c r="J2" s="583"/>
      <c r="K2" s="584"/>
      <c r="L2" s="582" t="s">
        <v>94</v>
      </c>
      <c r="M2" s="583"/>
      <c r="N2" s="584"/>
      <c r="O2" s="582" t="s">
        <v>95</v>
      </c>
      <c r="P2" s="583"/>
      <c r="Q2" s="584"/>
      <c r="R2" s="582" t="s">
        <v>96</v>
      </c>
      <c r="S2" s="583"/>
      <c r="T2" s="584"/>
      <c r="U2" s="582" t="s">
        <v>97</v>
      </c>
      <c r="V2" s="583"/>
      <c r="W2" s="584"/>
    </row>
    <row r="3" spans="1:23" s="126" customFormat="1" ht="19.149999999999999" customHeight="1" thickBot="1" x14ac:dyDescent="0.25">
      <c r="A3" s="182" t="s">
        <v>106</v>
      </c>
      <c r="B3" s="181" t="s">
        <v>38</v>
      </c>
      <c r="C3" s="123" t="s">
        <v>74</v>
      </c>
      <c r="D3" s="124" t="s">
        <v>6</v>
      </c>
      <c r="E3" s="125" t="s">
        <v>75</v>
      </c>
      <c r="F3" s="123" t="s">
        <v>74</v>
      </c>
      <c r="G3" s="124" t="s">
        <v>6</v>
      </c>
      <c r="H3" s="125" t="s">
        <v>75</v>
      </c>
      <c r="I3" s="123" t="s">
        <v>74</v>
      </c>
      <c r="J3" s="124" t="s">
        <v>6</v>
      </c>
      <c r="K3" s="125" t="s">
        <v>75</v>
      </c>
      <c r="L3" s="123" t="s">
        <v>74</v>
      </c>
      <c r="M3" s="124" t="s">
        <v>6</v>
      </c>
      <c r="N3" s="125" t="s">
        <v>75</v>
      </c>
      <c r="O3" s="123" t="s">
        <v>74</v>
      </c>
      <c r="P3" s="124" t="s">
        <v>6</v>
      </c>
      <c r="Q3" s="125" t="s">
        <v>75</v>
      </c>
      <c r="R3" s="123" t="s">
        <v>74</v>
      </c>
      <c r="S3" s="124" t="s">
        <v>6</v>
      </c>
      <c r="T3" s="125" t="s">
        <v>75</v>
      </c>
      <c r="U3" s="123" t="s">
        <v>74</v>
      </c>
      <c r="V3" s="124" t="s">
        <v>6</v>
      </c>
      <c r="W3" s="125" t="s">
        <v>75</v>
      </c>
    </row>
    <row r="4" spans="1:23" x14ac:dyDescent="0.2">
      <c r="A4" s="183"/>
      <c r="B4" s="150">
        <v>2.8000000000000001E-2</v>
      </c>
      <c r="C4" s="88">
        <v>0.30399999999999999</v>
      </c>
      <c r="D4" s="141"/>
      <c r="E4" s="129"/>
      <c r="F4" s="127"/>
      <c r="G4" s="128"/>
      <c r="H4" s="129"/>
      <c r="I4" s="127"/>
      <c r="J4" s="128"/>
      <c r="K4" s="129"/>
      <c r="L4" s="127"/>
      <c r="M4" s="128"/>
      <c r="N4" s="129"/>
      <c r="O4" s="136"/>
      <c r="P4" s="137"/>
      <c r="Q4" s="138"/>
      <c r="R4" s="136"/>
      <c r="S4" s="137"/>
      <c r="T4" s="138"/>
      <c r="U4" s="136"/>
      <c r="V4" s="137"/>
      <c r="W4" s="138"/>
    </row>
    <row r="5" spans="1:23" x14ac:dyDescent="0.2">
      <c r="A5" s="184"/>
      <c r="B5" s="151">
        <v>3.4000000000000002E-2</v>
      </c>
      <c r="C5" s="83">
        <v>0.38</v>
      </c>
      <c r="D5" s="142"/>
      <c r="E5" s="135"/>
      <c r="F5" s="143"/>
      <c r="G5" s="144"/>
      <c r="H5" s="135"/>
      <c r="I5" s="130"/>
      <c r="J5" s="92"/>
      <c r="K5" s="131"/>
      <c r="L5" s="130"/>
      <c r="M5" s="92"/>
      <c r="N5" s="131"/>
      <c r="O5" s="2"/>
      <c r="Q5" s="3"/>
      <c r="R5" s="2"/>
      <c r="T5" s="3"/>
      <c r="U5" s="2"/>
      <c r="W5" s="3"/>
    </row>
    <row r="6" spans="1:23" x14ac:dyDescent="0.2">
      <c r="A6" s="184"/>
      <c r="B6" s="151">
        <v>0.04</v>
      </c>
      <c r="C6" s="83">
        <v>0.45600000000000002</v>
      </c>
      <c r="D6" s="82">
        <v>8.1600000000000006E-2</v>
      </c>
      <c r="E6" s="84">
        <f>0.253</f>
        <v>0.253</v>
      </c>
      <c r="F6" s="83">
        <v>0.46500000000000002</v>
      </c>
      <c r="G6" s="82">
        <v>0.17019999999999999</v>
      </c>
      <c r="H6" s="84">
        <v>1.121</v>
      </c>
      <c r="I6" s="130"/>
      <c r="J6" s="92"/>
      <c r="K6" s="131"/>
      <c r="L6" s="130"/>
      <c r="M6" s="92"/>
      <c r="N6" s="131"/>
      <c r="O6" s="2"/>
      <c r="Q6" s="3"/>
      <c r="R6" s="2"/>
      <c r="T6" s="3"/>
      <c r="U6" s="2"/>
      <c r="W6" s="3"/>
    </row>
    <row r="7" spans="1:23" x14ac:dyDescent="0.2">
      <c r="A7" s="184"/>
      <c r="B7" s="151">
        <v>5.1999999999999998E-2</v>
      </c>
      <c r="C7" s="83">
        <v>0.60799999999999998</v>
      </c>
      <c r="D7" s="82">
        <v>8.2400000000000001E-2</v>
      </c>
      <c r="E7" s="84">
        <v>0.34399999999999997</v>
      </c>
      <c r="F7" s="83">
        <v>0.61899999999999999</v>
      </c>
      <c r="G7" s="82">
        <v>0.17069999999999999</v>
      </c>
      <c r="H7" s="84">
        <v>1.5</v>
      </c>
      <c r="I7" s="143"/>
      <c r="J7" s="144"/>
      <c r="K7" s="135"/>
      <c r="L7" s="143"/>
      <c r="M7" s="144"/>
      <c r="N7" s="135"/>
      <c r="O7" s="157"/>
      <c r="P7" s="147"/>
      <c r="Q7" s="158"/>
      <c r="R7" s="157"/>
      <c r="S7" s="147"/>
      <c r="T7" s="158"/>
      <c r="U7" s="2"/>
      <c r="W7" s="3"/>
    </row>
    <row r="8" spans="1:23" x14ac:dyDescent="0.2">
      <c r="A8" s="186">
        <v>16</v>
      </c>
      <c r="B8" s="151">
        <v>6.4000000000000001E-2</v>
      </c>
      <c r="C8" s="83">
        <v>0.76100000000000001</v>
      </c>
      <c r="D8" s="82">
        <v>8.3199999999999996E-2</v>
      </c>
      <c r="E8" s="84">
        <v>0.439</v>
      </c>
      <c r="F8" s="83">
        <v>0.77500000000000002</v>
      </c>
      <c r="G8" s="82">
        <v>0.17119999999999999</v>
      </c>
      <c r="H8" s="84">
        <v>1.8919999999999999</v>
      </c>
      <c r="I8" s="83">
        <v>0.89</v>
      </c>
      <c r="J8" s="82">
        <v>0.3417</v>
      </c>
      <c r="K8" s="84">
        <v>8.6590000000000007</v>
      </c>
      <c r="L8" s="83">
        <v>0.79400000000000004</v>
      </c>
      <c r="M8" s="82">
        <v>0.36570000000000003</v>
      </c>
      <c r="N8" s="84">
        <v>8.85</v>
      </c>
      <c r="O8" s="83">
        <v>0.50900000000000001</v>
      </c>
      <c r="P8" s="82">
        <v>0.25800000000000001</v>
      </c>
      <c r="Q8" s="84">
        <v>2.8210000000000002</v>
      </c>
      <c r="R8" s="83">
        <v>0.374</v>
      </c>
      <c r="S8" s="82">
        <v>0.38300000000000001</v>
      </c>
      <c r="T8" s="84">
        <v>4.58</v>
      </c>
      <c r="U8" s="2"/>
      <c r="W8" s="3"/>
    </row>
    <row r="9" spans="1:23" x14ac:dyDescent="0.2">
      <c r="A9" s="186">
        <v>14</v>
      </c>
      <c r="B9" s="151">
        <v>7.9000000000000001E-2</v>
      </c>
      <c r="C9" s="83">
        <v>0.95</v>
      </c>
      <c r="D9" s="82">
        <v>8.4599999999999995E-2</v>
      </c>
      <c r="E9" s="84">
        <v>0.56699999999999995</v>
      </c>
      <c r="F9" s="83">
        <v>0.96799999999999997</v>
      </c>
      <c r="G9" s="82">
        <v>0.1721</v>
      </c>
      <c r="H9" s="84">
        <v>2.3919999999999999</v>
      </c>
      <c r="I9" s="83">
        <v>1.113</v>
      </c>
      <c r="J9" s="82">
        <v>0.3427</v>
      </c>
      <c r="K9" s="84">
        <v>10.882999999999999</v>
      </c>
      <c r="L9" s="83">
        <v>0.99199999999999999</v>
      </c>
      <c r="M9" s="82">
        <v>0.36630000000000001</v>
      </c>
      <c r="N9" s="84">
        <v>11.092000000000001</v>
      </c>
      <c r="O9" s="83">
        <v>0.71199999999999997</v>
      </c>
      <c r="P9" s="82">
        <v>0.25</v>
      </c>
      <c r="Q9" s="84">
        <v>3.7010000000000001</v>
      </c>
      <c r="R9" s="83">
        <v>0.52400000000000002</v>
      </c>
      <c r="S9" s="82">
        <v>0.373</v>
      </c>
      <c r="T9" s="84">
        <v>6.08</v>
      </c>
      <c r="U9" s="157"/>
      <c r="V9" s="147"/>
      <c r="W9" s="158"/>
    </row>
    <row r="10" spans="1:23" x14ac:dyDescent="0.2">
      <c r="A10" s="186">
        <v>12</v>
      </c>
      <c r="B10" s="151">
        <v>0.109</v>
      </c>
      <c r="C10" s="83">
        <v>1.331</v>
      </c>
      <c r="D10" s="82">
        <v>8.7900000000000006E-2</v>
      </c>
      <c r="E10" s="84">
        <v>0.85699999999999998</v>
      </c>
      <c r="F10" s="83">
        <v>1.3560000000000001</v>
      </c>
      <c r="G10" s="82">
        <v>0.1741</v>
      </c>
      <c r="H10" s="84">
        <v>3.4249999999999998</v>
      </c>
      <c r="I10" s="83">
        <v>1.56</v>
      </c>
      <c r="J10" s="82">
        <v>0.3448</v>
      </c>
      <c r="K10" s="84">
        <v>15.459</v>
      </c>
      <c r="L10" s="83">
        <v>1.39</v>
      </c>
      <c r="M10" s="82">
        <v>0.36770000000000003</v>
      </c>
      <c r="N10" s="84">
        <v>15.65</v>
      </c>
      <c r="O10" s="83">
        <v>1.1839999999999999</v>
      </c>
      <c r="P10" s="82">
        <v>0.23699999999999999</v>
      </c>
      <c r="Q10" s="84">
        <v>5.5369999999999999</v>
      </c>
      <c r="R10" s="83">
        <v>0.88300000000000001</v>
      </c>
      <c r="S10" s="82">
        <v>0.35499999999999998</v>
      </c>
      <c r="T10" s="84">
        <v>9.26</v>
      </c>
      <c r="U10" s="83">
        <v>1.556</v>
      </c>
      <c r="V10" s="82">
        <v>0.68200000000000005</v>
      </c>
      <c r="W10" s="84">
        <v>60.411000000000001</v>
      </c>
    </row>
    <row r="11" spans="1:23" x14ac:dyDescent="0.2">
      <c r="A11" s="186">
        <v>10</v>
      </c>
      <c r="B11" s="152">
        <v>0.13800000000000001</v>
      </c>
      <c r="C11" s="83">
        <v>1.712</v>
      </c>
      <c r="D11" s="82">
        <v>9.1899999999999996E-2</v>
      </c>
      <c r="E11" s="84">
        <v>1.2050000000000001</v>
      </c>
      <c r="F11" s="83">
        <v>1.744</v>
      </c>
      <c r="G11" s="82">
        <v>0.17660000000000001</v>
      </c>
      <c r="H11" s="84">
        <v>4.5330000000000004</v>
      </c>
      <c r="I11" s="83">
        <v>2.008</v>
      </c>
      <c r="J11" s="82">
        <v>0.34720000000000001</v>
      </c>
      <c r="K11" s="84">
        <v>20.183</v>
      </c>
      <c r="L11" s="83">
        <v>1.788</v>
      </c>
      <c r="M11" s="82">
        <v>0.36930000000000002</v>
      </c>
      <c r="N11" s="84">
        <v>20.317</v>
      </c>
      <c r="O11" s="83">
        <v>1.7170000000000001</v>
      </c>
      <c r="P11" s="82">
        <v>0.22800000000000001</v>
      </c>
      <c r="Q11" s="84">
        <v>7.4329999999999998</v>
      </c>
      <c r="R11" s="155"/>
      <c r="S11" s="156"/>
      <c r="T11" s="145"/>
      <c r="U11" s="83">
        <v>2.0030000000000001</v>
      </c>
      <c r="V11" s="82">
        <v>0.68400000000000005</v>
      </c>
      <c r="W11" s="84">
        <v>78.174999999999997</v>
      </c>
    </row>
    <row r="12" spans="1:23" x14ac:dyDescent="0.2">
      <c r="A12" s="186">
        <v>8</v>
      </c>
      <c r="B12" s="152">
        <v>0.16800000000000001</v>
      </c>
      <c r="C12" s="83">
        <v>2.0979999999999999</v>
      </c>
      <c r="D12" s="82">
        <v>9.6699999999999994E-2</v>
      </c>
      <c r="E12" s="84">
        <v>1.635</v>
      </c>
      <c r="F12" s="83">
        <v>2.133</v>
      </c>
      <c r="G12" s="82">
        <v>0.17949999999999999</v>
      </c>
      <c r="H12" s="84">
        <v>5.7249999999999996</v>
      </c>
      <c r="I12" s="83">
        <v>2.4580000000000002</v>
      </c>
      <c r="J12" s="82">
        <v>0.34989999999999999</v>
      </c>
      <c r="K12" s="84">
        <v>25.091000000000001</v>
      </c>
      <c r="L12" s="83">
        <v>2.1859999999999999</v>
      </c>
      <c r="M12" s="82">
        <v>0.37109999999999999</v>
      </c>
      <c r="N12" s="84">
        <v>25.091999999999999</v>
      </c>
      <c r="O12" s="159"/>
      <c r="P12" s="160"/>
      <c r="Q12" s="161"/>
      <c r="R12" s="2"/>
      <c r="T12" s="3"/>
      <c r="U12" s="83">
        <v>2.4489999999999998</v>
      </c>
      <c r="V12" s="82">
        <v>0.68600000000000005</v>
      </c>
      <c r="W12" s="84">
        <v>96.162999999999997</v>
      </c>
    </row>
    <row r="13" spans="1:23" x14ac:dyDescent="0.2">
      <c r="A13" s="186">
        <v>7</v>
      </c>
      <c r="B13" s="153">
        <v>0.188</v>
      </c>
      <c r="C13" s="155"/>
      <c r="D13" s="156"/>
      <c r="E13" s="145"/>
      <c r="F13" s="155"/>
      <c r="G13" s="156"/>
      <c r="H13" s="145"/>
      <c r="I13" s="155"/>
      <c r="J13" s="156"/>
      <c r="K13" s="145"/>
      <c r="L13" s="155"/>
      <c r="M13" s="156"/>
      <c r="N13" s="145"/>
      <c r="O13" s="2"/>
      <c r="Q13" s="3"/>
      <c r="R13" s="2"/>
      <c r="T13" s="3"/>
      <c r="U13" s="83">
        <v>2.7389999999999999</v>
      </c>
      <c r="V13" s="82">
        <v>0.68799999999999994</v>
      </c>
      <c r="W13" s="84">
        <v>108</v>
      </c>
    </row>
    <row r="14" spans="1:23" x14ac:dyDescent="0.2">
      <c r="A14" s="186">
        <v>5</v>
      </c>
      <c r="B14" s="153">
        <v>0.218</v>
      </c>
      <c r="C14" s="130"/>
      <c r="D14" s="92"/>
      <c r="E14" s="131"/>
      <c r="F14" s="130"/>
      <c r="G14" s="92"/>
      <c r="H14" s="131"/>
      <c r="I14" s="130"/>
      <c r="J14" s="92"/>
      <c r="K14" s="131"/>
      <c r="L14" s="130"/>
      <c r="M14" s="92"/>
      <c r="N14" s="131"/>
      <c r="O14" s="2"/>
      <c r="Q14" s="3"/>
      <c r="R14" s="2"/>
      <c r="T14" s="3"/>
      <c r="U14" s="83">
        <v>3.1989999999999998</v>
      </c>
      <c r="V14" s="82">
        <v>0.69</v>
      </c>
      <c r="W14" s="84">
        <v>126.922</v>
      </c>
    </row>
    <row r="15" spans="1:23" x14ac:dyDescent="0.2">
      <c r="A15" s="186">
        <v>3</v>
      </c>
      <c r="B15" s="153">
        <v>0.249</v>
      </c>
      <c r="C15" s="130"/>
      <c r="D15" s="92"/>
      <c r="E15" s="131"/>
      <c r="F15" s="130"/>
      <c r="G15" s="92"/>
      <c r="H15" s="131"/>
      <c r="I15" s="130"/>
      <c r="J15" s="92"/>
      <c r="K15" s="131"/>
      <c r="L15" s="130"/>
      <c r="M15" s="92"/>
      <c r="N15" s="131"/>
      <c r="O15" s="2"/>
      <c r="Q15" s="3"/>
      <c r="R15" s="2"/>
      <c r="T15" s="3"/>
      <c r="U15" s="83">
        <v>3.65</v>
      </c>
      <c r="V15" s="82">
        <v>0.69199999999999995</v>
      </c>
      <c r="W15" s="84">
        <v>146.172</v>
      </c>
    </row>
    <row r="16" spans="1:23" x14ac:dyDescent="0.2">
      <c r="A16" s="186">
        <v>1</v>
      </c>
      <c r="B16" s="153">
        <v>0.28000000000000003</v>
      </c>
      <c r="C16" s="130"/>
      <c r="D16" s="92"/>
      <c r="E16" s="131"/>
      <c r="F16" s="130"/>
      <c r="G16" s="92"/>
      <c r="H16" s="131"/>
      <c r="I16" s="130"/>
      <c r="J16" s="92"/>
      <c r="K16" s="131"/>
      <c r="L16" s="130"/>
      <c r="M16" s="92"/>
      <c r="N16" s="131"/>
      <c r="O16" s="2"/>
      <c r="Q16" s="3"/>
      <c r="R16" s="2"/>
      <c r="T16" s="3"/>
      <c r="U16" s="83">
        <v>4.1189999999999998</v>
      </c>
      <c r="V16" s="82">
        <v>0.69499999999999995</v>
      </c>
      <c r="W16" s="84">
        <v>165.83600000000001</v>
      </c>
    </row>
    <row r="17" spans="1:23" x14ac:dyDescent="0.2">
      <c r="A17" s="184"/>
      <c r="B17" s="151">
        <v>0.318</v>
      </c>
      <c r="C17" s="130"/>
      <c r="D17" s="92"/>
      <c r="E17" s="131"/>
      <c r="F17" s="130"/>
      <c r="G17" s="92"/>
      <c r="H17" s="131"/>
      <c r="I17" s="130"/>
      <c r="J17" s="92"/>
      <c r="K17" s="131"/>
      <c r="L17" s="130"/>
      <c r="M17" s="92"/>
      <c r="N17" s="131"/>
      <c r="O17" s="2"/>
      <c r="Q17" s="3"/>
      <c r="R17" s="2"/>
      <c r="T17" s="3"/>
      <c r="U17" s="83">
        <v>4.6710000000000003</v>
      </c>
      <c r="V17" s="82">
        <v>0.69799999999999995</v>
      </c>
      <c r="W17" s="84">
        <v>190</v>
      </c>
    </row>
    <row r="18" spans="1:23" ht="13.5" thickBot="1" x14ac:dyDescent="0.25">
      <c r="A18" s="185"/>
      <c r="B18" s="154">
        <v>0.38</v>
      </c>
      <c r="C18" s="132"/>
      <c r="D18" s="133"/>
      <c r="E18" s="134"/>
      <c r="F18" s="132"/>
      <c r="G18" s="133"/>
      <c r="H18" s="134"/>
      <c r="I18" s="132"/>
      <c r="J18" s="133"/>
      <c r="K18" s="134"/>
      <c r="L18" s="132"/>
      <c r="M18" s="133"/>
      <c r="N18" s="134"/>
      <c r="O18" s="139"/>
      <c r="P18" s="1"/>
      <c r="Q18" s="140"/>
      <c r="R18" s="139"/>
      <c r="S18" s="1"/>
      <c r="T18" s="140"/>
      <c r="U18" s="85">
        <v>5.6130000000000004</v>
      </c>
      <c r="V18" s="86">
        <v>0.70399999999999996</v>
      </c>
      <c r="W18" s="87">
        <v>232</v>
      </c>
    </row>
    <row r="19" spans="1:23" x14ac:dyDescent="0.2">
      <c r="B19" s="146"/>
      <c r="C19" s="91"/>
      <c r="D19" s="92"/>
      <c r="E19" s="91"/>
      <c r="F19" s="91"/>
      <c r="G19" s="92"/>
      <c r="H19" s="91"/>
      <c r="I19" s="91"/>
      <c r="J19" s="92"/>
      <c r="K19" s="91"/>
      <c r="L19" s="91"/>
      <c r="M19" s="92"/>
      <c r="N19" s="91"/>
    </row>
    <row r="20" spans="1:23" ht="13.5" thickBot="1" x14ac:dyDescent="0.25"/>
    <row r="21" spans="1:23" s="105" customFormat="1" ht="18" customHeight="1" thickBot="1" x14ac:dyDescent="0.25">
      <c r="B21" s="177" t="s">
        <v>42</v>
      </c>
      <c r="C21" s="579" t="s">
        <v>98</v>
      </c>
      <c r="D21" s="580"/>
      <c r="E21" s="581"/>
      <c r="F21" s="579" t="s">
        <v>99</v>
      </c>
      <c r="G21" s="580"/>
      <c r="H21" s="581"/>
      <c r="I21" s="579" t="s">
        <v>100</v>
      </c>
      <c r="J21" s="580"/>
      <c r="K21" s="581"/>
      <c r="L21" s="579" t="s">
        <v>104</v>
      </c>
      <c r="M21" s="580"/>
      <c r="N21" s="581"/>
      <c r="O21" s="585" t="s">
        <v>101</v>
      </c>
      <c r="P21" s="586"/>
      <c r="Q21" s="587"/>
      <c r="R21" s="585" t="s">
        <v>102</v>
      </c>
      <c r="S21" s="586"/>
      <c r="T21" s="587"/>
      <c r="U21" s="585" t="s">
        <v>103</v>
      </c>
      <c r="V21" s="586"/>
      <c r="W21" s="587"/>
    </row>
    <row r="22" spans="1:23" s="126" customFormat="1" ht="26.45" customHeight="1" thickBot="1" x14ac:dyDescent="0.25">
      <c r="B22" s="166" t="s">
        <v>38</v>
      </c>
      <c r="C22" s="122" t="s">
        <v>74</v>
      </c>
      <c r="D22" s="120" t="s">
        <v>6</v>
      </c>
      <c r="E22" s="121" t="s">
        <v>75</v>
      </c>
      <c r="F22" s="122" t="s">
        <v>74</v>
      </c>
      <c r="G22" s="120" t="s">
        <v>6</v>
      </c>
      <c r="H22" s="121" t="s">
        <v>75</v>
      </c>
      <c r="I22" s="122" t="s">
        <v>74</v>
      </c>
      <c r="J22" s="120" t="s">
        <v>6</v>
      </c>
      <c r="K22" s="121" t="s">
        <v>75</v>
      </c>
      <c r="L22" s="167" t="s">
        <v>76</v>
      </c>
      <c r="M22" s="120" t="s">
        <v>6</v>
      </c>
      <c r="N22" s="121" t="s">
        <v>75</v>
      </c>
      <c r="O22" s="122" t="s">
        <v>74</v>
      </c>
      <c r="P22" s="120" t="s">
        <v>6</v>
      </c>
      <c r="Q22" s="121" t="s">
        <v>75</v>
      </c>
      <c r="R22" s="122" t="s">
        <v>74</v>
      </c>
      <c r="S22" s="120" t="s">
        <v>6</v>
      </c>
      <c r="T22" s="121" t="s">
        <v>75</v>
      </c>
      <c r="U22" s="122" t="s">
        <v>74</v>
      </c>
      <c r="V22" s="120" t="s">
        <v>6</v>
      </c>
      <c r="W22" s="121" t="s">
        <v>75</v>
      </c>
    </row>
    <row r="23" spans="1:23" x14ac:dyDescent="0.2">
      <c r="B23" s="150">
        <v>4.8000000000000001E-2</v>
      </c>
      <c r="C23" s="88">
        <v>0.60799999999999998</v>
      </c>
      <c r="D23" s="89">
        <v>8.2400000000000001E-2</v>
      </c>
      <c r="E23" s="90">
        <v>0.34399999999999997</v>
      </c>
      <c r="F23" s="174"/>
      <c r="G23" s="175"/>
      <c r="H23" s="176"/>
      <c r="I23" s="174"/>
      <c r="J23" s="175"/>
      <c r="K23" s="176"/>
      <c r="L23" s="174"/>
      <c r="M23" s="175"/>
      <c r="N23" s="176"/>
      <c r="O23" s="171"/>
      <c r="P23" s="172"/>
      <c r="Q23" s="173"/>
      <c r="R23" s="171"/>
      <c r="S23" s="172"/>
      <c r="T23" s="173"/>
      <c r="U23" s="136"/>
      <c r="V23" s="137"/>
      <c r="W23" s="138"/>
    </row>
    <row r="24" spans="1:23" x14ac:dyDescent="0.2">
      <c r="B24" s="151">
        <v>0.06</v>
      </c>
      <c r="C24" s="83">
        <v>0.76100000000000001</v>
      </c>
      <c r="D24" s="82">
        <v>8.3199999999999996E-2</v>
      </c>
      <c r="E24" s="84">
        <v>0.34899999999999998</v>
      </c>
      <c r="F24" s="83">
        <v>0.77500000000000002</v>
      </c>
      <c r="G24" s="82">
        <v>0.17119999999999999</v>
      </c>
      <c r="H24" s="84">
        <v>1.8919999999999999</v>
      </c>
      <c r="I24" s="83">
        <v>0.89</v>
      </c>
      <c r="J24" s="82">
        <v>0.3417</v>
      </c>
      <c r="K24" s="84">
        <v>8.6590000000000007</v>
      </c>
      <c r="L24" s="83">
        <v>0.38700000000000001</v>
      </c>
      <c r="M24" s="82">
        <v>0.3629</v>
      </c>
      <c r="N24" s="84">
        <v>8.5050000000000008</v>
      </c>
      <c r="O24" s="83">
        <v>0.41499999999999998</v>
      </c>
      <c r="P24" s="82">
        <v>0.27200000000000002</v>
      </c>
      <c r="Q24" s="84">
        <v>2.5579999999999998</v>
      </c>
      <c r="R24" s="83">
        <v>0.312</v>
      </c>
      <c r="S24" s="82">
        <v>0.39600000000000002</v>
      </c>
      <c r="T24" s="84">
        <v>4.08</v>
      </c>
      <c r="U24" s="2"/>
      <c r="W24" s="3"/>
    </row>
    <row r="25" spans="1:23" x14ac:dyDescent="0.2">
      <c r="B25" s="151">
        <v>7.4999999999999997E-2</v>
      </c>
      <c r="C25" s="155"/>
      <c r="D25" s="156"/>
      <c r="E25" s="145"/>
      <c r="F25" s="83">
        <v>0.96799999999999997</v>
      </c>
      <c r="G25" s="82">
        <v>0.1721</v>
      </c>
      <c r="H25" s="84">
        <v>2.3919999999999999</v>
      </c>
      <c r="I25" s="83">
        <v>1.1180000000000001</v>
      </c>
      <c r="J25" s="82">
        <v>0.3427</v>
      </c>
      <c r="K25" s="84">
        <v>10.882999999999999</v>
      </c>
      <c r="L25" s="83">
        <v>0.48399999999999999</v>
      </c>
      <c r="M25" s="82">
        <v>0.36299999999999999</v>
      </c>
      <c r="N25" s="84">
        <v>10.631</v>
      </c>
      <c r="O25" s="83">
        <v>0.56899999999999995</v>
      </c>
      <c r="P25" s="82">
        <v>0.26700000000000002</v>
      </c>
      <c r="Q25" s="84">
        <v>3.3719999999999999</v>
      </c>
      <c r="R25" s="83">
        <v>0.42699999999999999</v>
      </c>
      <c r="S25" s="82">
        <v>0.39100000000000001</v>
      </c>
      <c r="T25" s="84">
        <v>5.45</v>
      </c>
      <c r="U25" s="2"/>
      <c r="W25" s="3"/>
    </row>
    <row r="26" spans="1:23" x14ac:dyDescent="0.2">
      <c r="B26" s="151">
        <v>0.105</v>
      </c>
      <c r="C26" s="130"/>
      <c r="D26" s="92"/>
      <c r="E26" s="131"/>
      <c r="F26" s="83">
        <v>1.3560000000000001</v>
      </c>
      <c r="G26" s="82">
        <v>0.1741</v>
      </c>
      <c r="H26" s="84">
        <v>3.4249999999999998</v>
      </c>
      <c r="I26" s="83">
        <v>1.56</v>
      </c>
      <c r="J26" s="82">
        <v>0.3448</v>
      </c>
      <c r="K26" s="84">
        <v>15.459</v>
      </c>
      <c r="L26" s="83">
        <v>0.67800000000000005</v>
      </c>
      <c r="M26" s="82">
        <v>0.36359999999999998</v>
      </c>
      <c r="N26" s="84">
        <v>14.34</v>
      </c>
      <c r="O26" s="83">
        <v>0.91400000000000003</v>
      </c>
      <c r="P26" s="82">
        <v>0.25800000000000001</v>
      </c>
      <c r="Q26" s="84">
        <v>5.0730000000000004</v>
      </c>
      <c r="R26" s="83">
        <v>0.69699999999999995</v>
      </c>
      <c r="S26" s="82">
        <v>0.38</v>
      </c>
      <c r="T26" s="84">
        <v>8.39</v>
      </c>
      <c r="U26" s="2"/>
      <c r="W26" s="3"/>
    </row>
    <row r="27" spans="1:23" x14ac:dyDescent="0.2">
      <c r="B27" s="151">
        <v>0.13500000000000001</v>
      </c>
      <c r="C27" s="130"/>
      <c r="D27" s="92"/>
      <c r="E27" s="131"/>
      <c r="F27" s="83">
        <v>1.7450000000000001</v>
      </c>
      <c r="G27" s="82">
        <v>0.17660000000000001</v>
      </c>
      <c r="H27" s="84">
        <v>4.5330000000000004</v>
      </c>
      <c r="I27" s="83">
        <v>2.0880000000000001</v>
      </c>
      <c r="J27" s="82">
        <v>0.34720000000000001</v>
      </c>
      <c r="K27" s="84">
        <v>20.183</v>
      </c>
      <c r="L27" s="83">
        <v>0.872</v>
      </c>
      <c r="M27" s="82">
        <v>0.36459999999999998</v>
      </c>
      <c r="N27" s="84">
        <v>19.318999999999999</v>
      </c>
      <c r="O27" s="83">
        <v>1.29</v>
      </c>
      <c r="P27" s="82">
        <v>0.252</v>
      </c>
      <c r="Q27" s="84">
        <v>6.8259999999999996</v>
      </c>
      <c r="R27" s="83">
        <v>1.0089999999999999</v>
      </c>
      <c r="S27" s="82">
        <v>0.36899999999999999</v>
      </c>
      <c r="T27" s="84">
        <v>11.48</v>
      </c>
      <c r="U27" s="2"/>
      <c r="W27" s="3"/>
    </row>
    <row r="28" spans="1:23" ht="13.5" thickBot="1" x14ac:dyDescent="0.25">
      <c r="B28" s="162">
        <v>0.16400000000000001</v>
      </c>
      <c r="C28" s="132"/>
      <c r="D28" s="133"/>
      <c r="E28" s="134"/>
      <c r="F28" s="85">
        <v>2.13</v>
      </c>
      <c r="G28" s="86">
        <v>0.17949999999999999</v>
      </c>
      <c r="H28" s="87">
        <v>5.7249999999999996</v>
      </c>
      <c r="I28" s="85">
        <v>2.4580000000000002</v>
      </c>
      <c r="J28" s="86">
        <v>0.34989999999999999</v>
      </c>
      <c r="K28" s="87">
        <v>25.091000000000001</v>
      </c>
      <c r="L28" s="85">
        <v>1.0660000000000001</v>
      </c>
      <c r="M28" s="86">
        <v>0.36559999999999998</v>
      </c>
      <c r="N28" s="87">
        <v>23.76</v>
      </c>
      <c r="O28" s="4"/>
      <c r="P28" s="148"/>
      <c r="Q28" s="149"/>
      <c r="R28" s="4"/>
      <c r="S28" s="148"/>
      <c r="T28" s="149"/>
      <c r="U28" s="139"/>
      <c r="V28" s="1"/>
      <c r="W28" s="140"/>
    </row>
    <row r="29" spans="1:23" x14ac:dyDescent="0.2">
      <c r="B29" s="163">
        <v>0.1</v>
      </c>
      <c r="C29" s="136"/>
      <c r="D29" s="137"/>
      <c r="E29" s="138"/>
      <c r="F29" s="136"/>
      <c r="G29" s="137"/>
      <c r="H29" s="138"/>
      <c r="I29" s="136"/>
      <c r="J29" s="137"/>
      <c r="K29" s="138"/>
      <c r="L29" s="136"/>
      <c r="M29" s="137"/>
      <c r="N29" s="138"/>
      <c r="O29" s="136"/>
      <c r="P29" s="137"/>
      <c r="Q29" s="138"/>
      <c r="R29" s="136"/>
      <c r="S29" s="137"/>
      <c r="T29" s="168"/>
      <c r="U29" s="88">
        <v>1.4039999999999999</v>
      </c>
      <c r="V29" s="89">
        <v>0.84379999999999999</v>
      </c>
      <c r="W29" s="90">
        <v>83.064999999999998</v>
      </c>
    </row>
    <row r="30" spans="1:23" x14ac:dyDescent="0.2">
      <c r="B30" s="164">
        <v>0.125</v>
      </c>
      <c r="C30" s="2"/>
      <c r="E30" s="3"/>
      <c r="F30" s="2"/>
      <c r="H30" s="3"/>
      <c r="I30" s="2"/>
      <c r="K30" s="3"/>
      <c r="L30" s="2"/>
      <c r="N30" s="3"/>
      <c r="O30" s="2"/>
      <c r="Q30" s="3"/>
      <c r="R30" s="2"/>
      <c r="T30" s="169"/>
      <c r="U30" s="83">
        <v>1.75</v>
      </c>
      <c r="V30" s="82">
        <v>0.84440000000000004</v>
      </c>
      <c r="W30" s="84">
        <v>103.991</v>
      </c>
    </row>
    <row r="31" spans="1:23" x14ac:dyDescent="0.2">
      <c r="B31" s="164">
        <v>0.15</v>
      </c>
      <c r="C31" s="2"/>
      <c r="E31" s="3"/>
      <c r="F31" s="2"/>
      <c r="H31" s="3"/>
      <c r="I31" s="2"/>
      <c r="K31" s="3"/>
      <c r="L31" s="2"/>
      <c r="N31" s="3"/>
      <c r="O31" s="2"/>
      <c r="Q31" s="3"/>
      <c r="R31" s="2"/>
      <c r="T31" s="169"/>
      <c r="U31" s="83">
        <v>2.1</v>
      </c>
      <c r="V31" s="82">
        <v>0.84489999999999998</v>
      </c>
      <c r="W31" s="84">
        <v>124.883</v>
      </c>
    </row>
    <row r="32" spans="1:23" x14ac:dyDescent="0.2">
      <c r="B32" s="164">
        <v>0.17499999999999999</v>
      </c>
      <c r="C32" s="2"/>
      <c r="E32" s="3"/>
      <c r="F32" s="2"/>
      <c r="H32" s="3"/>
      <c r="I32" s="2"/>
      <c r="K32" s="3"/>
      <c r="L32" s="2"/>
      <c r="N32" s="3"/>
      <c r="O32" s="2"/>
      <c r="Q32" s="3"/>
      <c r="R32" s="2"/>
      <c r="T32" s="169"/>
      <c r="U32" s="83">
        <v>2.4489999999999998</v>
      </c>
      <c r="V32" s="82">
        <v>0.84540000000000004</v>
      </c>
      <c r="W32" s="84">
        <v>145.89500000000001</v>
      </c>
    </row>
    <row r="33" spans="2:23" x14ac:dyDescent="0.2">
      <c r="B33" s="164">
        <v>0.2</v>
      </c>
      <c r="C33" s="2"/>
      <c r="E33" s="3"/>
      <c r="F33" s="2"/>
      <c r="H33" s="3"/>
      <c r="I33" s="2"/>
      <c r="K33" s="3"/>
      <c r="L33" s="2"/>
      <c r="N33" s="3"/>
      <c r="O33" s="2"/>
      <c r="Q33" s="3"/>
      <c r="R33" s="2"/>
      <c r="T33" s="169"/>
      <c r="U33" s="83">
        <v>2.7989999999999999</v>
      </c>
      <c r="V33" s="82">
        <v>0.84599999999999997</v>
      </c>
      <c r="W33" s="84">
        <v>166.959</v>
      </c>
    </row>
    <row r="34" spans="2:23" x14ac:dyDescent="0.2">
      <c r="B34" s="164">
        <v>0.22500000000000001</v>
      </c>
      <c r="C34" s="2"/>
      <c r="E34" s="3"/>
      <c r="F34" s="2"/>
      <c r="H34" s="3"/>
      <c r="I34" s="2"/>
      <c r="K34" s="3"/>
      <c r="L34" s="2"/>
      <c r="N34" s="3"/>
      <c r="O34" s="2"/>
      <c r="Q34" s="3"/>
      <c r="R34" s="2"/>
      <c r="T34" s="169"/>
      <c r="U34" s="83">
        <v>3.149</v>
      </c>
      <c r="V34" s="82">
        <v>0.8468</v>
      </c>
      <c r="W34" s="84">
        <v>188.179</v>
      </c>
    </row>
    <row r="35" spans="2:23" ht="13.5" thickBot="1" x14ac:dyDescent="0.25">
      <c r="B35" s="165">
        <v>0.25</v>
      </c>
      <c r="C35" s="139"/>
      <c r="D35" s="1"/>
      <c r="E35" s="140"/>
      <c r="F35" s="139"/>
      <c r="G35" s="1"/>
      <c r="H35" s="140"/>
      <c r="I35" s="139"/>
      <c r="J35" s="1"/>
      <c r="K35" s="140"/>
      <c r="L35" s="139"/>
      <c r="M35" s="1"/>
      <c r="N35" s="140"/>
      <c r="O35" s="139"/>
      <c r="P35" s="1"/>
      <c r="Q35" s="140"/>
      <c r="R35" s="139"/>
      <c r="S35" s="1"/>
      <c r="T35" s="170"/>
      <c r="U35" s="85">
        <v>3.5009999999999999</v>
      </c>
      <c r="V35" s="86">
        <v>0.84730000000000005</v>
      </c>
      <c r="W35" s="87">
        <v>209.434</v>
      </c>
    </row>
    <row r="36" spans="2:23" x14ac:dyDescent="0.2">
      <c r="T36" s="91"/>
      <c r="U36" s="91"/>
      <c r="V36" s="92"/>
      <c r="W36" s="91"/>
    </row>
    <row r="37" spans="2:23" x14ac:dyDescent="0.2">
      <c r="T37" s="108"/>
      <c r="U37" s="91"/>
      <c r="V37" s="92"/>
      <c r="W37" s="91"/>
    </row>
  </sheetData>
  <mergeCells count="16">
    <mergeCell ref="L21:N21"/>
    <mergeCell ref="O2:Q2"/>
    <mergeCell ref="R2:T2"/>
    <mergeCell ref="U2:W2"/>
    <mergeCell ref="O21:Q21"/>
    <mergeCell ref="R21:T21"/>
    <mergeCell ref="U21:W21"/>
    <mergeCell ref="L2:N2"/>
    <mergeCell ref="A2:B2"/>
    <mergeCell ref="A1:C1"/>
    <mergeCell ref="C21:E21"/>
    <mergeCell ref="F21:H21"/>
    <mergeCell ref="I21:K21"/>
    <mergeCell ref="C2:E2"/>
    <mergeCell ref="F2:H2"/>
    <mergeCell ref="I2:K2"/>
  </mergeCells>
  <pageMargins left="0.7" right="0.7" top="0.75" bottom="0.75" header="0.3" footer="0.3"/>
  <pageSetup paperSiz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6"/>
  <sheetViews>
    <sheetView showGridLines="0" zoomScaleNormal="100" workbookViewId="0">
      <selection activeCell="N20" sqref="N20"/>
    </sheetView>
  </sheetViews>
  <sheetFormatPr defaultRowHeight="12.75" x14ac:dyDescent="0.2"/>
  <cols>
    <col min="1" max="1" width="6.5703125" customWidth="1"/>
    <col min="2" max="2" width="10.7109375" customWidth="1"/>
    <col min="3" max="3" width="12.28515625" customWidth="1"/>
    <col min="4" max="4" width="10.28515625" customWidth="1"/>
    <col min="5" max="5" width="12.85546875" customWidth="1"/>
    <col min="6" max="6" width="10.42578125" customWidth="1"/>
    <col min="7" max="7" width="11" customWidth="1"/>
    <col min="8" max="8" width="14" customWidth="1"/>
    <col min="9" max="9" width="13.7109375" customWidth="1"/>
    <col min="10" max="10" width="12.42578125" customWidth="1"/>
    <col min="11" max="11" width="9.85546875" customWidth="1"/>
    <col min="12" max="12" width="12.28515625" customWidth="1"/>
    <col min="13" max="13" width="10.28515625" customWidth="1"/>
    <col min="16" max="16" width="11.28515625" customWidth="1"/>
  </cols>
  <sheetData>
    <row r="1" spans="1:20" ht="27" customHeight="1" thickBot="1" x14ac:dyDescent="0.35">
      <c r="A1" s="611" t="s">
        <v>142</v>
      </c>
      <c r="B1" s="612"/>
      <c r="C1" s="612"/>
      <c r="D1" s="612"/>
      <c r="E1" s="613"/>
      <c r="F1" s="228" t="s">
        <v>143</v>
      </c>
      <c r="G1" s="227"/>
      <c r="I1" s="227"/>
      <c r="J1" s="227"/>
      <c r="K1" s="227"/>
      <c r="L1" s="227"/>
    </row>
    <row r="2" spans="1:20" s="106" customFormat="1" ht="34.15" customHeight="1" thickBot="1" x14ac:dyDescent="0.25">
      <c r="A2" s="574" t="s">
        <v>41</v>
      </c>
      <c r="B2" s="575"/>
      <c r="C2" s="603" t="s">
        <v>151</v>
      </c>
      <c r="D2" s="615"/>
      <c r="E2" s="604"/>
      <c r="F2" s="603" t="s">
        <v>150</v>
      </c>
      <c r="G2" s="604"/>
      <c r="H2" s="582" t="s">
        <v>97</v>
      </c>
      <c r="I2" s="583"/>
      <c r="J2" s="583"/>
      <c r="K2" s="584"/>
      <c r="L2" s="212"/>
      <c r="M2" s="212"/>
      <c r="N2" s="212"/>
      <c r="O2" s="212"/>
      <c r="P2" s="212"/>
    </row>
    <row r="3" spans="1:20" s="211" customFormat="1" ht="24" customHeight="1" thickBot="1" x14ac:dyDescent="0.25">
      <c r="A3" s="209" t="s">
        <v>106</v>
      </c>
      <c r="B3" s="233" t="s">
        <v>38</v>
      </c>
      <c r="C3" s="213" t="s">
        <v>144</v>
      </c>
      <c r="D3" s="214" t="s">
        <v>145</v>
      </c>
      <c r="E3" s="215" t="s">
        <v>146</v>
      </c>
      <c r="F3" s="213" t="s">
        <v>144</v>
      </c>
      <c r="G3" s="215" t="s">
        <v>146</v>
      </c>
      <c r="H3" s="213" t="s">
        <v>138</v>
      </c>
      <c r="I3" s="214" t="s">
        <v>139</v>
      </c>
      <c r="J3" s="214" t="s">
        <v>140</v>
      </c>
      <c r="K3" s="215" t="s">
        <v>141</v>
      </c>
      <c r="L3" s="210"/>
      <c r="M3" s="210"/>
      <c r="N3" s="210"/>
      <c r="O3" s="210"/>
      <c r="P3" s="210"/>
    </row>
    <row r="4" spans="1:20" x14ac:dyDescent="0.2">
      <c r="A4" s="229">
        <v>16</v>
      </c>
      <c r="B4" s="230">
        <v>6.4000000000000001E-2</v>
      </c>
      <c r="C4" s="620">
        <v>0.3125</v>
      </c>
      <c r="D4" s="231">
        <v>16.7</v>
      </c>
      <c r="E4" s="232">
        <v>21.6</v>
      </c>
      <c r="F4" s="589" t="s">
        <v>149</v>
      </c>
      <c r="G4" s="232">
        <v>28.7</v>
      </c>
      <c r="H4" s="2"/>
      <c r="K4" s="131"/>
      <c r="L4" s="92"/>
      <c r="M4" s="91"/>
      <c r="N4" s="91"/>
      <c r="O4" s="92"/>
      <c r="P4" s="91"/>
    </row>
    <row r="5" spans="1:20" x14ac:dyDescent="0.2">
      <c r="A5" s="186">
        <v>14</v>
      </c>
      <c r="B5" s="151">
        <v>7.9000000000000001E-2</v>
      </c>
      <c r="C5" s="621"/>
      <c r="D5" s="216">
        <v>18.2</v>
      </c>
      <c r="E5" s="217">
        <v>29.8</v>
      </c>
      <c r="F5" s="607"/>
      <c r="G5" s="217">
        <v>35.700000000000003</v>
      </c>
      <c r="H5" s="157"/>
      <c r="I5" s="147"/>
      <c r="K5" s="131"/>
      <c r="L5" s="92"/>
      <c r="M5" s="91"/>
      <c r="N5" s="91"/>
      <c r="O5" s="92"/>
      <c r="P5" s="91"/>
    </row>
    <row r="6" spans="1:20" ht="15.6" customHeight="1" x14ac:dyDescent="0.2">
      <c r="A6" s="186">
        <v>12</v>
      </c>
      <c r="B6" s="151">
        <v>0.109</v>
      </c>
      <c r="C6" s="616" t="s">
        <v>149</v>
      </c>
      <c r="D6" s="216">
        <v>23.4</v>
      </c>
      <c r="E6" s="217">
        <v>46.8</v>
      </c>
      <c r="F6" s="622">
        <v>0.4375</v>
      </c>
      <c r="G6" s="217">
        <v>53</v>
      </c>
      <c r="H6" s="616" t="s">
        <v>147</v>
      </c>
      <c r="I6" s="216">
        <v>43</v>
      </c>
      <c r="J6" s="220"/>
      <c r="K6" s="221"/>
      <c r="L6" s="92"/>
      <c r="M6" s="91"/>
      <c r="N6" s="91"/>
      <c r="O6" s="92"/>
      <c r="P6" s="91"/>
    </row>
    <row r="7" spans="1:20" ht="15" customHeight="1" x14ac:dyDescent="0.2">
      <c r="A7" s="186">
        <v>10</v>
      </c>
      <c r="B7" s="152">
        <v>0.13800000000000001</v>
      </c>
      <c r="C7" s="619"/>
      <c r="D7" s="216">
        <v>24.5</v>
      </c>
      <c r="E7" s="217">
        <v>49</v>
      </c>
      <c r="F7" s="623"/>
      <c r="G7" s="217">
        <v>63.7</v>
      </c>
      <c r="H7" s="589"/>
      <c r="I7" s="216">
        <v>62</v>
      </c>
      <c r="J7" s="220"/>
      <c r="K7" s="221"/>
      <c r="L7" s="92"/>
      <c r="M7" s="91"/>
      <c r="N7" s="91"/>
      <c r="O7" s="92"/>
      <c r="P7" s="91"/>
    </row>
    <row r="8" spans="1:20" ht="15" customHeight="1" x14ac:dyDescent="0.2">
      <c r="A8" s="186">
        <v>8</v>
      </c>
      <c r="B8" s="152">
        <v>0.16800000000000001</v>
      </c>
      <c r="C8" s="607"/>
      <c r="D8" s="216">
        <v>25.6</v>
      </c>
      <c r="E8" s="217">
        <v>51.3</v>
      </c>
      <c r="F8" s="624"/>
      <c r="G8" s="217">
        <v>70.7</v>
      </c>
      <c r="H8" s="589"/>
      <c r="I8" s="216">
        <v>81</v>
      </c>
      <c r="J8" s="220"/>
      <c r="K8" s="221"/>
      <c r="L8" s="92"/>
    </row>
    <row r="9" spans="1:20" ht="15" customHeight="1" x14ac:dyDescent="0.2">
      <c r="A9" s="186">
        <v>7</v>
      </c>
      <c r="B9" s="153">
        <v>0.188</v>
      </c>
      <c r="C9" s="155"/>
      <c r="D9" s="156"/>
      <c r="E9" s="145"/>
      <c r="F9" s="155"/>
      <c r="G9" s="145"/>
      <c r="H9" s="589"/>
      <c r="I9" s="216">
        <v>93</v>
      </c>
      <c r="J9" s="220"/>
      <c r="K9" s="221"/>
      <c r="L9" s="92"/>
    </row>
    <row r="10" spans="1:20" ht="15" customHeight="1" x14ac:dyDescent="0.2">
      <c r="A10" s="186">
        <v>5</v>
      </c>
      <c r="B10" s="153">
        <v>0.218</v>
      </c>
      <c r="C10" s="130"/>
      <c r="D10" s="92"/>
      <c r="E10" s="131"/>
      <c r="F10" s="130"/>
      <c r="G10" s="131"/>
      <c r="H10" s="589"/>
      <c r="I10" s="216">
        <v>112</v>
      </c>
      <c r="J10" s="220"/>
      <c r="K10" s="221"/>
      <c r="L10" s="92"/>
    </row>
    <row r="11" spans="1:20" ht="15" customHeight="1" x14ac:dyDescent="0.2">
      <c r="A11" s="186">
        <v>3</v>
      </c>
      <c r="B11" s="153">
        <v>0.249</v>
      </c>
      <c r="C11" s="130"/>
      <c r="D11" s="92"/>
      <c r="E11" s="131"/>
      <c r="F11" s="130"/>
      <c r="G11" s="131"/>
      <c r="H11" s="589"/>
      <c r="I11" s="216">
        <v>132</v>
      </c>
      <c r="J11" s="222"/>
      <c r="K11" s="223"/>
      <c r="L11" s="92"/>
    </row>
    <row r="12" spans="1:20" ht="15" customHeight="1" x14ac:dyDescent="0.2">
      <c r="A12" s="186">
        <v>1</v>
      </c>
      <c r="B12" s="153">
        <v>0.28000000000000003</v>
      </c>
      <c r="C12" s="130"/>
      <c r="D12" s="92"/>
      <c r="E12" s="131"/>
      <c r="F12" s="130"/>
      <c r="G12" s="131"/>
      <c r="H12" s="617"/>
      <c r="I12" s="216">
        <v>144</v>
      </c>
      <c r="J12" s="216">
        <v>180</v>
      </c>
      <c r="K12" s="217">
        <v>194</v>
      </c>
      <c r="L12" s="92"/>
    </row>
    <row r="13" spans="1:20" ht="15" customHeight="1" x14ac:dyDescent="0.2">
      <c r="A13" s="184"/>
      <c r="B13" s="151">
        <v>0.318</v>
      </c>
      <c r="C13" s="130"/>
      <c r="D13" s="92"/>
      <c r="E13" s="131"/>
      <c r="F13" s="130"/>
      <c r="G13" s="131"/>
      <c r="H13" s="616" t="s">
        <v>148</v>
      </c>
      <c r="I13" s="219"/>
      <c r="J13" s="224"/>
      <c r="K13" s="217">
        <v>235</v>
      </c>
      <c r="L13" s="92"/>
    </row>
    <row r="14" spans="1:20" ht="13.5" thickBot="1" x14ac:dyDescent="0.25">
      <c r="A14" s="185"/>
      <c r="B14" s="154">
        <v>0.38</v>
      </c>
      <c r="C14" s="132"/>
      <c r="D14" s="133"/>
      <c r="E14" s="134"/>
      <c r="F14" s="132"/>
      <c r="G14" s="134"/>
      <c r="H14" s="618"/>
      <c r="I14" s="225"/>
      <c r="J14" s="226"/>
      <c r="K14" s="218">
        <v>285</v>
      </c>
      <c r="L14" s="92"/>
    </row>
    <row r="15" spans="1:20" ht="13.5" thickBot="1" x14ac:dyDescent="0.25">
      <c r="B15" s="146"/>
      <c r="C15" s="91"/>
      <c r="D15" s="92"/>
      <c r="E15" s="91"/>
      <c r="F15" s="91"/>
      <c r="G15" s="91"/>
      <c r="H15" s="91"/>
      <c r="I15" s="92"/>
      <c r="J15" s="91"/>
    </row>
    <row r="16" spans="1:20" s="105" customFormat="1" ht="31.9" customHeight="1" thickBot="1" x14ac:dyDescent="0.25">
      <c r="B16" s="177" t="s">
        <v>42</v>
      </c>
      <c r="C16" s="603" t="s">
        <v>152</v>
      </c>
      <c r="D16" s="615"/>
      <c r="E16" s="604"/>
      <c r="F16" s="603" t="s">
        <v>153</v>
      </c>
      <c r="G16" s="604"/>
      <c r="H16" s="603" t="s">
        <v>154</v>
      </c>
      <c r="I16" s="604"/>
      <c r="J16" s="625" t="s">
        <v>72</v>
      </c>
      <c r="K16" s="583"/>
      <c r="L16" s="584"/>
      <c r="M16" s="235"/>
      <c r="N16" s="235"/>
      <c r="O16" s="614"/>
      <c r="P16" s="614"/>
      <c r="Q16" s="614"/>
      <c r="R16" s="614"/>
      <c r="S16" s="614"/>
      <c r="T16" s="614"/>
    </row>
    <row r="17" spans="2:20" s="105" customFormat="1" ht="16.149999999999999" customHeight="1" thickBot="1" x14ac:dyDescent="0.25">
      <c r="B17" s="591" t="s">
        <v>38</v>
      </c>
      <c r="C17" s="593" t="s">
        <v>144</v>
      </c>
      <c r="D17" s="595" t="s">
        <v>145</v>
      </c>
      <c r="E17" s="597" t="s">
        <v>161</v>
      </c>
      <c r="F17" s="593" t="s">
        <v>144</v>
      </c>
      <c r="G17" s="597" t="s">
        <v>146</v>
      </c>
      <c r="H17" s="593" t="s">
        <v>144</v>
      </c>
      <c r="I17" s="597" t="s">
        <v>160</v>
      </c>
      <c r="J17" s="601" t="s">
        <v>158</v>
      </c>
      <c r="K17" s="257" t="s">
        <v>155</v>
      </c>
      <c r="L17" s="258" t="s">
        <v>156</v>
      </c>
      <c r="M17" s="235"/>
      <c r="N17" s="235"/>
      <c r="O17" s="235"/>
      <c r="P17" s="235"/>
      <c r="Q17" s="235"/>
      <c r="R17" s="235"/>
      <c r="S17" s="235"/>
      <c r="T17" s="235"/>
    </row>
    <row r="18" spans="2:20" s="126" customFormat="1" ht="25.9" customHeight="1" thickBot="1" x14ac:dyDescent="0.25">
      <c r="B18" s="592"/>
      <c r="C18" s="594"/>
      <c r="D18" s="596"/>
      <c r="E18" s="598"/>
      <c r="F18" s="594"/>
      <c r="G18" s="598"/>
      <c r="H18" s="594"/>
      <c r="I18" s="598"/>
      <c r="J18" s="602"/>
      <c r="K18" s="238" t="s">
        <v>157</v>
      </c>
      <c r="L18" s="209" t="s">
        <v>159</v>
      </c>
      <c r="M18" s="208"/>
      <c r="N18" s="208"/>
      <c r="O18" s="208"/>
      <c r="P18" s="208"/>
      <c r="Q18" s="208"/>
      <c r="R18" s="208"/>
      <c r="S18" s="208"/>
      <c r="T18" s="208"/>
    </row>
    <row r="19" spans="2:20" ht="13.15" customHeight="1" x14ac:dyDescent="0.2">
      <c r="B19" s="243">
        <v>0.06</v>
      </c>
      <c r="C19" s="605">
        <v>0.3125</v>
      </c>
      <c r="D19" s="239">
        <v>9</v>
      </c>
      <c r="E19" s="240">
        <v>14</v>
      </c>
      <c r="F19" s="588" t="s">
        <v>149</v>
      </c>
      <c r="G19" s="240">
        <v>16.5</v>
      </c>
      <c r="H19" s="599">
        <v>0.5</v>
      </c>
      <c r="I19" s="240">
        <v>16</v>
      </c>
      <c r="J19" s="136"/>
      <c r="K19" s="137"/>
      <c r="L19" s="138"/>
      <c r="M19" s="92"/>
      <c r="N19" s="91"/>
      <c r="O19" s="91"/>
      <c r="P19" s="92"/>
      <c r="Q19" s="91"/>
    </row>
    <row r="20" spans="2:20" ht="13.15" customHeight="1" x14ac:dyDescent="0.2">
      <c r="B20" s="244">
        <v>7.4999999999999997E-2</v>
      </c>
      <c r="C20" s="606"/>
      <c r="D20" s="216">
        <v>9</v>
      </c>
      <c r="E20" s="217">
        <v>18</v>
      </c>
      <c r="F20" s="607"/>
      <c r="G20" s="217">
        <v>20.5</v>
      </c>
      <c r="H20" s="600"/>
      <c r="I20" s="217">
        <v>19.899999999999999</v>
      </c>
      <c r="J20" s="2"/>
      <c r="L20" s="3"/>
      <c r="M20" s="92"/>
      <c r="N20" s="91"/>
      <c r="O20" s="91"/>
      <c r="P20" s="92"/>
      <c r="Q20" s="91"/>
    </row>
    <row r="21" spans="2:20" ht="13.15" customHeight="1" x14ac:dyDescent="0.2">
      <c r="B21" s="244">
        <v>0.105</v>
      </c>
      <c r="C21" s="608" t="s">
        <v>149</v>
      </c>
      <c r="D21" s="216">
        <v>15.6</v>
      </c>
      <c r="E21" s="217">
        <v>31.5</v>
      </c>
      <c r="F21" s="610">
        <v>0.5</v>
      </c>
      <c r="G21" s="217">
        <v>28</v>
      </c>
      <c r="H21" s="600"/>
      <c r="I21" s="217">
        <v>27.9</v>
      </c>
      <c r="J21" s="252"/>
      <c r="K21" s="236"/>
      <c r="L21" s="221"/>
      <c r="M21" s="92"/>
      <c r="N21" s="91"/>
      <c r="O21" s="91"/>
      <c r="P21" s="92"/>
      <c r="Q21" s="91"/>
    </row>
    <row r="22" spans="2:20" ht="13.15" customHeight="1" x14ac:dyDescent="0.2">
      <c r="B22" s="244">
        <v>0.13500000000000001</v>
      </c>
      <c r="C22" s="609"/>
      <c r="D22" s="216">
        <v>16.2</v>
      </c>
      <c r="E22" s="217">
        <v>33</v>
      </c>
      <c r="F22" s="600"/>
      <c r="G22" s="217">
        <v>42</v>
      </c>
      <c r="H22" s="600"/>
      <c r="I22" s="217">
        <v>35.9</v>
      </c>
      <c r="J22" s="252"/>
      <c r="K22" s="236"/>
      <c r="L22" s="221"/>
      <c r="M22" s="92"/>
      <c r="N22" s="91"/>
      <c r="O22" s="91"/>
      <c r="P22" s="92"/>
      <c r="Q22" s="91"/>
    </row>
    <row r="23" spans="2:20" ht="13.9" customHeight="1" thickBot="1" x14ac:dyDescent="0.25">
      <c r="B23" s="245">
        <v>0.16400000000000001</v>
      </c>
      <c r="C23" s="609"/>
      <c r="D23" s="241">
        <v>16.8</v>
      </c>
      <c r="E23" s="242">
        <v>34</v>
      </c>
      <c r="F23" s="600"/>
      <c r="G23" s="242">
        <v>54.5</v>
      </c>
      <c r="H23" s="600"/>
      <c r="I23" s="242">
        <v>43.5</v>
      </c>
      <c r="J23" s="253"/>
      <c r="K23" s="254"/>
      <c r="L23" s="237"/>
    </row>
    <row r="24" spans="2:20" ht="13.15" customHeight="1" x14ac:dyDescent="0.2">
      <c r="B24" s="246">
        <v>0.1</v>
      </c>
      <c r="C24" s="127"/>
      <c r="D24" s="128"/>
      <c r="E24" s="129"/>
      <c r="F24" s="127"/>
      <c r="G24" s="129"/>
      <c r="H24" s="127"/>
      <c r="I24" s="129"/>
      <c r="J24" s="588" t="s">
        <v>147</v>
      </c>
      <c r="K24" s="239">
        <v>28</v>
      </c>
      <c r="L24" s="240">
        <v>26.4</v>
      </c>
      <c r="Q24" s="234"/>
      <c r="R24" s="91"/>
      <c r="S24" s="92"/>
      <c r="T24" s="91"/>
    </row>
    <row r="25" spans="2:20" ht="13.15" customHeight="1" x14ac:dyDescent="0.2">
      <c r="B25" s="247">
        <v>0.125</v>
      </c>
      <c r="C25" s="130"/>
      <c r="D25" s="92"/>
      <c r="E25" s="131"/>
      <c r="F25" s="130"/>
      <c r="G25" s="131"/>
      <c r="H25" s="130"/>
      <c r="I25" s="131"/>
      <c r="J25" s="589"/>
      <c r="K25" s="216">
        <v>41</v>
      </c>
      <c r="L25" s="217">
        <v>34.799999999999997</v>
      </c>
      <c r="Q25" s="234"/>
      <c r="R25" s="91"/>
      <c r="S25" s="92"/>
      <c r="T25" s="91"/>
    </row>
    <row r="26" spans="2:20" ht="13.15" customHeight="1" x14ac:dyDescent="0.2">
      <c r="B26" s="247">
        <v>0.15</v>
      </c>
      <c r="C26" s="130"/>
      <c r="D26" s="92"/>
      <c r="E26" s="131"/>
      <c r="F26" s="130"/>
      <c r="G26" s="131"/>
      <c r="H26" s="130"/>
      <c r="I26" s="131"/>
      <c r="J26" s="589"/>
      <c r="K26" s="216">
        <v>54.1</v>
      </c>
      <c r="L26" s="217">
        <v>44.4</v>
      </c>
      <c r="Q26" s="234"/>
      <c r="R26" s="91"/>
      <c r="S26" s="92"/>
      <c r="T26" s="91"/>
    </row>
    <row r="27" spans="2:20" ht="13.15" customHeight="1" x14ac:dyDescent="0.2">
      <c r="B27" s="247">
        <v>0.17499999999999999</v>
      </c>
      <c r="C27" s="130"/>
      <c r="D27" s="92"/>
      <c r="E27" s="131"/>
      <c r="F27" s="130"/>
      <c r="G27" s="131"/>
      <c r="H27" s="130"/>
      <c r="I27" s="131"/>
      <c r="J27" s="589"/>
      <c r="K27" s="216">
        <v>63.7</v>
      </c>
      <c r="L27" s="217">
        <v>52.8</v>
      </c>
      <c r="Q27" s="234"/>
      <c r="R27" s="91"/>
      <c r="S27" s="92"/>
      <c r="T27" s="91"/>
    </row>
    <row r="28" spans="2:20" ht="13.15" customHeight="1" x14ac:dyDescent="0.2">
      <c r="B28" s="247">
        <v>0.2</v>
      </c>
      <c r="C28" s="130"/>
      <c r="D28" s="92"/>
      <c r="E28" s="131"/>
      <c r="F28" s="130"/>
      <c r="G28" s="131"/>
      <c r="H28" s="130"/>
      <c r="I28" s="131"/>
      <c r="J28" s="589"/>
      <c r="K28" s="216">
        <v>73.400000000000006</v>
      </c>
      <c r="L28" s="217">
        <v>52.8</v>
      </c>
      <c r="Q28" s="234"/>
      <c r="R28" s="91"/>
      <c r="S28" s="92"/>
      <c r="T28" s="91"/>
    </row>
    <row r="29" spans="2:20" ht="13.9" customHeight="1" x14ac:dyDescent="0.2">
      <c r="B29" s="247">
        <v>0.22500000000000001</v>
      </c>
      <c r="C29" s="130"/>
      <c r="D29" s="92"/>
      <c r="E29" s="131"/>
      <c r="F29" s="130"/>
      <c r="G29" s="131"/>
      <c r="H29" s="130"/>
      <c r="I29" s="131"/>
      <c r="J29" s="589"/>
      <c r="K29" s="216">
        <v>83.2</v>
      </c>
      <c r="L29" s="217">
        <v>52.8</v>
      </c>
      <c r="Q29" s="234"/>
      <c r="R29" s="91"/>
      <c r="S29" s="92"/>
      <c r="T29" s="91"/>
    </row>
    <row r="30" spans="2:20" ht="13.5" thickBot="1" x14ac:dyDescent="0.25">
      <c r="B30" s="248">
        <v>0.25</v>
      </c>
      <c r="C30" s="249"/>
      <c r="D30" s="250"/>
      <c r="E30" s="251"/>
      <c r="F30" s="249"/>
      <c r="G30" s="251"/>
      <c r="H30" s="249"/>
      <c r="I30" s="251"/>
      <c r="J30" s="590"/>
      <c r="K30" s="255">
        <v>93.1</v>
      </c>
      <c r="L30" s="256">
        <v>52.8</v>
      </c>
      <c r="M30" s="234"/>
      <c r="N30" s="91"/>
      <c r="O30" s="92"/>
      <c r="P30" s="91"/>
    </row>
    <row r="31" spans="2:20" x14ac:dyDescent="0.2">
      <c r="C31" s="208"/>
      <c r="D31" s="208"/>
      <c r="E31" s="208"/>
      <c r="F31" s="208"/>
      <c r="G31" s="208"/>
      <c r="H31" s="210"/>
      <c r="I31" s="208"/>
      <c r="J31" s="208"/>
      <c r="K31" s="208"/>
      <c r="M31" s="91"/>
      <c r="N31" s="91"/>
      <c r="O31" s="92"/>
      <c r="P31" s="91"/>
    </row>
    <row r="32" spans="2:20" x14ac:dyDescent="0.2">
      <c r="C32" s="91"/>
      <c r="D32" s="92"/>
      <c r="E32" s="91"/>
      <c r="F32" s="91"/>
      <c r="G32" s="91"/>
      <c r="H32" s="91"/>
      <c r="I32" s="92"/>
      <c r="J32" s="91"/>
      <c r="K32" s="91"/>
      <c r="M32" s="108"/>
      <c r="N32" s="91"/>
      <c r="O32" s="92"/>
      <c r="P32" s="91"/>
    </row>
    <row r="33" spans="3:11" x14ac:dyDescent="0.2">
      <c r="C33" s="91"/>
      <c r="D33" s="92"/>
      <c r="E33" s="91"/>
      <c r="F33" s="91"/>
      <c r="G33" s="91"/>
      <c r="H33" s="91"/>
      <c r="I33" s="92"/>
      <c r="J33" s="91"/>
      <c r="K33" s="91"/>
    </row>
    <row r="34" spans="3:11" x14ac:dyDescent="0.2">
      <c r="C34" s="91"/>
      <c r="D34" s="92"/>
      <c r="E34" s="91"/>
      <c r="F34" s="91"/>
      <c r="G34" s="91"/>
      <c r="H34" s="91"/>
      <c r="I34" s="92"/>
      <c r="J34" s="91"/>
      <c r="K34" s="91"/>
    </row>
    <row r="35" spans="3:11" x14ac:dyDescent="0.2">
      <c r="C35" s="91"/>
      <c r="D35" s="92"/>
      <c r="E35" s="91"/>
      <c r="F35" s="91"/>
      <c r="G35" s="91"/>
      <c r="H35" s="91"/>
      <c r="I35" s="92"/>
      <c r="J35" s="91"/>
      <c r="K35" s="91"/>
    </row>
    <row r="36" spans="3:11" x14ac:dyDescent="0.2">
      <c r="C36" s="91"/>
      <c r="D36" s="92"/>
      <c r="E36" s="91"/>
      <c r="F36" s="91"/>
      <c r="G36" s="91"/>
      <c r="H36" s="91"/>
      <c r="I36" s="92"/>
      <c r="J36" s="91"/>
    </row>
  </sheetData>
  <mergeCells count="32">
    <mergeCell ref="A1:E1"/>
    <mergeCell ref="O16:Q16"/>
    <mergeCell ref="R16:T16"/>
    <mergeCell ref="H2:K2"/>
    <mergeCell ref="A2:B2"/>
    <mergeCell ref="C2:E2"/>
    <mergeCell ref="F2:G2"/>
    <mergeCell ref="H6:H12"/>
    <mergeCell ref="H13:H14"/>
    <mergeCell ref="C6:C8"/>
    <mergeCell ref="C4:C5"/>
    <mergeCell ref="F4:F5"/>
    <mergeCell ref="F6:F8"/>
    <mergeCell ref="J16:L16"/>
    <mergeCell ref="H16:I16"/>
    <mergeCell ref="C16:E16"/>
    <mergeCell ref="F16:G16"/>
    <mergeCell ref="C19:C20"/>
    <mergeCell ref="F19:F20"/>
    <mergeCell ref="C21:C23"/>
    <mergeCell ref="F21:F23"/>
    <mergeCell ref="J24:J30"/>
    <mergeCell ref="B17:B18"/>
    <mergeCell ref="C17:C18"/>
    <mergeCell ref="D17:D18"/>
    <mergeCell ref="E17:E18"/>
    <mergeCell ref="F17:F18"/>
    <mergeCell ref="G17:G18"/>
    <mergeCell ref="H17:H18"/>
    <mergeCell ref="I17:I18"/>
    <mergeCell ref="H19:H23"/>
    <mergeCell ref="J17:J18"/>
  </mergeCells>
  <pageMargins left="0.7" right="0.7" top="0.75" bottom="0.7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J1:AS1"/>
  <sheetViews>
    <sheetView zoomScaleNormal="100" workbookViewId="0">
      <selection activeCell="M1" sqref="M1"/>
    </sheetView>
  </sheetViews>
  <sheetFormatPr defaultRowHeight="12.75" x14ac:dyDescent="0.2"/>
  <cols>
    <col min="1" max="1" width="3.7109375" customWidth="1"/>
    <col min="9" max="9" width="8.42578125" customWidth="1"/>
    <col min="17" max="17" width="18.42578125" customWidth="1"/>
    <col min="18" max="18" width="19.28515625" customWidth="1"/>
    <col min="27" max="29" width="2.28515625" customWidth="1"/>
    <col min="35" max="35" width="10.28515625" customWidth="1"/>
    <col min="36" max="36" width="2.5703125" hidden="1" customWidth="1"/>
    <col min="37" max="37" width="22" customWidth="1"/>
    <col min="38" max="38" width="17.5703125" customWidth="1"/>
    <col min="45" max="45" width="2.7109375" hidden="1" customWidth="1"/>
    <col min="54" max="54" width="0.85546875" customWidth="1"/>
    <col min="63" max="63" width="2.5703125" customWidth="1"/>
    <col min="72" max="72" width="2.5703125" customWidth="1"/>
    <col min="81" max="81" width="0.42578125" customWidth="1"/>
    <col min="90" max="90" width="1.2851562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Disclaimer</vt:lpstr>
      <vt:lpstr>input-structure info</vt:lpstr>
      <vt:lpstr>input-Corrugated Metal Pipe</vt:lpstr>
      <vt:lpstr>Reference tables</vt:lpstr>
      <vt:lpstr>section property tables</vt:lpstr>
      <vt:lpstr>seam strength tables</vt:lpstr>
      <vt:lpstr>NCSPA Design Data Sheet No 19</vt:lpstr>
      <vt:lpstr>aluminum_corrugation</vt:lpstr>
      <vt:lpstr>corrugation_all</vt:lpstr>
      <vt:lpstr>Gage_number</vt:lpstr>
      <vt:lpstr>metal_type</vt:lpstr>
      <vt:lpstr>'input-Corrugated Metal Pipe'!Print_Area</vt:lpstr>
      <vt:lpstr>'input-structure info'!Print_Area</vt:lpstr>
      <vt:lpstr>'seam strength tables'!Print_Area</vt:lpstr>
      <vt:lpstr>'input-Corrugated Metal Pipe'!Print_Titles</vt:lpstr>
      <vt:lpstr>seam_type</vt:lpstr>
      <vt:lpstr>steel_corrugation</vt:lpstr>
      <vt:lpstr>structure_category</vt:lpstr>
      <vt:lpstr>structure_type</vt:lpstr>
    </vt:vector>
  </TitlesOfParts>
  <Company>Burgess and Niple,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Wang</dc:creator>
  <cp:lastModifiedBy>Lesh, Jim (Bridges Team)</cp:lastModifiedBy>
  <cp:lastPrinted>2012-01-13T19:47:03Z</cp:lastPrinted>
  <dcterms:created xsi:type="dcterms:W3CDTF">2001-12-12T13:10:00Z</dcterms:created>
  <dcterms:modified xsi:type="dcterms:W3CDTF">2023-03-28T14:25:08Z</dcterms:modified>
</cp:coreProperties>
</file>