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DD General\USDA Foods Communications\Website\Resources\USDA Foods available lists\"/>
    </mc:Choice>
  </mc:AlternateContent>
  <xr:revisionPtr revIDLastSave="0" documentId="13_ncr:1_{859D9E91-23D4-4001-A610-B1F9096DDC1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ec 2021" sheetId="1" r:id="rId1"/>
  </sheets>
  <definedNames>
    <definedName name="_xlnm._FilterDatabase" localSheetId="0" hidden="1">'Dec 2021'!$A$1:$J$190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0" i="1" l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<sst xmlns="http://schemas.openxmlformats.org/spreadsheetml/2006/main" count="766" uniqueCount="442">
  <si>
    <t>Variable Weight Material</t>
  </si>
  <si>
    <t>No</t>
  </si>
  <si>
    <t>100002</t>
  </si>
  <si>
    <t>100003</t>
  </si>
  <si>
    <t>Yes</t>
  </si>
  <si>
    <t>100012</t>
  </si>
  <si>
    <t>100017</t>
  </si>
  <si>
    <t>100018</t>
  </si>
  <si>
    <t>100019</t>
  </si>
  <si>
    <t>100021</t>
  </si>
  <si>
    <t>100022</t>
  </si>
  <si>
    <t>100034</t>
  </si>
  <si>
    <t>100036</t>
  </si>
  <si>
    <t>100037</t>
  </si>
  <si>
    <t>100046</t>
  </si>
  <si>
    <t>100047</t>
  </si>
  <si>
    <t>100101</t>
  </si>
  <si>
    <t>100103</t>
  </si>
  <si>
    <t>100113</t>
  </si>
  <si>
    <t>100117</t>
  </si>
  <si>
    <t>100119</t>
  </si>
  <si>
    <t>100121</t>
  </si>
  <si>
    <t>100122</t>
  </si>
  <si>
    <t>100124</t>
  </si>
  <si>
    <t>100125</t>
  </si>
  <si>
    <t>100126</t>
  </si>
  <si>
    <t>100127</t>
  </si>
  <si>
    <t>100134</t>
  </si>
  <si>
    <t>100139</t>
  </si>
  <si>
    <t>100154</t>
  </si>
  <si>
    <t>100155</t>
  </si>
  <si>
    <t>100156</t>
  </si>
  <si>
    <t>100158</t>
  </si>
  <si>
    <t>100163</t>
  </si>
  <si>
    <t>100173</t>
  </si>
  <si>
    <t>100184</t>
  </si>
  <si>
    <t>100187</t>
  </si>
  <si>
    <t>100188</t>
  </si>
  <si>
    <t>100193</t>
  </si>
  <si>
    <t>100195</t>
  </si>
  <si>
    <t>100201</t>
  </si>
  <si>
    <t>100206</t>
  </si>
  <si>
    <t>100212</t>
  </si>
  <si>
    <t>100216</t>
  </si>
  <si>
    <t>100219</t>
  </si>
  <si>
    <t>100220</t>
  </si>
  <si>
    <t>100224</t>
  </si>
  <si>
    <t>100225</t>
  </si>
  <si>
    <t>100226</t>
  </si>
  <si>
    <t>100236</t>
  </si>
  <si>
    <t>100238</t>
  </si>
  <si>
    <t>100239</t>
  </si>
  <si>
    <t>100241</t>
  </si>
  <si>
    <t>100242</t>
  </si>
  <si>
    <t>100243</t>
  </si>
  <si>
    <t>100254</t>
  </si>
  <si>
    <t>100256</t>
  </si>
  <si>
    <t>100258</t>
  </si>
  <si>
    <t>100261</t>
  </si>
  <si>
    <t>100277</t>
  </si>
  <si>
    <t>100283</t>
  </si>
  <si>
    <t>100293</t>
  </si>
  <si>
    <t>100299</t>
  </si>
  <si>
    <t>100307</t>
  </si>
  <si>
    <t>100309</t>
  </si>
  <si>
    <t>100313</t>
  </si>
  <si>
    <t>100315</t>
  </si>
  <si>
    <t>100317</t>
  </si>
  <si>
    <t>100327</t>
  </si>
  <si>
    <t>100329</t>
  </si>
  <si>
    <t>100330</t>
  </si>
  <si>
    <t>100332</t>
  </si>
  <si>
    <t>100334</t>
  </si>
  <si>
    <t>100336</t>
  </si>
  <si>
    <t>100348</t>
  </si>
  <si>
    <t>100350</t>
  </si>
  <si>
    <t>100351</t>
  </si>
  <si>
    <t>100352</t>
  </si>
  <si>
    <t>100355</t>
  </si>
  <si>
    <t>100356</t>
  </si>
  <si>
    <t>100357</t>
  </si>
  <si>
    <t>100359</t>
  </si>
  <si>
    <t>100360</t>
  </si>
  <si>
    <t>100362</t>
  </si>
  <si>
    <t>100364</t>
  </si>
  <si>
    <t>100365</t>
  </si>
  <si>
    <t>100366</t>
  </si>
  <si>
    <t>100368</t>
  </si>
  <si>
    <t>100369</t>
  </si>
  <si>
    <t>100370</t>
  </si>
  <si>
    <t>100371</t>
  </si>
  <si>
    <t>100373</t>
  </si>
  <si>
    <t>100382</t>
  </si>
  <si>
    <t>100396</t>
  </si>
  <si>
    <t>100397</t>
  </si>
  <si>
    <t>100400</t>
  </si>
  <si>
    <t>100409</t>
  </si>
  <si>
    <t>100413</t>
  </si>
  <si>
    <t>100417</t>
  </si>
  <si>
    <t>100418</t>
  </si>
  <si>
    <t>100420</t>
  </si>
  <si>
    <t>100425</t>
  </si>
  <si>
    <t>100439</t>
  </si>
  <si>
    <t>100443</t>
  </si>
  <si>
    <t>100465</t>
  </si>
  <si>
    <t>100494</t>
  </si>
  <si>
    <t>100500</t>
  </si>
  <si>
    <t>100506</t>
  </si>
  <si>
    <t>100514</t>
  </si>
  <si>
    <t>100517</t>
  </si>
  <si>
    <t>100521</t>
  </si>
  <si>
    <t>100522</t>
  </si>
  <si>
    <t>100523</t>
  </si>
  <si>
    <t>100877</t>
  </si>
  <si>
    <t>100883</t>
  </si>
  <si>
    <t>100912</t>
  </si>
  <si>
    <t>100935</t>
  </si>
  <si>
    <t>100980</t>
  </si>
  <si>
    <t>101031</t>
  </si>
  <si>
    <t>110080</t>
  </si>
  <si>
    <t>110149</t>
  </si>
  <si>
    <t>110161</t>
  </si>
  <si>
    <t>110177</t>
  </si>
  <si>
    <t>110186</t>
  </si>
  <si>
    <t>110187</t>
  </si>
  <si>
    <t>110208</t>
  </si>
  <si>
    <t>110211</t>
  </si>
  <si>
    <t>110227</t>
  </si>
  <si>
    <t>110242</t>
  </si>
  <si>
    <t>110244</t>
  </si>
  <si>
    <t>110253</t>
  </si>
  <si>
    <t>110254</t>
  </si>
  <si>
    <t>110261</t>
  </si>
  <si>
    <t>110322</t>
  </si>
  <si>
    <t>110346</t>
  </si>
  <si>
    <t>110348</t>
  </si>
  <si>
    <t>110349</t>
  </si>
  <si>
    <t>110361</t>
  </si>
  <si>
    <t>110381</t>
  </si>
  <si>
    <t>110393</t>
  </si>
  <si>
    <t>110394</t>
  </si>
  <si>
    <t>110396</t>
  </si>
  <si>
    <t>110398</t>
  </si>
  <si>
    <t>110400</t>
  </si>
  <si>
    <t>110401</t>
  </si>
  <si>
    <t>110402</t>
  </si>
  <si>
    <t>110425</t>
  </si>
  <si>
    <t>110462</t>
  </si>
  <si>
    <t>110473</t>
  </si>
  <si>
    <t>110480</t>
  </si>
  <si>
    <t>110482</t>
  </si>
  <si>
    <t>110501</t>
  </si>
  <si>
    <t>110504</t>
  </si>
  <si>
    <t>110506</t>
  </si>
  <si>
    <t>110520</t>
  </si>
  <si>
    <t>110541</t>
  </si>
  <si>
    <t>110543</t>
  </si>
  <si>
    <t>110554</t>
  </si>
  <si>
    <t>110562</t>
  </si>
  <si>
    <t>110601</t>
  </si>
  <si>
    <t>110623</t>
  </si>
  <si>
    <t>110624</t>
  </si>
  <si>
    <t>110651</t>
  </si>
  <si>
    <t>110700</t>
  </si>
  <si>
    <t>110711</t>
  </si>
  <si>
    <t>110721</t>
  </si>
  <si>
    <t>110723</t>
  </si>
  <si>
    <t>110724</t>
  </si>
  <si>
    <t>110730</t>
  </si>
  <si>
    <t>110763</t>
  </si>
  <si>
    <t>110844</t>
  </si>
  <si>
    <t>110845</t>
  </si>
  <si>
    <t>110846</t>
  </si>
  <si>
    <t>110851</t>
  </si>
  <si>
    <t>110854</t>
  </si>
  <si>
    <t>110855</t>
  </si>
  <si>
    <t>110857</t>
  </si>
  <si>
    <t>110859</t>
  </si>
  <si>
    <t>110860</t>
  </si>
  <si>
    <t>110872</t>
  </si>
  <si>
    <t>110910</t>
  </si>
  <si>
    <t>110911</t>
  </si>
  <si>
    <t>110921</t>
  </si>
  <si>
    <t>110931</t>
  </si>
  <si>
    <t>111052</t>
  </si>
  <si>
    <t>111053</t>
  </si>
  <si>
    <t>111054</t>
  </si>
  <si>
    <t>111100</t>
  </si>
  <si>
    <t>111110</t>
  </si>
  <si>
    <t>111220</t>
  </si>
  <si>
    <t>111230</t>
  </si>
  <si>
    <t>111361</t>
  </si>
  <si>
    <t>Material Number</t>
  </si>
  <si>
    <t>USDA Foods Description</t>
  </si>
  <si>
    <t>Pack Size</t>
  </si>
  <si>
    <t>Cases per Truck</t>
  </si>
  <si>
    <t>Case Weight (lb)</t>
  </si>
  <si>
    <t>Truck Weight (lb)</t>
  </si>
  <si>
    <t>Estimated Price Per Pound</t>
  </si>
  <si>
    <t>6/5 lb bag</t>
  </si>
  <si>
    <t>Cheese, Cheddar, White, Shredded, Chilled</t>
  </si>
  <si>
    <t>Cheese, Cheddar, Yellow, Shredded, Chilled</t>
  </si>
  <si>
    <t>Cheese, American, Yellow, Pasteurized, Loaves, Chilled</t>
  </si>
  <si>
    <t>Cheese, Cheddar, Yellow, Reduced Fat, Shredded, Chilled</t>
  </si>
  <si>
    <t>6/5 lb package</t>
  </si>
  <si>
    <t>Cheese, American, Yellow, Pasteurized, Sliced, Chilled</t>
  </si>
  <si>
    <t xml:space="preserve">Cheese, American, White, Pasteurized, Sliced, Chilled  </t>
  </si>
  <si>
    <t>Cheese, Mozzarella, Low Moisture Part Skim, Shredded, Frozen</t>
  </si>
  <si>
    <t xml:space="preserve">Cheese, Mozzarella, Low Moisture Part Skim, Loaves, Frozen </t>
  </si>
  <si>
    <t xml:space="preserve">Cheese, Mozzarella, Lite, Shredded, Frozen </t>
  </si>
  <si>
    <t>Estimated Case Price</t>
  </si>
  <si>
    <t>Estimated Truck Price</t>
  </si>
  <si>
    <t>30 lb case</t>
  </si>
  <si>
    <t>8/6 lb package</t>
  </si>
  <si>
    <t>Cheese, Blended American, Yellow, Reduced Fat, Sliced, Chilled</t>
  </si>
  <si>
    <t>Cheese, Blended American, White, Reduced Fat, Sliced, Chilled</t>
  </si>
  <si>
    <t xml:space="preserve">Eggs, Liquid Whole, Frozen </t>
  </si>
  <si>
    <t>6/5 lb carton</t>
  </si>
  <si>
    <t>Eggs, Liquid Whole, Chilled</t>
  </si>
  <si>
    <t>Bulk Tanker</t>
  </si>
  <si>
    <t xml:space="preserve">Chicken, Cut-up, Frozen </t>
  </si>
  <si>
    <t>4/10 lb bag</t>
  </si>
  <si>
    <t>Bulk Pounds</t>
  </si>
  <si>
    <t xml:space="preserve">Chicken, Diced, Cooked, Frozen </t>
  </si>
  <si>
    <t>8/5 lb or 4/10 lb bag</t>
  </si>
  <si>
    <t>Chicken, Large Birds, Chilled</t>
  </si>
  <si>
    <t>Chicken, Legs, Chilled</t>
  </si>
  <si>
    <t xml:space="preserve">Chicken, Fajita Seasoned Strips, Cooked, Frozen </t>
  </si>
  <si>
    <t>6/5 lb or 3/10 lb bag</t>
  </si>
  <si>
    <t xml:space="preserve">Turkey, Taco Filling, Cooked, Frozen </t>
  </si>
  <si>
    <t>10/3 lb or 6/5 lb bag</t>
  </si>
  <si>
    <t xml:space="preserve">Turkey, Deli Breast, Frozen </t>
  </si>
  <si>
    <t>4/10 lb logs</t>
  </si>
  <si>
    <t xml:space="preserve">Turkey, Deli Breast, Smoked, Frozen </t>
  </si>
  <si>
    <t>Turkey, Whole, Chilled</t>
  </si>
  <si>
    <t xml:space="preserve">Turkey, Roast, Frozen </t>
  </si>
  <si>
    <t>4/8-12 lb roasts</t>
  </si>
  <si>
    <t>Turkey, Deli Ham, Smoked, Frozen</t>
  </si>
  <si>
    <t>Beef, Canned</t>
  </si>
  <si>
    <t>24/24 oz can</t>
  </si>
  <si>
    <t xml:space="preserve">Beef, Crumbles w/SPP, Cooked, Frozen </t>
  </si>
  <si>
    <t>Pork, Canned</t>
  </si>
  <si>
    <t xml:space="preserve">24/24 oz can </t>
  </si>
  <si>
    <t xml:space="preserve">Beef, Coarse Ground, 100%, Frozen </t>
  </si>
  <si>
    <t>60 lb case</t>
  </si>
  <si>
    <t>Beef, Boneless, Chilled</t>
  </si>
  <si>
    <t>20/2000 lb combo</t>
  </si>
  <si>
    <t xml:space="preserve">Beef, Boneless, Special Trim, Frozen </t>
  </si>
  <si>
    <t xml:space="preserve">Beef, Fine Ground, 100%, 85/15, Frozen* </t>
  </si>
  <si>
    <t>40 lb case</t>
  </si>
  <si>
    <t>Beef, Patties, Lean, 2.0 MMA, Frozen</t>
  </si>
  <si>
    <t>Pork, Leg Roast, Frozen</t>
  </si>
  <si>
    <t>36-42 lb case</t>
  </si>
  <si>
    <t xml:space="preserve">Ham, 97% Fat Free, Water-Added, Cooked, Frozen </t>
  </si>
  <si>
    <t>4/10 lb hams</t>
  </si>
  <si>
    <t>Ham, 97% Fat Free, Water-Added, Cooked, Sliced, Frozen</t>
  </si>
  <si>
    <t>8/5 lb package</t>
  </si>
  <si>
    <t>Ham, 97% Fat Free, Water-Added, Cooked, Diced, Frozen</t>
  </si>
  <si>
    <t xml:space="preserve">Pork, Boneless Picnic, Frozen </t>
  </si>
  <si>
    <t>Tuna, Chunk Light, Canned (K)</t>
  </si>
  <si>
    <t>6/66.5 oz can</t>
  </si>
  <si>
    <t>Catfish, Whole Grain-Rich Breaded Fillet Strips, Frozen</t>
  </si>
  <si>
    <t>Apple Slices, Unsweetened, Canned</t>
  </si>
  <si>
    <t>6/#10 can</t>
  </si>
  <si>
    <t>Mixed Fruit (Peaches, Pears, Grapes), Extra Light Syrup, Canned</t>
  </si>
  <si>
    <t>Apricots, Diced, Extra Light Syrup, Canned</t>
  </si>
  <si>
    <t>Peaches, Sliced, Extra Light Syrup, Canned</t>
  </si>
  <si>
    <t>Peaches, Diced, Extra Light Syrup, Canned</t>
  </si>
  <si>
    <t>Pears, Sliced, Extra Light Syrup, Canned</t>
  </si>
  <si>
    <t>Pears, Diced, Extra Light Syrup, Canned</t>
  </si>
  <si>
    <t>Pears, Halves, Extra Light Syrup, Canned</t>
  </si>
  <si>
    <t>Cherries, Tart, Pitted, Unsweetened, Frozen (IQF)</t>
  </si>
  <si>
    <t>12/2.5 lb bag</t>
  </si>
  <si>
    <t xml:space="preserve">Peaches, Sliced, Frozen </t>
  </si>
  <si>
    <t>12/2 lb bag</t>
  </si>
  <si>
    <t>20 lb case</t>
  </si>
  <si>
    <t xml:space="preserve">Peaches, Diced, Cups, Frozen </t>
  </si>
  <si>
    <t>96/4.4 oz cup</t>
  </si>
  <si>
    <t xml:space="preserve">Blueberries, Wild, Unsweetened, Frozen </t>
  </si>
  <si>
    <t>8/3 lb bag</t>
  </si>
  <si>
    <t>Strawberries, Sliced, Frozen</t>
  </si>
  <si>
    <t>30 lb pail</t>
  </si>
  <si>
    <t>Strawberries, Diced, Cups, Frozen</t>
  </si>
  <si>
    <t>96/4.5 oz cup</t>
  </si>
  <si>
    <t>Apple Slices, Unsweetened, Frozen (IQF)</t>
  </si>
  <si>
    <t xml:space="preserve">Apricots, Diced, Cups, Frozen </t>
  </si>
  <si>
    <t xml:space="preserve">Orange Juice, Unsweetened, Cartons, Individual, Frozen </t>
  </si>
  <si>
    <t>70/4 oz carton</t>
  </si>
  <si>
    <t xml:space="preserve">Oranges, Fresh </t>
  </si>
  <si>
    <t>34-39 lb case</t>
  </si>
  <si>
    <t>Raisins, Unsweetened, Individual Portion</t>
  </si>
  <si>
    <t>144/1.33 oz unit</t>
  </si>
  <si>
    <t>Cherries, Dried</t>
  </si>
  <si>
    <t>4/4 lb bag</t>
  </si>
  <si>
    <t>Beans, Green, Low-sodium, Canned</t>
  </si>
  <si>
    <t xml:space="preserve">Carrots, Sliced, Low-sodium, Canned </t>
  </si>
  <si>
    <t xml:space="preserve">Corn, Whole Kernel, No Salt Added, Canned </t>
  </si>
  <si>
    <t xml:space="preserve">Peas, Green, Low-sodium, Canned </t>
  </si>
  <si>
    <t xml:space="preserve">Sweet Potatoes, Light Syrup, No Salt Added, Canned </t>
  </si>
  <si>
    <t xml:space="preserve">Tomato Paste, No Salt Added, Canned </t>
  </si>
  <si>
    <t xml:space="preserve">Tomatoes, Diced, No Salt Added, Canned </t>
  </si>
  <si>
    <t xml:space="preserve">Salsa, Low-sodium, Canned </t>
  </si>
  <si>
    <t>Tomato Paste, For Processing</t>
  </si>
  <si>
    <t>2850 lb totes</t>
  </si>
  <si>
    <t xml:space="preserve">Tomato Sauce, Low-sodium, Canned </t>
  </si>
  <si>
    <t>Spaghetti Sauce, Low-sodium, Canned</t>
  </si>
  <si>
    <t xml:space="preserve">Corn, Whole Kernel, No Salt Added, Frozen </t>
  </si>
  <si>
    <t xml:space="preserve">Peas, Green, No Salt Added, Frozen </t>
  </si>
  <si>
    <t xml:space="preserve">Beans, Green, No Salt Added, Frozen </t>
  </si>
  <si>
    <t xml:space="preserve">Carrots, Sliced, No Salt Added, Frozen </t>
  </si>
  <si>
    <t>Potatoes, Wedges, Low-sodium, Frozen (IQF)</t>
  </si>
  <si>
    <t>Potatoes, Wedges, Fat Free, Low-sodium, Frozen (IQF)</t>
  </si>
  <si>
    <t xml:space="preserve">Potatoes, Oven Fries, Low-sodium, Frozen </t>
  </si>
  <si>
    <t xml:space="preserve">Beans, Black, Low-sodium, Canned </t>
  </si>
  <si>
    <t xml:space="preserve">Beans, Garbanzo, Low-sodium, Canned </t>
  </si>
  <si>
    <t xml:space="preserve">Beans, Refried, Low-sodium, Canned </t>
  </si>
  <si>
    <t xml:space="preserve">Beans, Vegetarian, Low-sodium, Canned </t>
  </si>
  <si>
    <t xml:space="preserve">Beans, Pinto, Low-sodium, Canned </t>
  </si>
  <si>
    <t xml:space="preserve">Beans, Small Red, Low-sodium, Canned </t>
  </si>
  <si>
    <t xml:space="preserve">Beans, Black-eyed Pea, Low-sodium, Canned </t>
  </si>
  <si>
    <t xml:space="preserve">Beans, Pink, Low-sodium, Canned </t>
  </si>
  <si>
    <t xml:space="preserve">Beans, Red Kidney, Low-sodium, Canned </t>
  </si>
  <si>
    <t xml:space="preserve">Beans, Baby Lima, Low-sodium, Canned </t>
  </si>
  <si>
    <t xml:space="preserve">Beans, Great Northern, Low-sodium, Canned </t>
  </si>
  <si>
    <t>Beans, Pinto, Dry</t>
  </si>
  <si>
    <t>Peanut Butter, Smooth</t>
  </si>
  <si>
    <t>6/5 lb unit</t>
  </si>
  <si>
    <t>500 lb drum</t>
  </si>
  <si>
    <t>Flour, All Purpose, Enriched, Bleached</t>
  </si>
  <si>
    <t>8/5 lb bag</t>
  </si>
  <si>
    <t>Flour, 100% Whole Wheat</t>
  </si>
  <si>
    <t>50 lb bag</t>
  </si>
  <si>
    <t>Flour, Bakers Hard Wheat, Unbleached</t>
  </si>
  <si>
    <t>Flour, Bakers Hard Wheat, Bleached</t>
  </si>
  <si>
    <t>Flour, Bakers Hard Wheat, Hearth, Unbleached</t>
  </si>
  <si>
    <t>Pasta, Spaghetti, Enriched</t>
  </si>
  <si>
    <t>Oil, Vegetable</t>
  </si>
  <si>
    <t>6/1 gallon bottle</t>
  </si>
  <si>
    <t>Oats, Rolled, Quick Cooking</t>
  </si>
  <si>
    <t>12/42 oz tube</t>
  </si>
  <si>
    <t>Rice, Long Grain, Parboiled</t>
  </si>
  <si>
    <t>25 lb bag</t>
  </si>
  <si>
    <t>Rice, Brown, Long Grain, Parboiled</t>
  </si>
  <si>
    <t>24/2 lb bag</t>
  </si>
  <si>
    <t>Potatoes, For Processing to Frozen</t>
  </si>
  <si>
    <t>Apples, Red Delicious, Fresh</t>
  </si>
  <si>
    <t xml:space="preserve">Apples, Empire, Fresh </t>
  </si>
  <si>
    <t>Apples, Gala, Fresh</t>
  </si>
  <si>
    <t xml:space="preserve">Apples, Fuji, Fresh </t>
  </si>
  <si>
    <t>Apples, Braeburn, Fresh</t>
  </si>
  <si>
    <t>Chicken, Boned, White Meat, Canned</t>
  </si>
  <si>
    <t>12/50 oz can</t>
  </si>
  <si>
    <t>Turkey, Thighs, Boneless, Skinless, Chilled</t>
  </si>
  <si>
    <t>Flour, Bread</t>
  </si>
  <si>
    <t>Sunflower Seed Butter, Smooth (K)</t>
  </si>
  <si>
    <t>Sweet Potatoes, For Processing</t>
  </si>
  <si>
    <t xml:space="preserve">Chicken, Oven Roasted, Cut-up 8 pcs, Cooked, Frozen </t>
  </si>
  <si>
    <t>3/10 lb bag</t>
  </si>
  <si>
    <t>Apples, For Processing</t>
  </si>
  <si>
    <t>Mixed Fruit (Apples, Cherries, Cranberries, Raisins), Dried</t>
  </si>
  <si>
    <t>5/5 lb bag</t>
  </si>
  <si>
    <t>Spaghetti Sauce, Low-sodium, Pouch</t>
  </si>
  <si>
    <t>6/106 oz pouch</t>
  </si>
  <si>
    <t xml:space="preserve">Salsa, Low-sodium, Pouch </t>
  </si>
  <si>
    <t xml:space="preserve">Tomato Sauce, Low-sodium, Pouch </t>
  </si>
  <si>
    <t>Flour, White Whole Wheat/Enriched 60/40 Blend</t>
  </si>
  <si>
    <t>Potatoes, For Processing to Dehydrated</t>
  </si>
  <si>
    <t xml:space="preserve">Cheese, Natural American, Barrel, Chilled </t>
  </si>
  <si>
    <t>500 lb barrel</t>
  </si>
  <si>
    <t>Cheese, Mozzarella, Low Moisture Part Skim, Chilled</t>
  </si>
  <si>
    <t>Processor Pack</t>
  </si>
  <si>
    <t>Cheese, Cheddar, White, Chilled</t>
  </si>
  <si>
    <t>40 lb block</t>
  </si>
  <si>
    <t xml:space="preserve">Cheese, Cheddar, Yellow, Chilled  </t>
  </si>
  <si>
    <t>Beef, Fine Ground, 100%, 85/15, LFTB OPT, Frozen</t>
  </si>
  <si>
    <t xml:space="preserve">Beef, Patties w/SPP, Cooked, 2.0 MMA, Frozen </t>
  </si>
  <si>
    <t>Beef, Patties, 100%, 90/10, 2.0 MMA, Frozen</t>
  </si>
  <si>
    <t xml:space="preserve">Beef, Patties w/SPP, 85/15, 2.0 MMA, Frozen </t>
  </si>
  <si>
    <t>Beef, Patties, 100%, 85/15, 2.0 MMA, Frozen</t>
  </si>
  <si>
    <t>Applesauce, Unsweetened, Cups, Shelf-Stable</t>
  </si>
  <si>
    <t>2000 lb totes</t>
  </si>
  <si>
    <t>Pancakes, Whole Grain or Whole Grain-Rich, Frozen</t>
  </si>
  <si>
    <t>144 count/case</t>
  </si>
  <si>
    <t>Tortillas, Whole Grain or Whole Grain-Rich, 8 inch, Frozen</t>
  </si>
  <si>
    <t>12/24 count</t>
  </si>
  <si>
    <t>Cheese, Mozzarella, Low Moisture Part Skim, String, Chilled</t>
  </si>
  <si>
    <t>360/1 oz package</t>
  </si>
  <si>
    <t>Yogurt, High-Protein, Vanilla, Chilled</t>
  </si>
  <si>
    <t>6/32 oz tub</t>
  </si>
  <si>
    <t>Yogurt, High-Protein, Blueberry, Chilled</t>
  </si>
  <si>
    <t>24/4 oz cup</t>
  </si>
  <si>
    <t>Yogurt, High-Protein, Strawberry, Chilled</t>
  </si>
  <si>
    <t>Spinach, Chopped, No Salt Added, Frozen (IQF)</t>
  </si>
  <si>
    <t>Chicken, Unseasoned Grilled Strips, Cooked, Frozen</t>
  </si>
  <si>
    <t>Broccoli Florets, No Salt Added, Frozen</t>
  </si>
  <si>
    <t>Carrots, Diced, No Salt Added, Frozen</t>
  </si>
  <si>
    <t>Flour, High Gluten</t>
  </si>
  <si>
    <t>Pasta, Macaroni, Whole Grain-Rich Blend</t>
  </si>
  <si>
    <t>2/10 lb bag</t>
  </si>
  <si>
    <t>Pasta, Rotini, Whole Grain-Rich Blend</t>
  </si>
  <si>
    <t>Pasta, Spaghetti, Whole Grain-Rich Blend</t>
  </si>
  <si>
    <t>Pasta, Penne, Whole Grain-Rich Blend</t>
  </si>
  <si>
    <t>Applesauce, Unsweetened, Canned</t>
  </si>
  <si>
    <t>Apples, Granny Smith, Fresh</t>
  </si>
  <si>
    <t>Turkey, Deli Breast, Sliced, Frozen</t>
  </si>
  <si>
    <t>Sweet Potatoes, Chunks, No Salt Added, Frozen</t>
  </si>
  <si>
    <t xml:space="preserve">Alaska Pollock, Frozen </t>
  </si>
  <si>
    <t>49.5 lb block</t>
  </si>
  <si>
    <t xml:space="preserve">Blueberries, Unsweetened, Frozen </t>
  </si>
  <si>
    <t>Orange Juice, Unsweetened, Cups, Individual, Frozen</t>
  </si>
  <si>
    <t>96/4 oz cup</t>
  </si>
  <si>
    <t>Peanuts, Raw, Shelled</t>
  </si>
  <si>
    <t>44,000 pound unit</t>
  </si>
  <si>
    <t>Beef, Patties, Cooked, 2.0 MMA, Frozen</t>
  </si>
  <si>
    <t>Sweet Potatoes, Crinkle Cut Fries, Low-Sodium, Frozen</t>
  </si>
  <si>
    <t>Cranberries, Dried, Individual Portion</t>
  </si>
  <si>
    <t>300/1.16 oz bag</t>
  </si>
  <si>
    <t>Pepper/Onion Strips, No Salt Added, Frozen</t>
  </si>
  <si>
    <t>Pork, Pulled, Minimally Seasoned, Cooked, Frozen</t>
  </si>
  <si>
    <t>Potatoes, Diced, No Salt Added, Frozen</t>
  </si>
  <si>
    <t>12/2 lb carton</t>
  </si>
  <si>
    <t>Strawberries, Whole, Unsweetened, Frozen (IQF)</t>
  </si>
  <si>
    <t>Alaska Pollock, Whole Grain-Rich Breaded Sticks, Frozen</t>
  </si>
  <si>
    <t>Peanut Butter, Individual Portion, Smooth</t>
  </si>
  <si>
    <t>120/1.1 oz unit</t>
  </si>
  <si>
    <t>Flour, 100% White Whole Wheat</t>
  </si>
  <si>
    <t>Mixed Berries (Blueberries, Strawberries), Cups, Frozen</t>
  </si>
  <si>
    <t>Strawberries, Sliced, Unsweetened, Frozen (IQF)</t>
  </si>
  <si>
    <t>Cherries, Sweet, Pitted, Unsweetened, Frozen (IQF)</t>
  </si>
  <si>
    <t>Turkey, Deli Breast, Smoked, Sliced, Frozen</t>
  </si>
  <si>
    <t>Turkey, Deli Ham, Smoked, Sliced, Frozen</t>
  </si>
  <si>
    <t>Chicken, Grilled Fillet, 2.0 MMA, Cooked, Frozen</t>
  </si>
  <si>
    <t>Eggs, Patties, Cooked, 1.0 MMA, Round, Frozen</t>
  </si>
  <si>
    <t>25 lb case</t>
  </si>
  <si>
    <t>Cereal, Oat Circles, Bowls</t>
  </si>
  <si>
    <t>96/1 oz bowls</t>
  </si>
  <si>
    <t>Cheese, Cheddar, Yellow, Sliced, Chilled</t>
  </si>
  <si>
    <t>12 lb case</t>
  </si>
  <si>
    <t>Cheese, Pepper Jack, Shredded, Chilled</t>
  </si>
  <si>
    <t>4/5 lb case</t>
  </si>
  <si>
    <t>Mixed Vegetables, No Salt Added, Frozen</t>
  </si>
  <si>
    <t>6/5 lb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</si>
</sst>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 applyNumberFormat="1" applyAlignment="1">
      <alignment vertical="top"/>
    </xf>
    <xf numFmtId="3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/>
    </xf>
    <xf numFmtId="168" fontId="0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top"/>
    </xf>
    <xf numFmtId="16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90"/>
  <sheetViews>
    <sheetView tabSelected="1" zoomScale="90" zoomScaleNormal="90" workbookViewId="0">
      <pane ySplit="1" topLeftCell="A2" activePane="bottomLeft" state="frozen"/>
      <selection pane="bottomLeft" activeCell="C33" sqref="C33"/>
    </sheetView>
  </sheetViews>
  <sheetFormatPr defaultRowHeight="14.5" x14ac:dyDescent="0.35"/>
  <cols>
    <col min="1" max="1" width="9.36328125" customWidth="1"/>
    <col min="2" max="2" width="53.6328125" bestFit="1" customWidth="1"/>
    <col min="3" max="3" width="17.81640625" style="2" bestFit="1" customWidth="1"/>
    <col min="4" max="4" width="12.6328125" style="2" customWidth="1"/>
    <col min="5" max="5" width="14.90625" customWidth="1"/>
    <col min="6" max="6" width="16.26953125" customWidth="1"/>
    <col min="7" max="7" width="15" customWidth="1"/>
    <col min="8" max="8" width="11.7265625" style="2" customWidth="1"/>
    <col min="9" max="9" width="13" style="2" customWidth="1"/>
    <col min="10" max="10" width="15.81640625" style="2" customWidth="1"/>
  </cols>
  <sheetData>
    <row r="1" spans="1:10" ht="29" x14ac:dyDescent="0.35">
      <c r="A1" s="3" t="s">
        <v>192</v>
      </c>
      <c r="B1" s="4" t="s">
        <v>193</v>
      </c>
      <c r="C1" s="4" t="s">
        <v>194</v>
      </c>
      <c r="D1" s="3" t="s">
        <v>195</v>
      </c>
      <c r="E1" s="4" t="s">
        <v>196</v>
      </c>
      <c r="F1" s="4" t="s">
        <v>197</v>
      </c>
      <c r="G1" s="3" t="s">
        <v>198</v>
      </c>
      <c r="H1" s="3" t="s">
        <v>210</v>
      </c>
      <c r="I1" s="3" t="s">
        <v>211</v>
      </c>
      <c r="J1" s="3" t="s">
        <v>0</v>
      </c>
    </row>
    <row r="2" spans="1:10" x14ac:dyDescent="0.35">
      <c r="A2" t="s">
        <v>2</v>
      </c>
      <c r="B2" s="5" t="s">
        <v>200</v>
      </c>
      <c r="C2" s="2" t="s">
        <v>199</v>
      </c>
      <c r="D2" s="1">
        <v>1280</v>
      </c>
      <c r="E2" s="1">
        <v>30</v>
      </c>
      <c r="F2" s="1">
        <v>38400</v>
      </c>
      <c r="G2" s="7">
        <f>220/100</f>
        <v>2.2000000000000002</v>
      </c>
      <c r="H2" s="7">
        <v>66</v>
      </c>
      <c r="I2" s="7">
        <v>84480</v>
      </c>
      <c r="J2" s="2" t="s">
        <v>1</v>
      </c>
    </row>
    <row r="3" spans="1:10" x14ac:dyDescent="0.35">
      <c r="A3" t="s">
        <v>3</v>
      </c>
      <c r="B3" s="5" t="s">
        <v>201</v>
      </c>
      <c r="C3" s="2" t="s">
        <v>199</v>
      </c>
      <c r="D3" s="1">
        <v>1280</v>
      </c>
      <c r="E3" s="1">
        <v>30</v>
      </c>
      <c r="F3" s="1">
        <v>38400</v>
      </c>
      <c r="G3" s="7">
        <f>222.28/100</f>
        <v>2.2227999999999999</v>
      </c>
      <c r="H3" s="7">
        <v>66.680000000000007</v>
      </c>
      <c r="I3" s="7">
        <v>85355.520000000004</v>
      </c>
      <c r="J3" s="2" t="s">
        <v>1</v>
      </c>
    </row>
    <row r="4" spans="1:10" x14ac:dyDescent="0.35">
      <c r="A4" t="s">
        <v>5</v>
      </c>
      <c r="B4" s="5" t="s">
        <v>203</v>
      </c>
      <c r="C4" s="2" t="s">
        <v>199</v>
      </c>
      <c r="D4" s="1">
        <v>1280</v>
      </c>
      <c r="E4" s="1">
        <v>30</v>
      </c>
      <c r="F4" s="1">
        <v>38400</v>
      </c>
      <c r="G4" s="7">
        <f>233.53/100</f>
        <v>2.3353000000000002</v>
      </c>
      <c r="H4" s="7">
        <v>70.06</v>
      </c>
      <c r="I4" s="7">
        <v>89675.520000000004</v>
      </c>
      <c r="J4" s="2" t="s">
        <v>1</v>
      </c>
    </row>
    <row r="5" spans="1:10" x14ac:dyDescent="0.35">
      <c r="A5" t="s">
        <v>6</v>
      </c>
      <c r="B5" s="5" t="s">
        <v>202</v>
      </c>
      <c r="C5" s="2" t="s">
        <v>204</v>
      </c>
      <c r="D5" s="1">
        <v>1320</v>
      </c>
      <c r="E5" s="1">
        <v>30</v>
      </c>
      <c r="F5" s="1">
        <v>39600</v>
      </c>
      <c r="G5" s="7">
        <f>232.02/100</f>
        <v>2.3202000000000003</v>
      </c>
      <c r="H5" s="7">
        <v>69.61</v>
      </c>
      <c r="I5" s="7">
        <v>91879.92</v>
      </c>
      <c r="J5" s="2" t="s">
        <v>1</v>
      </c>
    </row>
    <row r="6" spans="1:10" x14ac:dyDescent="0.35">
      <c r="A6" t="s">
        <v>7</v>
      </c>
      <c r="B6" s="5" t="s">
        <v>205</v>
      </c>
      <c r="C6" s="2" t="s">
        <v>204</v>
      </c>
      <c r="D6" s="1">
        <v>1320</v>
      </c>
      <c r="E6" s="1">
        <v>30</v>
      </c>
      <c r="F6" s="1">
        <v>39600</v>
      </c>
      <c r="G6" s="7">
        <f>222.01/100</f>
        <v>2.2201</v>
      </c>
      <c r="H6" s="7">
        <v>66.599999999999994</v>
      </c>
      <c r="I6" s="7">
        <v>87915.96</v>
      </c>
      <c r="J6" s="2" t="s">
        <v>1</v>
      </c>
    </row>
    <row r="7" spans="1:10" x14ac:dyDescent="0.35">
      <c r="A7" t="s">
        <v>8</v>
      </c>
      <c r="B7" s="5" t="s">
        <v>206</v>
      </c>
      <c r="C7" s="2" t="s">
        <v>204</v>
      </c>
      <c r="D7" s="1">
        <v>1320</v>
      </c>
      <c r="E7" s="1">
        <v>30</v>
      </c>
      <c r="F7" s="1">
        <v>39600</v>
      </c>
      <c r="G7" s="7">
        <f>223.29/100</f>
        <v>2.2328999999999999</v>
      </c>
      <c r="H7" s="7">
        <v>66.989999999999995</v>
      </c>
      <c r="I7" s="7">
        <v>88422.84</v>
      </c>
      <c r="J7" s="2" t="s">
        <v>1</v>
      </c>
    </row>
    <row r="8" spans="1:10" x14ac:dyDescent="0.35">
      <c r="A8" t="s">
        <v>9</v>
      </c>
      <c r="B8" s="5" t="s">
        <v>207</v>
      </c>
      <c r="C8" s="6" t="s">
        <v>212</v>
      </c>
      <c r="D8" s="1">
        <v>1344</v>
      </c>
      <c r="E8" s="1">
        <v>30</v>
      </c>
      <c r="F8" s="1">
        <v>40320</v>
      </c>
      <c r="G8" s="7">
        <f>200.06/100</f>
        <v>2.0005999999999999</v>
      </c>
      <c r="H8" s="7">
        <v>60.02</v>
      </c>
      <c r="I8" s="7">
        <v>80664.19</v>
      </c>
      <c r="J8" s="2" t="s">
        <v>1</v>
      </c>
    </row>
    <row r="9" spans="1:10" x14ac:dyDescent="0.35">
      <c r="A9" t="s">
        <v>10</v>
      </c>
      <c r="B9" s="5" t="s">
        <v>208</v>
      </c>
      <c r="C9" s="6" t="s">
        <v>213</v>
      </c>
      <c r="D9" s="1">
        <v>840</v>
      </c>
      <c r="E9" s="1">
        <v>48</v>
      </c>
      <c r="F9" s="1">
        <v>40320</v>
      </c>
      <c r="G9" s="7">
        <f>193.53/100</f>
        <v>1.9353</v>
      </c>
      <c r="H9" s="7">
        <v>92.89</v>
      </c>
      <c r="I9" s="7">
        <v>78031.3</v>
      </c>
      <c r="J9" s="2" t="s">
        <v>4</v>
      </c>
    </row>
    <row r="10" spans="1:10" x14ac:dyDescent="0.35">
      <c r="A10" t="s">
        <v>11</v>
      </c>
      <c r="B10" s="5" t="s">
        <v>209</v>
      </c>
      <c r="C10" s="6" t="s">
        <v>212</v>
      </c>
      <c r="D10" s="1">
        <v>1344</v>
      </c>
      <c r="E10" s="1">
        <v>30</v>
      </c>
      <c r="F10" s="1">
        <v>40320</v>
      </c>
      <c r="G10" s="7">
        <f>210.94/100</f>
        <v>2.1093999999999999</v>
      </c>
      <c r="H10" s="7">
        <v>63.28</v>
      </c>
      <c r="I10" s="7">
        <v>85051.01</v>
      </c>
      <c r="J10" s="2" t="s">
        <v>1</v>
      </c>
    </row>
    <row r="11" spans="1:10" x14ac:dyDescent="0.35">
      <c r="A11" t="s">
        <v>12</v>
      </c>
      <c r="B11" s="5" t="s">
        <v>214</v>
      </c>
      <c r="C11" s="8" t="s">
        <v>204</v>
      </c>
      <c r="D11" s="1">
        <v>1320</v>
      </c>
      <c r="E11" s="1">
        <v>30</v>
      </c>
      <c r="F11" s="1">
        <v>39600</v>
      </c>
      <c r="G11" s="7">
        <f>189.54/100</f>
        <v>1.8954</v>
      </c>
      <c r="H11" s="7">
        <v>56.86</v>
      </c>
      <c r="I11" s="7">
        <v>75057.84</v>
      </c>
      <c r="J11" s="2" t="s">
        <v>1</v>
      </c>
    </row>
    <row r="12" spans="1:10" x14ac:dyDescent="0.35">
      <c r="A12" t="s">
        <v>13</v>
      </c>
      <c r="B12" s="5" t="s">
        <v>215</v>
      </c>
      <c r="C12" s="8" t="s">
        <v>204</v>
      </c>
      <c r="D12" s="1">
        <v>1320</v>
      </c>
      <c r="E12" s="1">
        <v>30</v>
      </c>
      <c r="F12" s="1">
        <v>39600</v>
      </c>
      <c r="G12" s="7">
        <f>168.16/100</f>
        <v>1.6816</v>
      </c>
      <c r="H12" s="7">
        <v>50.45</v>
      </c>
      <c r="I12" s="7">
        <v>66591.360000000001</v>
      </c>
      <c r="J12" s="2" t="s">
        <v>1</v>
      </c>
    </row>
    <row r="13" spans="1:10" x14ac:dyDescent="0.35">
      <c r="A13" t="s">
        <v>14</v>
      </c>
      <c r="B13" s="5" t="s">
        <v>216</v>
      </c>
      <c r="C13" s="8" t="s">
        <v>217</v>
      </c>
      <c r="D13" s="1">
        <v>1334</v>
      </c>
      <c r="E13" s="1">
        <v>30</v>
      </c>
      <c r="F13" s="1">
        <v>40020</v>
      </c>
      <c r="G13" s="7">
        <f>93/100</f>
        <v>0.93</v>
      </c>
      <c r="H13" s="7">
        <v>27.9</v>
      </c>
      <c r="I13" s="7">
        <v>37218.6</v>
      </c>
      <c r="J13" s="2" t="s">
        <v>1</v>
      </c>
    </row>
    <row r="14" spans="1:10" x14ac:dyDescent="0.35">
      <c r="A14" t="s">
        <v>15</v>
      </c>
      <c r="B14" s="5" t="s">
        <v>218</v>
      </c>
      <c r="C14" s="6" t="s">
        <v>219</v>
      </c>
      <c r="D14" s="1">
        <v>0</v>
      </c>
      <c r="E14" s="1">
        <v>0</v>
      </c>
      <c r="F14" s="1">
        <v>48000</v>
      </c>
      <c r="G14" s="7">
        <f>63.69/100</f>
        <v>0.63690000000000002</v>
      </c>
      <c r="H14" s="7">
        <v>0</v>
      </c>
      <c r="I14" s="7">
        <v>30571.200000000001</v>
      </c>
      <c r="J14" s="2" t="s">
        <v>1</v>
      </c>
    </row>
    <row r="15" spans="1:10" x14ac:dyDescent="0.35">
      <c r="A15" t="s">
        <v>16</v>
      </c>
      <c r="B15" s="5" t="s">
        <v>223</v>
      </c>
      <c r="C15" s="8" t="s">
        <v>224</v>
      </c>
      <c r="D15" s="1">
        <v>1000</v>
      </c>
      <c r="E15" s="1">
        <v>40</v>
      </c>
      <c r="F15" s="1">
        <v>40000</v>
      </c>
      <c r="G15" s="7">
        <f>258.59/100</f>
        <v>2.5858999999999996</v>
      </c>
      <c r="H15" s="7">
        <v>103.44</v>
      </c>
      <c r="I15" s="7">
        <v>103436</v>
      </c>
      <c r="J15" s="2" t="s">
        <v>1</v>
      </c>
    </row>
    <row r="16" spans="1:10" x14ac:dyDescent="0.35">
      <c r="A16" t="s">
        <v>17</v>
      </c>
      <c r="B16" s="5" t="s">
        <v>225</v>
      </c>
      <c r="C16" s="8" t="s">
        <v>222</v>
      </c>
      <c r="D16" s="1">
        <v>0</v>
      </c>
      <c r="E16" s="1">
        <v>0</v>
      </c>
      <c r="F16" s="1">
        <v>36000</v>
      </c>
      <c r="G16" s="7">
        <f>106.67/100</f>
        <v>1.0667</v>
      </c>
      <c r="H16" s="7">
        <v>0</v>
      </c>
      <c r="I16" s="7">
        <v>38401.199999999997</v>
      </c>
      <c r="J16" s="2" t="s">
        <v>1</v>
      </c>
    </row>
    <row r="17" spans="1:10" x14ac:dyDescent="0.35">
      <c r="A17" t="s">
        <v>18</v>
      </c>
      <c r="B17" s="5" t="s">
        <v>226</v>
      </c>
      <c r="C17" s="8" t="s">
        <v>222</v>
      </c>
      <c r="D17" s="1">
        <v>0</v>
      </c>
      <c r="E17" s="1">
        <v>0</v>
      </c>
      <c r="F17" s="1">
        <v>36000</v>
      </c>
      <c r="G17" s="7">
        <f>48.71/100</f>
        <v>0.48710000000000003</v>
      </c>
      <c r="H17" s="7">
        <v>0</v>
      </c>
      <c r="I17" s="7">
        <v>17535.599999999999</v>
      </c>
      <c r="J17" s="2" t="s">
        <v>1</v>
      </c>
    </row>
    <row r="18" spans="1:10" x14ac:dyDescent="0.35">
      <c r="A18" t="s">
        <v>19</v>
      </c>
      <c r="B18" s="5" t="s">
        <v>227</v>
      </c>
      <c r="C18" s="8" t="s">
        <v>228</v>
      </c>
      <c r="D18" s="1">
        <v>1300</v>
      </c>
      <c r="E18" s="1">
        <v>30</v>
      </c>
      <c r="F18" s="1">
        <v>39000</v>
      </c>
      <c r="G18" s="7">
        <f>298.22/100</f>
        <v>2.9822000000000002</v>
      </c>
      <c r="H18" s="7">
        <v>89.47</v>
      </c>
      <c r="I18" s="7">
        <v>116305.8</v>
      </c>
      <c r="J18" s="2" t="s">
        <v>1</v>
      </c>
    </row>
    <row r="19" spans="1:10" x14ac:dyDescent="0.35">
      <c r="A19" s="13" t="s">
        <v>20</v>
      </c>
      <c r="B19" s="5" t="s">
        <v>229</v>
      </c>
      <c r="C19" s="6" t="s">
        <v>230</v>
      </c>
      <c r="D19" s="1">
        <v>1300</v>
      </c>
      <c r="E19" s="1">
        <v>30</v>
      </c>
      <c r="F19" s="1">
        <v>39000</v>
      </c>
      <c r="G19" s="7">
        <f>272.76/100</f>
        <v>2.7275999999999998</v>
      </c>
      <c r="H19" s="7">
        <v>81.83</v>
      </c>
      <c r="I19" s="7">
        <v>106376.4</v>
      </c>
      <c r="J19" s="2" t="s">
        <v>1</v>
      </c>
    </row>
    <row r="20" spans="1:10" x14ac:dyDescent="0.35">
      <c r="A20" t="s">
        <v>21</v>
      </c>
      <c r="B20" s="5" t="s">
        <v>231</v>
      </c>
      <c r="C20" s="6" t="s">
        <v>232</v>
      </c>
      <c r="D20" s="1">
        <v>1000</v>
      </c>
      <c r="E20" s="1">
        <v>40</v>
      </c>
      <c r="F20" s="1">
        <v>40000</v>
      </c>
      <c r="G20" s="7">
        <f>342.5/100</f>
        <v>3.4249999999999998</v>
      </c>
      <c r="H20" s="7">
        <v>137</v>
      </c>
      <c r="I20" s="7">
        <v>137000</v>
      </c>
      <c r="J20" s="2" t="s">
        <v>4</v>
      </c>
    </row>
    <row r="21" spans="1:10" x14ac:dyDescent="0.35">
      <c r="A21" t="s">
        <v>22</v>
      </c>
      <c r="B21" s="5" t="s">
        <v>233</v>
      </c>
      <c r="C21" s="6" t="s">
        <v>232</v>
      </c>
      <c r="D21" s="1">
        <v>1000</v>
      </c>
      <c r="E21" s="1">
        <v>40</v>
      </c>
      <c r="F21" s="1">
        <v>40000</v>
      </c>
      <c r="G21" s="7">
        <f>322/100</f>
        <v>3.22</v>
      </c>
      <c r="H21" s="7">
        <v>128.80000000000001</v>
      </c>
      <c r="I21" s="7">
        <v>128800</v>
      </c>
      <c r="J21" s="2" t="s">
        <v>4</v>
      </c>
    </row>
    <row r="22" spans="1:10" x14ac:dyDescent="0.35">
      <c r="A22" t="s">
        <v>23</v>
      </c>
      <c r="B22" s="5" t="s">
        <v>234</v>
      </c>
      <c r="C22" s="8" t="s">
        <v>222</v>
      </c>
      <c r="D22" s="1">
        <v>0</v>
      </c>
      <c r="E22" s="1">
        <v>0</v>
      </c>
      <c r="F22" s="1">
        <v>36000</v>
      </c>
      <c r="G22" s="7">
        <f>144.97/100</f>
        <v>1.4497</v>
      </c>
      <c r="H22" s="7">
        <v>0</v>
      </c>
      <c r="I22" s="7">
        <v>52189.2</v>
      </c>
      <c r="J22" s="2" t="s">
        <v>1</v>
      </c>
    </row>
    <row r="23" spans="1:10" x14ac:dyDescent="0.35">
      <c r="A23" t="s">
        <v>24</v>
      </c>
      <c r="B23" s="5" t="s">
        <v>235</v>
      </c>
      <c r="C23" s="8" t="s">
        <v>236</v>
      </c>
      <c r="D23" s="1">
        <v>1000</v>
      </c>
      <c r="E23" s="1">
        <v>40</v>
      </c>
      <c r="F23" s="1">
        <v>40000</v>
      </c>
      <c r="G23" s="7">
        <f>318.5/100</f>
        <v>3.1850000000000001</v>
      </c>
      <c r="H23" s="7">
        <v>127.4</v>
      </c>
      <c r="I23" s="7">
        <v>127400</v>
      </c>
      <c r="J23" s="2" t="s">
        <v>4</v>
      </c>
    </row>
    <row r="24" spans="1:10" x14ac:dyDescent="0.35">
      <c r="A24" t="s">
        <v>25</v>
      </c>
      <c r="B24" s="5" t="s">
        <v>237</v>
      </c>
      <c r="C24" s="8" t="s">
        <v>232</v>
      </c>
      <c r="D24" s="1">
        <v>1000</v>
      </c>
      <c r="E24" s="1">
        <v>40</v>
      </c>
      <c r="F24" s="1">
        <v>40000</v>
      </c>
      <c r="G24" s="7">
        <f>289.5/100</f>
        <v>2.895</v>
      </c>
      <c r="H24" s="7">
        <v>115.8</v>
      </c>
      <c r="I24" s="7">
        <v>115800</v>
      </c>
      <c r="J24" s="2" t="s">
        <v>4</v>
      </c>
    </row>
    <row r="25" spans="1:10" x14ac:dyDescent="0.35">
      <c r="A25" t="s">
        <v>26</v>
      </c>
      <c r="B25" s="5" t="s">
        <v>238</v>
      </c>
      <c r="C25" s="8" t="s">
        <v>239</v>
      </c>
      <c r="D25" s="1">
        <v>1000</v>
      </c>
      <c r="E25" s="1">
        <v>36</v>
      </c>
      <c r="F25" s="1">
        <v>36000</v>
      </c>
      <c r="G25" s="7">
        <f>420.35/100</f>
        <v>4.2035</v>
      </c>
      <c r="H25" s="7">
        <v>151.33000000000001</v>
      </c>
      <c r="I25" s="7">
        <v>151326</v>
      </c>
      <c r="J25" s="2" t="s">
        <v>1</v>
      </c>
    </row>
    <row r="26" spans="1:10" x14ac:dyDescent="0.35">
      <c r="A26" t="s">
        <v>27</v>
      </c>
      <c r="B26" s="5" t="s">
        <v>240</v>
      </c>
      <c r="C26" s="8" t="s">
        <v>221</v>
      </c>
      <c r="D26" s="1">
        <v>1000</v>
      </c>
      <c r="E26" s="1">
        <v>40</v>
      </c>
      <c r="F26" s="1">
        <v>40000</v>
      </c>
      <c r="G26" s="7">
        <f>378.49/100</f>
        <v>3.7848999999999999</v>
      </c>
      <c r="H26" s="7">
        <v>151.4</v>
      </c>
      <c r="I26" s="7">
        <v>151396</v>
      </c>
      <c r="J26" s="2" t="s">
        <v>1</v>
      </c>
    </row>
    <row r="27" spans="1:10" x14ac:dyDescent="0.35">
      <c r="A27" t="s">
        <v>28</v>
      </c>
      <c r="B27" s="5" t="s">
        <v>241</v>
      </c>
      <c r="C27" s="6" t="s">
        <v>242</v>
      </c>
      <c r="D27" s="1">
        <v>1000</v>
      </c>
      <c r="E27" s="1">
        <v>36</v>
      </c>
      <c r="F27" s="1">
        <v>36000</v>
      </c>
      <c r="G27" s="7">
        <f>203.93/100</f>
        <v>2.0392999999999999</v>
      </c>
      <c r="H27" s="7">
        <v>73.41</v>
      </c>
      <c r="I27" s="7">
        <v>73414.8</v>
      </c>
      <c r="J27" s="2" t="s">
        <v>1</v>
      </c>
    </row>
    <row r="28" spans="1:10" x14ac:dyDescent="0.35">
      <c r="A28" t="s">
        <v>29</v>
      </c>
      <c r="B28" s="5" t="s">
        <v>243</v>
      </c>
      <c r="C28" s="8" t="s">
        <v>244</v>
      </c>
      <c r="D28" s="1">
        <v>0</v>
      </c>
      <c r="E28" s="1">
        <v>0</v>
      </c>
      <c r="F28" s="1">
        <v>42000</v>
      </c>
      <c r="G28" s="7">
        <f>356.55/100</f>
        <v>3.5655000000000001</v>
      </c>
      <c r="H28" s="7">
        <v>0</v>
      </c>
      <c r="I28" s="7">
        <v>149751</v>
      </c>
      <c r="J28" s="2" t="s">
        <v>1</v>
      </c>
    </row>
    <row r="29" spans="1:10" x14ac:dyDescent="0.35">
      <c r="A29" t="s">
        <v>30</v>
      </c>
      <c r="B29" s="5" t="s">
        <v>245</v>
      </c>
      <c r="C29" s="8" t="s">
        <v>246</v>
      </c>
      <c r="D29" s="1">
        <v>0</v>
      </c>
      <c r="E29" s="1">
        <v>0</v>
      </c>
      <c r="F29" s="1">
        <v>40000</v>
      </c>
      <c r="G29" s="7">
        <f>350/100</f>
        <v>3.5</v>
      </c>
      <c r="H29" s="7">
        <v>0</v>
      </c>
      <c r="I29" s="7">
        <v>140000</v>
      </c>
      <c r="J29" s="2" t="s">
        <v>1</v>
      </c>
    </row>
    <row r="30" spans="1:10" x14ac:dyDescent="0.35">
      <c r="A30" t="s">
        <v>31</v>
      </c>
      <c r="B30" s="5" t="s">
        <v>247</v>
      </c>
      <c r="C30" s="8" t="s">
        <v>244</v>
      </c>
      <c r="D30" s="1">
        <v>0</v>
      </c>
      <c r="E30" s="1">
        <v>0</v>
      </c>
      <c r="F30" s="1">
        <v>42000</v>
      </c>
      <c r="G30" s="7">
        <f>537.39/100</f>
        <v>5.3738999999999999</v>
      </c>
      <c r="H30" s="7">
        <v>0</v>
      </c>
      <c r="I30" s="7">
        <v>225703.8</v>
      </c>
      <c r="J30" s="2" t="s">
        <v>1</v>
      </c>
    </row>
    <row r="31" spans="1:10" x14ac:dyDescent="0.35">
      <c r="A31" t="s">
        <v>32</v>
      </c>
      <c r="B31" s="5" t="s">
        <v>248</v>
      </c>
      <c r="C31" s="8" t="s">
        <v>249</v>
      </c>
      <c r="D31" s="1">
        <v>1000</v>
      </c>
      <c r="E31" s="1">
        <v>40</v>
      </c>
      <c r="F31" s="1">
        <v>40000</v>
      </c>
      <c r="G31" s="7">
        <f>354.77/100</f>
        <v>3.5476999999999999</v>
      </c>
      <c r="H31" s="7">
        <v>141.91</v>
      </c>
      <c r="I31" s="7">
        <v>141908</v>
      </c>
      <c r="J31" s="2" t="s">
        <v>1</v>
      </c>
    </row>
    <row r="32" spans="1:10" x14ac:dyDescent="0.35">
      <c r="A32" t="s">
        <v>33</v>
      </c>
      <c r="B32" s="5" t="s">
        <v>250</v>
      </c>
      <c r="C32" s="8" t="s">
        <v>249</v>
      </c>
      <c r="D32" s="1">
        <v>950</v>
      </c>
      <c r="E32" s="1">
        <v>40</v>
      </c>
      <c r="F32" s="1">
        <v>38000</v>
      </c>
      <c r="G32" s="7">
        <f>463.45/100</f>
        <v>4.6345000000000001</v>
      </c>
      <c r="H32" s="7">
        <v>185.38</v>
      </c>
      <c r="I32" s="7">
        <v>176111</v>
      </c>
      <c r="J32" s="2" t="s">
        <v>1</v>
      </c>
    </row>
    <row r="33" spans="1:10" x14ac:dyDescent="0.35">
      <c r="A33" t="s">
        <v>34</v>
      </c>
      <c r="B33" s="5" t="s">
        <v>251</v>
      </c>
      <c r="C33" s="8" t="s">
        <v>252</v>
      </c>
      <c r="D33" s="1">
        <v>1000</v>
      </c>
      <c r="E33" s="1">
        <v>40</v>
      </c>
      <c r="F33" s="1">
        <v>40000</v>
      </c>
      <c r="G33" s="7">
        <f>284.88/100</f>
        <v>2.8487999999999998</v>
      </c>
      <c r="H33" s="7">
        <v>113.95</v>
      </c>
      <c r="I33" s="7">
        <v>113952</v>
      </c>
      <c r="J33" s="2" t="s">
        <v>4</v>
      </c>
    </row>
    <row r="34" spans="1:10" x14ac:dyDescent="0.35">
      <c r="A34" t="s">
        <v>35</v>
      </c>
      <c r="B34" s="9" t="s">
        <v>253</v>
      </c>
      <c r="C34" s="8" t="s">
        <v>254</v>
      </c>
      <c r="D34" s="1">
        <v>1000</v>
      </c>
      <c r="E34" s="1">
        <v>40</v>
      </c>
      <c r="F34" s="1">
        <v>40000</v>
      </c>
      <c r="G34" s="7">
        <f>255/100</f>
        <v>2.5499999999999998</v>
      </c>
      <c r="H34" s="7">
        <v>102</v>
      </c>
      <c r="I34" s="7">
        <v>102000</v>
      </c>
      <c r="J34" s="2" t="s">
        <v>1</v>
      </c>
    </row>
    <row r="35" spans="1:10" x14ac:dyDescent="0.35">
      <c r="A35" t="s">
        <v>36</v>
      </c>
      <c r="B35" s="9" t="s">
        <v>255</v>
      </c>
      <c r="C35" s="8" t="s">
        <v>256</v>
      </c>
      <c r="D35" s="1">
        <v>1000</v>
      </c>
      <c r="E35" s="1">
        <v>40</v>
      </c>
      <c r="F35" s="1">
        <v>40000</v>
      </c>
      <c r="G35" s="7">
        <f>272.22/100</f>
        <v>2.7222000000000004</v>
      </c>
      <c r="H35" s="7">
        <v>108.89</v>
      </c>
      <c r="I35" s="7">
        <v>108888</v>
      </c>
      <c r="J35" s="2" t="s">
        <v>1</v>
      </c>
    </row>
    <row r="36" spans="1:10" x14ac:dyDescent="0.35">
      <c r="A36" t="s">
        <v>37</v>
      </c>
      <c r="B36" s="9" t="s">
        <v>257</v>
      </c>
      <c r="C36" s="8" t="s">
        <v>224</v>
      </c>
      <c r="D36" s="1">
        <v>1000</v>
      </c>
      <c r="E36" s="1">
        <v>40</v>
      </c>
      <c r="F36" s="1">
        <v>40000</v>
      </c>
      <c r="G36" s="7">
        <f>299.71/100</f>
        <v>2.9970999999999997</v>
      </c>
      <c r="H36" s="7">
        <v>119.88</v>
      </c>
      <c r="I36" s="7">
        <v>119884</v>
      </c>
      <c r="J36" s="2" t="s">
        <v>1</v>
      </c>
    </row>
    <row r="37" spans="1:10" x14ac:dyDescent="0.35">
      <c r="A37" t="s">
        <v>38</v>
      </c>
      <c r="B37" s="5" t="s">
        <v>258</v>
      </c>
      <c r="C37" s="8" t="s">
        <v>244</v>
      </c>
      <c r="D37" s="1">
        <v>0</v>
      </c>
      <c r="E37" s="1">
        <v>0</v>
      </c>
      <c r="F37" s="1">
        <v>40020</v>
      </c>
      <c r="G37" s="7">
        <f>164.83/100</f>
        <v>1.6483000000000001</v>
      </c>
      <c r="H37" s="7">
        <v>0</v>
      </c>
      <c r="I37" s="7">
        <v>65964.97</v>
      </c>
      <c r="J37" s="2" t="s">
        <v>1</v>
      </c>
    </row>
    <row r="38" spans="1:10" x14ac:dyDescent="0.35">
      <c r="A38" t="s">
        <v>39</v>
      </c>
      <c r="B38" s="5" t="s">
        <v>259</v>
      </c>
      <c r="C38" s="8" t="s">
        <v>260</v>
      </c>
      <c r="D38" s="1">
        <v>1440</v>
      </c>
      <c r="E38" s="1">
        <v>24.937999999999999</v>
      </c>
      <c r="F38" s="1">
        <v>35910</v>
      </c>
      <c r="G38" s="7">
        <f>189.19/100</f>
        <v>1.8918999999999999</v>
      </c>
      <c r="H38" s="7">
        <v>47.18</v>
      </c>
      <c r="I38" s="7">
        <v>67938.13</v>
      </c>
      <c r="J38" s="2" t="s">
        <v>1</v>
      </c>
    </row>
    <row r="39" spans="1:10" x14ac:dyDescent="0.35">
      <c r="A39" t="s">
        <v>40</v>
      </c>
      <c r="B39" s="5" t="s">
        <v>261</v>
      </c>
      <c r="C39" s="8" t="s">
        <v>224</v>
      </c>
      <c r="D39" s="1">
        <v>1000</v>
      </c>
      <c r="E39" s="1">
        <v>40</v>
      </c>
      <c r="F39" s="1">
        <v>40000</v>
      </c>
      <c r="G39" s="7">
        <f>756.5/100</f>
        <v>7.5650000000000004</v>
      </c>
      <c r="H39" s="7">
        <v>302.60000000000002</v>
      </c>
      <c r="I39" s="7">
        <v>302600</v>
      </c>
      <c r="J39" s="2" t="s">
        <v>1</v>
      </c>
    </row>
    <row r="40" spans="1:10" x14ac:dyDescent="0.35">
      <c r="A40" t="s">
        <v>41</v>
      </c>
      <c r="B40" s="5" t="s">
        <v>262</v>
      </c>
      <c r="C40" s="6" t="s">
        <v>263</v>
      </c>
      <c r="D40" s="1">
        <v>912</v>
      </c>
      <c r="E40" s="1">
        <v>39</v>
      </c>
      <c r="F40" s="1">
        <v>35568</v>
      </c>
      <c r="G40" s="7">
        <f>102.66/100</f>
        <v>1.0266</v>
      </c>
      <c r="H40" s="7">
        <v>40.04</v>
      </c>
      <c r="I40" s="7">
        <v>36514.11</v>
      </c>
      <c r="J40" s="2" t="s">
        <v>1</v>
      </c>
    </row>
    <row r="41" spans="1:10" x14ac:dyDescent="0.35">
      <c r="A41" t="s">
        <v>42</v>
      </c>
      <c r="B41" s="5" t="s">
        <v>264</v>
      </c>
      <c r="C41" s="6" t="s">
        <v>263</v>
      </c>
      <c r="D41" s="1">
        <v>912</v>
      </c>
      <c r="E41" s="1">
        <v>39.75</v>
      </c>
      <c r="F41" s="1">
        <v>36252</v>
      </c>
      <c r="G41" s="7">
        <f>84.64/100</f>
        <v>0.84640000000000004</v>
      </c>
      <c r="H41" s="7">
        <v>33.64</v>
      </c>
      <c r="I41" s="7">
        <v>30683.69</v>
      </c>
      <c r="J41" s="2" t="s">
        <v>1</v>
      </c>
    </row>
    <row r="42" spans="1:10" x14ac:dyDescent="0.35">
      <c r="A42" t="s">
        <v>43</v>
      </c>
      <c r="B42" s="5" t="s">
        <v>265</v>
      </c>
      <c r="C42" s="8" t="s">
        <v>263</v>
      </c>
      <c r="D42" s="1">
        <v>912</v>
      </c>
      <c r="E42" s="1">
        <v>40.5</v>
      </c>
      <c r="F42" s="1">
        <v>36936</v>
      </c>
      <c r="G42" s="7">
        <f>97.87/100</f>
        <v>0.97870000000000001</v>
      </c>
      <c r="H42" s="7">
        <v>39.64</v>
      </c>
      <c r="I42" s="7">
        <v>36149.26</v>
      </c>
      <c r="J42" s="2" t="s">
        <v>1</v>
      </c>
    </row>
    <row r="43" spans="1:10" x14ac:dyDescent="0.35">
      <c r="A43" t="s">
        <v>44</v>
      </c>
      <c r="B43" s="5" t="s">
        <v>266</v>
      </c>
      <c r="C43" s="6" t="s">
        <v>263</v>
      </c>
      <c r="D43" s="1">
        <v>912</v>
      </c>
      <c r="E43" s="1">
        <v>39.75</v>
      </c>
      <c r="F43" s="1">
        <v>36252</v>
      </c>
      <c r="G43" s="7">
        <f>81.44/100</f>
        <v>0.81440000000000001</v>
      </c>
      <c r="H43" s="7">
        <v>32.369999999999997</v>
      </c>
      <c r="I43" s="7">
        <v>29523.63</v>
      </c>
      <c r="J43" s="2" t="s">
        <v>1</v>
      </c>
    </row>
    <row r="44" spans="1:10" x14ac:dyDescent="0.35">
      <c r="A44" t="s">
        <v>45</v>
      </c>
      <c r="B44" s="5" t="s">
        <v>267</v>
      </c>
      <c r="C44" s="8" t="s">
        <v>263</v>
      </c>
      <c r="D44" s="1">
        <v>912</v>
      </c>
      <c r="E44" s="1">
        <v>39.75</v>
      </c>
      <c r="F44" s="1">
        <v>36252</v>
      </c>
      <c r="G44" s="7">
        <f>89.01/100</f>
        <v>0.8901</v>
      </c>
      <c r="H44" s="7">
        <v>35.380000000000003</v>
      </c>
      <c r="I44" s="7">
        <v>32267.91</v>
      </c>
      <c r="J44" s="2" t="s">
        <v>1</v>
      </c>
    </row>
    <row r="45" spans="1:10" x14ac:dyDescent="0.35">
      <c r="A45" t="s">
        <v>46</v>
      </c>
      <c r="B45" s="5" t="s">
        <v>268</v>
      </c>
      <c r="C45" s="8" t="s">
        <v>263</v>
      </c>
      <c r="D45" s="1">
        <v>912</v>
      </c>
      <c r="E45" s="1">
        <v>39.5</v>
      </c>
      <c r="F45" s="1">
        <v>36024</v>
      </c>
      <c r="G45" s="7">
        <f>86.69/100</f>
        <v>0.8669</v>
      </c>
      <c r="H45" s="7">
        <v>34.24</v>
      </c>
      <c r="I45" s="7">
        <v>31229.21</v>
      </c>
      <c r="J45" s="2" t="s">
        <v>1</v>
      </c>
    </row>
    <row r="46" spans="1:10" x14ac:dyDescent="0.35">
      <c r="A46" t="s">
        <v>47</v>
      </c>
      <c r="B46" s="5" t="s">
        <v>269</v>
      </c>
      <c r="C46" s="8" t="s">
        <v>263</v>
      </c>
      <c r="D46" s="1">
        <v>912</v>
      </c>
      <c r="E46" s="1">
        <v>39.5</v>
      </c>
      <c r="F46" s="1">
        <v>36024</v>
      </c>
      <c r="G46" s="7">
        <f>87.94/100</f>
        <v>0.87939999999999996</v>
      </c>
      <c r="H46" s="7">
        <v>34.74</v>
      </c>
      <c r="I46" s="7">
        <v>31679.51</v>
      </c>
      <c r="J46" s="2" t="s">
        <v>1</v>
      </c>
    </row>
    <row r="47" spans="1:10" x14ac:dyDescent="0.35">
      <c r="A47" t="s">
        <v>48</v>
      </c>
      <c r="B47" s="5" t="s">
        <v>270</v>
      </c>
      <c r="C47" s="8" t="s">
        <v>263</v>
      </c>
      <c r="D47" s="1">
        <v>912</v>
      </c>
      <c r="E47" s="1">
        <v>39.5</v>
      </c>
      <c r="F47" s="1">
        <v>36024</v>
      </c>
      <c r="G47" s="7">
        <f>91.66/100</f>
        <v>0.91659999999999997</v>
      </c>
      <c r="H47" s="7">
        <v>36.21</v>
      </c>
      <c r="I47" s="7">
        <v>33019.599999999999</v>
      </c>
      <c r="J47" s="2" t="s">
        <v>1</v>
      </c>
    </row>
    <row r="48" spans="1:10" x14ac:dyDescent="0.35">
      <c r="A48" t="s">
        <v>49</v>
      </c>
      <c r="B48" s="5" t="s">
        <v>271</v>
      </c>
      <c r="C48" s="8" t="s">
        <v>272</v>
      </c>
      <c r="D48" s="1">
        <v>1320</v>
      </c>
      <c r="E48" s="1">
        <v>30</v>
      </c>
      <c r="F48" s="1">
        <v>39600</v>
      </c>
      <c r="G48" s="7">
        <f>143/100</f>
        <v>1.43</v>
      </c>
      <c r="H48" s="7">
        <v>42.9</v>
      </c>
      <c r="I48" s="7">
        <v>56628</v>
      </c>
      <c r="J48" s="2" t="s">
        <v>1</v>
      </c>
    </row>
    <row r="49" spans="1:10" x14ac:dyDescent="0.35">
      <c r="A49" t="s">
        <v>50</v>
      </c>
      <c r="B49" s="5" t="s">
        <v>273</v>
      </c>
      <c r="C49" s="8" t="s">
        <v>274</v>
      </c>
      <c r="D49" s="1">
        <v>1452</v>
      </c>
      <c r="E49" s="1">
        <v>24</v>
      </c>
      <c r="F49" s="1">
        <v>34848</v>
      </c>
      <c r="G49" s="7">
        <f>148.04/100</f>
        <v>1.4803999999999999</v>
      </c>
      <c r="H49" s="7">
        <v>35.53</v>
      </c>
      <c r="I49" s="7">
        <v>51588.98</v>
      </c>
      <c r="J49" s="2" t="s">
        <v>1</v>
      </c>
    </row>
    <row r="50" spans="1:10" x14ac:dyDescent="0.35">
      <c r="A50" t="s">
        <v>51</v>
      </c>
      <c r="B50" s="5" t="s">
        <v>273</v>
      </c>
      <c r="C50" s="8" t="s">
        <v>275</v>
      </c>
      <c r="D50" s="1">
        <v>1900</v>
      </c>
      <c r="E50" s="1">
        <v>20</v>
      </c>
      <c r="F50" s="1">
        <v>38000</v>
      </c>
      <c r="G50" s="7">
        <f>119.45/100</f>
        <v>1.1945000000000001</v>
      </c>
      <c r="H50" s="7">
        <v>23.89</v>
      </c>
      <c r="I50" s="7">
        <v>45391</v>
      </c>
      <c r="J50" s="2" t="s">
        <v>1</v>
      </c>
    </row>
    <row r="51" spans="1:10" x14ac:dyDescent="0.35">
      <c r="A51" t="s">
        <v>52</v>
      </c>
      <c r="B51" s="5" t="s">
        <v>276</v>
      </c>
      <c r="C51" s="8" t="s">
        <v>277</v>
      </c>
      <c r="D51" s="1">
        <v>1400</v>
      </c>
      <c r="E51" s="1">
        <v>26.4</v>
      </c>
      <c r="F51" s="1">
        <v>36960</v>
      </c>
      <c r="G51" s="7">
        <f>155.25/100</f>
        <v>1.5525</v>
      </c>
      <c r="H51" s="7">
        <v>40.99</v>
      </c>
      <c r="I51" s="7">
        <v>57380.4</v>
      </c>
      <c r="J51" s="2" t="s">
        <v>1</v>
      </c>
    </row>
    <row r="52" spans="1:10" x14ac:dyDescent="0.35">
      <c r="A52" t="s">
        <v>53</v>
      </c>
      <c r="B52" s="5" t="s">
        <v>278</v>
      </c>
      <c r="C52" s="8" t="s">
        <v>279</v>
      </c>
      <c r="D52" s="1">
        <v>1440</v>
      </c>
      <c r="E52" s="1">
        <v>24</v>
      </c>
      <c r="F52" s="1">
        <v>34560</v>
      </c>
      <c r="G52" s="7">
        <f>205.12/100</f>
        <v>2.0512000000000001</v>
      </c>
      <c r="H52" s="7">
        <v>49.23</v>
      </c>
      <c r="I52" s="7">
        <v>70889.47</v>
      </c>
      <c r="J52" s="2" t="s">
        <v>1</v>
      </c>
    </row>
    <row r="53" spans="1:10" x14ac:dyDescent="0.35">
      <c r="A53" t="s">
        <v>54</v>
      </c>
      <c r="B53" s="5" t="s">
        <v>278</v>
      </c>
      <c r="C53" s="8" t="s">
        <v>212</v>
      </c>
      <c r="D53" s="1">
        <v>1320</v>
      </c>
      <c r="E53" s="1">
        <v>30</v>
      </c>
      <c r="F53" s="1">
        <v>39600</v>
      </c>
      <c r="G53" s="7">
        <f>194.73/100</f>
        <v>1.9472999999999998</v>
      </c>
      <c r="H53" s="7">
        <v>58.42</v>
      </c>
      <c r="I53" s="7">
        <v>77113.08</v>
      </c>
      <c r="J53" s="2" t="s">
        <v>1</v>
      </c>
    </row>
    <row r="54" spans="1:10" x14ac:dyDescent="0.35">
      <c r="A54" t="s">
        <v>55</v>
      </c>
      <c r="B54" s="5" t="s">
        <v>280</v>
      </c>
      <c r="C54" s="6" t="s">
        <v>281</v>
      </c>
      <c r="D54" s="1">
        <v>1320</v>
      </c>
      <c r="E54" s="1">
        <v>30</v>
      </c>
      <c r="F54" s="1">
        <v>39600</v>
      </c>
      <c r="G54" s="7">
        <f>160.06/100</f>
        <v>1.6006</v>
      </c>
      <c r="H54" s="7">
        <v>48.02</v>
      </c>
      <c r="I54" s="7">
        <v>63383.76</v>
      </c>
      <c r="J54" s="2" t="s">
        <v>1</v>
      </c>
    </row>
    <row r="55" spans="1:10" x14ac:dyDescent="0.35">
      <c r="A55" t="s">
        <v>56</v>
      </c>
      <c r="B55" s="5" t="s">
        <v>282</v>
      </c>
      <c r="C55" s="6" t="s">
        <v>283</v>
      </c>
      <c r="D55" s="1">
        <v>1400</v>
      </c>
      <c r="E55" s="1">
        <v>27</v>
      </c>
      <c r="F55" s="1">
        <v>37800</v>
      </c>
      <c r="G55" s="7">
        <f>186.73/100</f>
        <v>1.8673</v>
      </c>
      <c r="H55" s="7">
        <v>50.42</v>
      </c>
      <c r="I55" s="7">
        <v>70583.94</v>
      </c>
      <c r="J55" s="2" t="s">
        <v>1</v>
      </c>
    </row>
    <row r="56" spans="1:10" x14ac:dyDescent="0.35">
      <c r="A56" t="s">
        <v>57</v>
      </c>
      <c r="B56" s="5" t="s">
        <v>284</v>
      </c>
      <c r="C56" s="6" t="s">
        <v>212</v>
      </c>
      <c r="D56" s="1">
        <v>1320</v>
      </c>
      <c r="E56" s="1">
        <v>30</v>
      </c>
      <c r="F56" s="1">
        <v>39600</v>
      </c>
      <c r="G56" s="7">
        <f>82.75/100</f>
        <v>0.82750000000000001</v>
      </c>
      <c r="H56" s="7">
        <v>24.83</v>
      </c>
      <c r="I56" s="7">
        <v>32769</v>
      </c>
      <c r="J56" s="2" t="s">
        <v>1</v>
      </c>
    </row>
    <row r="57" spans="1:10" x14ac:dyDescent="0.35">
      <c r="A57" t="s">
        <v>58</v>
      </c>
      <c r="B57" s="5" t="s">
        <v>285</v>
      </c>
      <c r="C57" s="8" t="s">
        <v>283</v>
      </c>
      <c r="D57" s="1">
        <v>1400</v>
      </c>
      <c r="E57" s="1">
        <v>26.4</v>
      </c>
      <c r="F57" s="1">
        <v>36960</v>
      </c>
      <c r="G57" s="7">
        <f>150.89/100</f>
        <v>1.5088999999999999</v>
      </c>
      <c r="H57" s="7">
        <v>39.83</v>
      </c>
      <c r="I57" s="7">
        <v>55768.94</v>
      </c>
      <c r="J57" s="2" t="s">
        <v>1</v>
      </c>
    </row>
    <row r="58" spans="1:10" x14ac:dyDescent="0.35">
      <c r="A58" t="s">
        <v>59</v>
      </c>
      <c r="B58" s="5" t="s">
        <v>286</v>
      </c>
      <c r="C58" s="6" t="s">
        <v>287</v>
      </c>
      <c r="D58" s="1">
        <v>1920</v>
      </c>
      <c r="E58" s="1">
        <v>19</v>
      </c>
      <c r="F58" s="1">
        <v>36480</v>
      </c>
      <c r="G58" s="7">
        <f>82.77/100</f>
        <v>0.82769999999999999</v>
      </c>
      <c r="H58" s="7">
        <v>15.73</v>
      </c>
      <c r="I58" s="7">
        <v>30194.5</v>
      </c>
      <c r="J58" s="2" t="s">
        <v>1</v>
      </c>
    </row>
    <row r="59" spans="1:10" x14ac:dyDescent="0.35">
      <c r="A59" t="s">
        <v>60</v>
      </c>
      <c r="B59" s="5" t="s">
        <v>288</v>
      </c>
      <c r="C59" s="8" t="s">
        <v>289</v>
      </c>
      <c r="D59" s="1">
        <v>1026</v>
      </c>
      <c r="E59" s="1">
        <v>36.5</v>
      </c>
      <c r="F59" s="1">
        <v>37449</v>
      </c>
      <c r="G59" s="7">
        <f>53.84/100</f>
        <v>0.53839999999999999</v>
      </c>
      <c r="H59" s="7">
        <v>19.649999999999999</v>
      </c>
      <c r="I59" s="7">
        <v>20162.54</v>
      </c>
      <c r="J59" s="2" t="s">
        <v>1</v>
      </c>
    </row>
    <row r="60" spans="1:10" x14ac:dyDescent="0.35">
      <c r="A60" t="s">
        <v>61</v>
      </c>
      <c r="B60" s="5" t="s">
        <v>290</v>
      </c>
      <c r="C60" s="8" t="s">
        <v>291</v>
      </c>
      <c r="D60" s="1">
        <v>2964</v>
      </c>
      <c r="E60" s="1">
        <v>12</v>
      </c>
      <c r="F60" s="1">
        <v>35568</v>
      </c>
      <c r="G60" s="7">
        <f>233.8/100</f>
        <v>2.3380000000000001</v>
      </c>
      <c r="H60" s="7">
        <v>28.06</v>
      </c>
      <c r="I60" s="7">
        <v>83157.98</v>
      </c>
      <c r="J60" s="2" t="s">
        <v>1</v>
      </c>
    </row>
    <row r="61" spans="1:10" x14ac:dyDescent="0.35">
      <c r="A61" t="s">
        <v>62</v>
      </c>
      <c r="B61" s="5" t="s">
        <v>292</v>
      </c>
      <c r="C61" s="8" t="s">
        <v>293</v>
      </c>
      <c r="D61" s="1">
        <v>1848</v>
      </c>
      <c r="E61" s="1">
        <v>16</v>
      </c>
      <c r="F61" s="1">
        <v>29568</v>
      </c>
      <c r="G61" s="7">
        <f>436/100</f>
        <v>4.3600000000000003</v>
      </c>
      <c r="H61" s="7">
        <v>69.760000000000005</v>
      </c>
      <c r="I61" s="7">
        <v>128916.48</v>
      </c>
      <c r="J61" s="2" t="s">
        <v>1</v>
      </c>
    </row>
    <row r="62" spans="1:10" x14ac:dyDescent="0.35">
      <c r="A62" t="s">
        <v>63</v>
      </c>
      <c r="B62" s="5" t="s">
        <v>294</v>
      </c>
      <c r="C62" s="6" t="s">
        <v>263</v>
      </c>
      <c r="D62" s="1">
        <v>912</v>
      </c>
      <c r="E62" s="1">
        <v>38</v>
      </c>
      <c r="F62" s="1">
        <v>34656</v>
      </c>
      <c r="G62" s="7">
        <f>52.75/100</f>
        <v>0.52749999999999997</v>
      </c>
      <c r="H62" s="7">
        <v>20.05</v>
      </c>
      <c r="I62" s="7">
        <v>18281.04</v>
      </c>
      <c r="J62" s="2" t="s">
        <v>1</v>
      </c>
    </row>
    <row r="63" spans="1:10" x14ac:dyDescent="0.35">
      <c r="A63" t="s">
        <v>64</v>
      </c>
      <c r="B63" s="5" t="s">
        <v>295</v>
      </c>
      <c r="C63" s="6" t="s">
        <v>263</v>
      </c>
      <c r="D63" s="1">
        <v>912</v>
      </c>
      <c r="E63" s="1">
        <v>39.5</v>
      </c>
      <c r="F63" s="1">
        <v>36024</v>
      </c>
      <c r="G63" s="7">
        <f>72.2/100</f>
        <v>0.72199999999999998</v>
      </c>
      <c r="H63" s="7">
        <v>28.52</v>
      </c>
      <c r="I63" s="7">
        <v>26009.33</v>
      </c>
      <c r="J63" s="2" t="s">
        <v>1</v>
      </c>
    </row>
    <row r="64" spans="1:10" x14ac:dyDescent="0.35">
      <c r="A64" t="s">
        <v>65</v>
      </c>
      <c r="B64" s="5" t="s">
        <v>296</v>
      </c>
      <c r="C64" s="6" t="s">
        <v>263</v>
      </c>
      <c r="D64" s="1">
        <v>912</v>
      </c>
      <c r="E64" s="1">
        <v>39.75</v>
      </c>
      <c r="F64" s="1">
        <v>36252</v>
      </c>
      <c r="G64" s="7">
        <f>56.85/100</f>
        <v>0.56850000000000001</v>
      </c>
      <c r="H64" s="7">
        <v>22.6</v>
      </c>
      <c r="I64" s="7">
        <v>20609.259999999998</v>
      </c>
      <c r="J64" s="2" t="s">
        <v>1</v>
      </c>
    </row>
    <row r="65" spans="1:10" x14ac:dyDescent="0.35">
      <c r="A65" t="s">
        <v>66</v>
      </c>
      <c r="B65" s="5" t="s">
        <v>297</v>
      </c>
      <c r="C65" s="6" t="s">
        <v>263</v>
      </c>
      <c r="D65" s="1">
        <v>912</v>
      </c>
      <c r="E65" s="1">
        <v>39.5</v>
      </c>
      <c r="F65" s="1">
        <v>36024</v>
      </c>
      <c r="G65" s="7">
        <f>76.93/100</f>
        <v>0.76930000000000009</v>
      </c>
      <c r="H65" s="7">
        <v>30.39</v>
      </c>
      <c r="I65" s="7">
        <v>27713.26</v>
      </c>
      <c r="J65" s="2" t="s">
        <v>1</v>
      </c>
    </row>
    <row r="66" spans="1:10" x14ac:dyDescent="0.35">
      <c r="A66" t="s">
        <v>67</v>
      </c>
      <c r="B66" s="5" t="s">
        <v>298</v>
      </c>
      <c r="C66" s="6" t="s">
        <v>263</v>
      </c>
      <c r="D66" s="1">
        <v>912</v>
      </c>
      <c r="E66" s="1">
        <v>40.5</v>
      </c>
      <c r="F66" s="1">
        <v>36936</v>
      </c>
      <c r="G66" s="7">
        <f>83.03/100</f>
        <v>0.83030000000000004</v>
      </c>
      <c r="H66" s="7">
        <v>33.630000000000003</v>
      </c>
      <c r="I66" s="7">
        <v>30667.96</v>
      </c>
      <c r="J66" s="2" t="s">
        <v>1</v>
      </c>
    </row>
    <row r="67" spans="1:10" x14ac:dyDescent="0.35">
      <c r="A67" t="s">
        <v>68</v>
      </c>
      <c r="B67" s="5" t="s">
        <v>299</v>
      </c>
      <c r="C67" s="6" t="s">
        <v>263</v>
      </c>
      <c r="D67" s="1">
        <v>912</v>
      </c>
      <c r="E67" s="1">
        <v>41.62</v>
      </c>
      <c r="F67" s="1">
        <v>37962</v>
      </c>
      <c r="G67" s="7">
        <f>75.83/100</f>
        <v>0.75829999999999997</v>
      </c>
      <c r="H67" s="7">
        <v>31.56</v>
      </c>
      <c r="I67" s="7">
        <v>28786.58</v>
      </c>
      <c r="J67" s="2" t="s">
        <v>1</v>
      </c>
    </row>
    <row r="68" spans="1:10" x14ac:dyDescent="0.35">
      <c r="A68" t="s">
        <v>69</v>
      </c>
      <c r="B68" s="5" t="s">
        <v>300</v>
      </c>
      <c r="C68" s="6" t="s">
        <v>263</v>
      </c>
      <c r="D68" s="1">
        <v>912</v>
      </c>
      <c r="E68" s="1">
        <v>38.25</v>
      </c>
      <c r="F68" s="1">
        <v>34884</v>
      </c>
      <c r="G68" s="7">
        <f>47.54/100</f>
        <v>0.47539999999999999</v>
      </c>
      <c r="H68" s="7">
        <v>18.18</v>
      </c>
      <c r="I68" s="7">
        <v>16583.849999999999</v>
      </c>
      <c r="J68" s="2" t="s">
        <v>1</v>
      </c>
    </row>
    <row r="69" spans="1:10" x14ac:dyDescent="0.35">
      <c r="A69" t="s">
        <v>70</v>
      </c>
      <c r="B69" s="5" t="s">
        <v>301</v>
      </c>
      <c r="C69" s="6" t="s">
        <v>263</v>
      </c>
      <c r="D69" s="1">
        <v>912</v>
      </c>
      <c r="E69" s="1">
        <v>39.75</v>
      </c>
      <c r="F69" s="1">
        <v>36252</v>
      </c>
      <c r="G69" s="7">
        <f>73.62/100</f>
        <v>0.73620000000000008</v>
      </c>
      <c r="H69" s="7">
        <v>29.26</v>
      </c>
      <c r="I69" s="7">
        <v>26688.720000000001</v>
      </c>
      <c r="J69" s="2" t="s">
        <v>1</v>
      </c>
    </row>
    <row r="70" spans="1:10" x14ac:dyDescent="0.35">
      <c r="A70" t="s">
        <v>71</v>
      </c>
      <c r="B70" s="5" t="s">
        <v>302</v>
      </c>
      <c r="C70" s="8" t="s">
        <v>303</v>
      </c>
      <c r="D70" s="1">
        <v>14</v>
      </c>
      <c r="E70" s="1">
        <v>2850</v>
      </c>
      <c r="F70" s="1">
        <v>39900</v>
      </c>
      <c r="G70" s="7">
        <f>110.11/100</f>
        <v>1.1011</v>
      </c>
      <c r="H70" s="7">
        <v>3138.14</v>
      </c>
      <c r="I70" s="7">
        <v>43933.89</v>
      </c>
      <c r="J70" s="2" t="s">
        <v>4</v>
      </c>
    </row>
    <row r="71" spans="1:10" x14ac:dyDescent="0.35">
      <c r="A71" t="s">
        <v>72</v>
      </c>
      <c r="B71" s="5" t="s">
        <v>304</v>
      </c>
      <c r="C71" s="6" t="s">
        <v>263</v>
      </c>
      <c r="D71" s="1">
        <v>912</v>
      </c>
      <c r="E71" s="1">
        <v>39.75</v>
      </c>
      <c r="F71" s="1">
        <v>36252</v>
      </c>
      <c r="G71" s="7">
        <f>58.85/100</f>
        <v>0.58850000000000002</v>
      </c>
      <c r="H71" s="7">
        <v>23.39</v>
      </c>
      <c r="I71" s="7">
        <v>21334.3</v>
      </c>
      <c r="J71" s="2" t="s">
        <v>1</v>
      </c>
    </row>
    <row r="72" spans="1:10" x14ac:dyDescent="0.35">
      <c r="A72" t="s">
        <v>73</v>
      </c>
      <c r="B72" s="5" t="s">
        <v>305</v>
      </c>
      <c r="C72" s="6" t="s">
        <v>263</v>
      </c>
      <c r="D72" s="1">
        <v>952</v>
      </c>
      <c r="E72" s="1">
        <v>39.75</v>
      </c>
      <c r="F72" s="1">
        <v>37842</v>
      </c>
      <c r="G72" s="7">
        <f>65.45/100</f>
        <v>0.65450000000000008</v>
      </c>
      <c r="H72" s="7">
        <v>26.02</v>
      </c>
      <c r="I72" s="7">
        <v>24767.59</v>
      </c>
      <c r="J72" s="2" t="s">
        <v>1</v>
      </c>
    </row>
    <row r="73" spans="1:10" x14ac:dyDescent="0.35">
      <c r="A73" t="s">
        <v>74</v>
      </c>
      <c r="B73" s="5" t="s">
        <v>306</v>
      </c>
      <c r="C73" s="8" t="s">
        <v>212</v>
      </c>
      <c r="D73" s="1">
        <v>1320</v>
      </c>
      <c r="E73" s="1">
        <v>30</v>
      </c>
      <c r="F73" s="1">
        <v>39600</v>
      </c>
      <c r="G73" s="7">
        <f>63/100</f>
        <v>0.63</v>
      </c>
      <c r="H73" s="7">
        <v>18.899999999999999</v>
      </c>
      <c r="I73" s="7">
        <v>24948</v>
      </c>
      <c r="J73" s="2" t="s">
        <v>1</v>
      </c>
    </row>
    <row r="74" spans="1:10" x14ac:dyDescent="0.35">
      <c r="A74" t="s">
        <v>75</v>
      </c>
      <c r="B74" s="5" t="s">
        <v>307</v>
      </c>
      <c r="C74" s="8" t="s">
        <v>212</v>
      </c>
      <c r="D74" s="1">
        <v>1320</v>
      </c>
      <c r="E74" s="1">
        <v>30</v>
      </c>
      <c r="F74" s="1">
        <v>39600</v>
      </c>
      <c r="G74" s="7">
        <f>80.43/100</f>
        <v>0.80430000000000001</v>
      </c>
      <c r="H74" s="7">
        <v>24.13</v>
      </c>
      <c r="I74" s="7">
        <v>31850.28</v>
      </c>
      <c r="J74" s="2" t="s">
        <v>1</v>
      </c>
    </row>
    <row r="75" spans="1:10" x14ac:dyDescent="0.35">
      <c r="A75" t="s">
        <v>76</v>
      </c>
      <c r="B75" s="5" t="s">
        <v>308</v>
      </c>
      <c r="C75" s="8" t="s">
        <v>212</v>
      </c>
      <c r="D75" s="1">
        <v>1320</v>
      </c>
      <c r="E75" s="1">
        <v>30</v>
      </c>
      <c r="F75" s="1">
        <v>39600</v>
      </c>
      <c r="G75" s="7">
        <f>73.8/100</f>
        <v>0.73799999999999999</v>
      </c>
      <c r="H75" s="7">
        <v>22.14</v>
      </c>
      <c r="I75" s="7">
        <v>29224.799999999999</v>
      </c>
      <c r="J75" s="2" t="s">
        <v>1</v>
      </c>
    </row>
    <row r="76" spans="1:10" x14ac:dyDescent="0.35">
      <c r="A76" t="s">
        <v>77</v>
      </c>
      <c r="B76" s="5" t="s">
        <v>309</v>
      </c>
      <c r="C76" s="8" t="s">
        <v>212</v>
      </c>
      <c r="D76" s="1">
        <v>1320</v>
      </c>
      <c r="E76" s="1">
        <v>30</v>
      </c>
      <c r="F76" s="1">
        <v>39600</v>
      </c>
      <c r="G76" s="7">
        <f>57.92/100</f>
        <v>0.57920000000000005</v>
      </c>
      <c r="H76" s="7">
        <v>17.38</v>
      </c>
      <c r="I76" s="7">
        <v>22936.32</v>
      </c>
      <c r="J76" s="2" t="s">
        <v>1</v>
      </c>
    </row>
    <row r="77" spans="1:10" x14ac:dyDescent="0.35">
      <c r="A77" t="s">
        <v>78</v>
      </c>
      <c r="B77" s="5" t="s">
        <v>310</v>
      </c>
      <c r="C77" s="6" t="s">
        <v>199</v>
      </c>
      <c r="D77" s="1">
        <v>1320</v>
      </c>
      <c r="E77" s="1">
        <v>30</v>
      </c>
      <c r="F77" s="1">
        <v>39600</v>
      </c>
      <c r="G77" s="7">
        <f>69.93/100</f>
        <v>0.69930000000000003</v>
      </c>
      <c r="H77" s="7">
        <v>20.98</v>
      </c>
      <c r="I77" s="7">
        <v>27692.28</v>
      </c>
      <c r="J77" s="2" t="s">
        <v>1</v>
      </c>
    </row>
    <row r="78" spans="1:10" x14ac:dyDescent="0.35">
      <c r="A78" t="s">
        <v>79</v>
      </c>
      <c r="B78" s="5" t="s">
        <v>311</v>
      </c>
      <c r="C78" s="6" t="s">
        <v>199</v>
      </c>
      <c r="D78" s="1">
        <v>1320</v>
      </c>
      <c r="E78" s="1">
        <v>30</v>
      </c>
      <c r="F78" s="1">
        <v>39600</v>
      </c>
      <c r="G78" s="7">
        <f>76.93/100</f>
        <v>0.76930000000000009</v>
      </c>
      <c r="H78" s="7">
        <v>23.08</v>
      </c>
      <c r="I78" s="7">
        <v>30464.28</v>
      </c>
      <c r="J78" s="2" t="s">
        <v>1</v>
      </c>
    </row>
    <row r="79" spans="1:10" x14ac:dyDescent="0.35">
      <c r="A79" t="s">
        <v>80</v>
      </c>
      <c r="B79" s="5" t="s">
        <v>312</v>
      </c>
      <c r="C79" s="6" t="s">
        <v>199</v>
      </c>
      <c r="D79" s="1">
        <v>1320</v>
      </c>
      <c r="E79" s="1">
        <v>30</v>
      </c>
      <c r="F79" s="1">
        <v>39600</v>
      </c>
      <c r="G79" s="7">
        <f>63.5/100</f>
        <v>0.63500000000000001</v>
      </c>
      <c r="H79" s="7">
        <v>19.05</v>
      </c>
      <c r="I79" s="7">
        <v>25146</v>
      </c>
      <c r="J79" s="2" t="s">
        <v>1</v>
      </c>
    </row>
    <row r="80" spans="1:10" x14ac:dyDescent="0.35">
      <c r="A80" t="s">
        <v>81</v>
      </c>
      <c r="B80" s="5" t="s">
        <v>313</v>
      </c>
      <c r="C80" s="6" t="s">
        <v>263</v>
      </c>
      <c r="D80" s="1">
        <v>864</v>
      </c>
      <c r="E80" s="1">
        <v>40.5</v>
      </c>
      <c r="F80" s="1">
        <v>34992</v>
      </c>
      <c r="G80" s="7">
        <f>61.57/100</f>
        <v>0.61570000000000003</v>
      </c>
      <c r="H80" s="7">
        <v>24.94</v>
      </c>
      <c r="I80" s="7">
        <v>21544.57</v>
      </c>
      <c r="J80" s="2" t="s">
        <v>1</v>
      </c>
    </row>
    <row r="81" spans="1:10" x14ac:dyDescent="0.35">
      <c r="A81" t="s">
        <v>82</v>
      </c>
      <c r="B81" s="5" t="s">
        <v>314</v>
      </c>
      <c r="C81" s="6" t="s">
        <v>263</v>
      </c>
      <c r="D81" s="1">
        <v>864</v>
      </c>
      <c r="E81" s="1">
        <v>40.5</v>
      </c>
      <c r="F81" s="1">
        <v>34992</v>
      </c>
      <c r="G81" s="7">
        <f>54.39/100</f>
        <v>0.54390000000000005</v>
      </c>
      <c r="H81" s="7">
        <v>22.03</v>
      </c>
      <c r="I81" s="7">
        <v>19032.150000000001</v>
      </c>
      <c r="J81" s="2" t="s">
        <v>1</v>
      </c>
    </row>
    <row r="82" spans="1:10" x14ac:dyDescent="0.35">
      <c r="A82" t="s">
        <v>83</v>
      </c>
      <c r="B82" s="5" t="s">
        <v>315</v>
      </c>
      <c r="C82" s="6" t="s">
        <v>263</v>
      </c>
      <c r="D82" s="1">
        <v>864</v>
      </c>
      <c r="E82" s="1">
        <v>42</v>
      </c>
      <c r="F82" s="1">
        <v>36288</v>
      </c>
      <c r="G82" s="7">
        <f>77.16/100</f>
        <v>0.77159999999999995</v>
      </c>
      <c r="H82" s="7">
        <v>32.409999999999997</v>
      </c>
      <c r="I82" s="7">
        <v>27999.82</v>
      </c>
      <c r="J82" s="2" t="s">
        <v>1</v>
      </c>
    </row>
    <row r="83" spans="1:10" x14ac:dyDescent="0.35">
      <c r="A83" t="s">
        <v>84</v>
      </c>
      <c r="B83" s="5" t="s">
        <v>316</v>
      </c>
      <c r="C83" s="6" t="s">
        <v>263</v>
      </c>
      <c r="D83" s="1">
        <v>864</v>
      </c>
      <c r="E83" s="1">
        <v>40.5</v>
      </c>
      <c r="F83" s="1">
        <v>34992</v>
      </c>
      <c r="G83" s="7">
        <f>59.05/100</f>
        <v>0.59050000000000002</v>
      </c>
      <c r="H83" s="7">
        <v>23.92</v>
      </c>
      <c r="I83" s="7">
        <v>20662.78</v>
      </c>
      <c r="J83" s="2" t="s">
        <v>1</v>
      </c>
    </row>
    <row r="84" spans="1:10" x14ac:dyDescent="0.35">
      <c r="A84" t="s">
        <v>85</v>
      </c>
      <c r="B84" s="5" t="s">
        <v>317</v>
      </c>
      <c r="C84" s="6" t="s">
        <v>263</v>
      </c>
      <c r="D84" s="1">
        <v>864</v>
      </c>
      <c r="E84" s="1">
        <v>40.5</v>
      </c>
      <c r="F84" s="1">
        <v>34992</v>
      </c>
      <c r="G84" s="7">
        <f>58.53/100</f>
        <v>0.58530000000000004</v>
      </c>
      <c r="H84" s="7">
        <v>23.7</v>
      </c>
      <c r="I84" s="7">
        <v>20480.82</v>
      </c>
      <c r="J84" s="2" t="s">
        <v>1</v>
      </c>
    </row>
    <row r="85" spans="1:10" x14ac:dyDescent="0.35">
      <c r="A85" t="s">
        <v>86</v>
      </c>
      <c r="B85" s="5" t="s">
        <v>318</v>
      </c>
      <c r="C85" s="6" t="s">
        <v>263</v>
      </c>
      <c r="D85" s="1">
        <v>864</v>
      </c>
      <c r="E85" s="1">
        <v>40.5</v>
      </c>
      <c r="F85" s="1">
        <v>34992</v>
      </c>
      <c r="G85" s="7">
        <f>53.62/100</f>
        <v>0.53620000000000001</v>
      </c>
      <c r="H85" s="7">
        <v>21.72</v>
      </c>
      <c r="I85" s="7">
        <v>18762.71</v>
      </c>
      <c r="J85" s="2" t="s">
        <v>1</v>
      </c>
    </row>
    <row r="86" spans="1:10" x14ac:dyDescent="0.35">
      <c r="A86" t="s">
        <v>87</v>
      </c>
      <c r="B86" s="5" t="s">
        <v>319</v>
      </c>
      <c r="C86" s="6" t="s">
        <v>263</v>
      </c>
      <c r="D86" s="1">
        <v>864</v>
      </c>
      <c r="E86" s="1">
        <v>40.5</v>
      </c>
      <c r="F86" s="1">
        <v>34992</v>
      </c>
      <c r="G86" s="7">
        <f>62.39/100</f>
        <v>0.62390000000000001</v>
      </c>
      <c r="H86" s="7">
        <v>25.27</v>
      </c>
      <c r="I86" s="7">
        <v>21831.51</v>
      </c>
      <c r="J86" s="2" t="s">
        <v>1</v>
      </c>
    </row>
    <row r="87" spans="1:10" x14ac:dyDescent="0.35">
      <c r="A87" t="s">
        <v>88</v>
      </c>
      <c r="B87" s="5" t="s">
        <v>320</v>
      </c>
      <c r="C87" s="6" t="s">
        <v>263</v>
      </c>
      <c r="D87" s="1">
        <v>864</v>
      </c>
      <c r="E87" s="1">
        <v>40.5</v>
      </c>
      <c r="F87" s="1">
        <v>34992</v>
      </c>
      <c r="G87" s="7">
        <f>67.16/100</f>
        <v>0.67159999999999997</v>
      </c>
      <c r="H87" s="7">
        <v>27.2</v>
      </c>
      <c r="I87" s="7">
        <v>23500.63</v>
      </c>
      <c r="J87" s="2" t="s">
        <v>1</v>
      </c>
    </row>
    <row r="88" spans="1:10" x14ac:dyDescent="0.35">
      <c r="A88" t="s">
        <v>89</v>
      </c>
      <c r="B88" s="5" t="s">
        <v>321</v>
      </c>
      <c r="C88" s="6" t="s">
        <v>263</v>
      </c>
      <c r="D88" s="1">
        <v>864</v>
      </c>
      <c r="E88" s="1">
        <v>40.5</v>
      </c>
      <c r="F88" s="1">
        <v>34992</v>
      </c>
      <c r="G88" s="7">
        <f>59.72/100</f>
        <v>0.59719999999999995</v>
      </c>
      <c r="H88" s="7">
        <v>24.19</v>
      </c>
      <c r="I88" s="7">
        <v>20897.22</v>
      </c>
      <c r="J88" s="2" t="s">
        <v>1</v>
      </c>
    </row>
    <row r="89" spans="1:10" x14ac:dyDescent="0.35">
      <c r="A89" t="s">
        <v>90</v>
      </c>
      <c r="B89" s="5" t="s">
        <v>322</v>
      </c>
      <c r="C89" s="6" t="s">
        <v>263</v>
      </c>
      <c r="D89" s="1">
        <v>864</v>
      </c>
      <c r="E89" s="1">
        <v>40.5</v>
      </c>
      <c r="F89" s="1">
        <v>34992</v>
      </c>
      <c r="G89" s="7">
        <f>63.64/100</f>
        <v>0.63639999999999997</v>
      </c>
      <c r="H89" s="7">
        <v>25.77</v>
      </c>
      <c r="I89" s="7">
        <v>22268.91</v>
      </c>
      <c r="J89" s="2" t="s">
        <v>1</v>
      </c>
    </row>
    <row r="90" spans="1:10" x14ac:dyDescent="0.35">
      <c r="A90" t="s">
        <v>91</v>
      </c>
      <c r="B90" s="5" t="s">
        <v>323</v>
      </c>
      <c r="C90" s="6" t="s">
        <v>263</v>
      </c>
      <c r="D90" s="1">
        <v>864</v>
      </c>
      <c r="E90" s="1">
        <v>40.5</v>
      </c>
      <c r="F90" s="1">
        <v>34992</v>
      </c>
      <c r="G90" s="7">
        <f>64.68/100</f>
        <v>0.64680000000000004</v>
      </c>
      <c r="H90" s="7">
        <v>26.2</v>
      </c>
      <c r="I90" s="7">
        <v>22632.83</v>
      </c>
      <c r="J90" s="2" t="s">
        <v>1</v>
      </c>
    </row>
    <row r="91" spans="1:10" x14ac:dyDescent="0.35">
      <c r="A91" t="s">
        <v>92</v>
      </c>
      <c r="B91" s="5" t="s">
        <v>324</v>
      </c>
      <c r="C91" s="8" t="s">
        <v>274</v>
      </c>
      <c r="D91" s="1">
        <v>1680</v>
      </c>
      <c r="E91" s="1">
        <v>24</v>
      </c>
      <c r="F91" s="1">
        <v>40320</v>
      </c>
      <c r="G91" s="7">
        <f>70.43/100</f>
        <v>0.70430000000000004</v>
      </c>
      <c r="H91" s="7">
        <v>16.899999999999999</v>
      </c>
      <c r="I91" s="7">
        <v>28397.38</v>
      </c>
      <c r="J91" s="2" t="s">
        <v>1</v>
      </c>
    </row>
    <row r="92" spans="1:10" x14ac:dyDescent="0.35">
      <c r="A92" t="s">
        <v>93</v>
      </c>
      <c r="B92" s="5" t="s">
        <v>325</v>
      </c>
      <c r="C92" s="6" t="s">
        <v>326</v>
      </c>
      <c r="D92" s="1">
        <v>1232</v>
      </c>
      <c r="E92" s="1">
        <v>30</v>
      </c>
      <c r="F92" s="1">
        <v>36960</v>
      </c>
      <c r="G92" s="7">
        <f>128/100</f>
        <v>1.28</v>
      </c>
      <c r="H92" s="7">
        <v>38.4</v>
      </c>
      <c r="I92" s="7">
        <v>47308.800000000003</v>
      </c>
      <c r="J92" s="2" t="s">
        <v>1</v>
      </c>
    </row>
    <row r="93" spans="1:10" x14ac:dyDescent="0.35">
      <c r="A93" t="s">
        <v>94</v>
      </c>
      <c r="B93" s="5" t="s">
        <v>325</v>
      </c>
      <c r="C93" s="8" t="s">
        <v>327</v>
      </c>
      <c r="D93" s="1">
        <v>0</v>
      </c>
      <c r="E93" s="1">
        <v>0</v>
      </c>
      <c r="F93" s="1">
        <v>40000</v>
      </c>
      <c r="G93" s="7">
        <f>95.9/100</f>
        <v>0.95900000000000007</v>
      </c>
      <c r="H93" s="7">
        <v>0</v>
      </c>
      <c r="I93" s="7">
        <v>38360</v>
      </c>
      <c r="J93" s="2" t="s">
        <v>1</v>
      </c>
    </row>
    <row r="94" spans="1:10" x14ac:dyDescent="0.35">
      <c r="A94" t="s">
        <v>95</v>
      </c>
      <c r="B94" s="5" t="s">
        <v>328</v>
      </c>
      <c r="C94" s="6" t="s">
        <v>329</v>
      </c>
      <c r="D94" s="1">
        <v>1071</v>
      </c>
      <c r="E94" s="1">
        <v>40</v>
      </c>
      <c r="F94" s="1">
        <v>42840</v>
      </c>
      <c r="G94" s="7">
        <f>40.86/100</f>
        <v>0.40860000000000002</v>
      </c>
      <c r="H94" s="7">
        <v>16.34</v>
      </c>
      <c r="I94" s="7">
        <v>17504.419999999998</v>
      </c>
      <c r="J94" s="2" t="s">
        <v>1</v>
      </c>
    </row>
    <row r="95" spans="1:10" x14ac:dyDescent="0.35">
      <c r="A95" t="s">
        <v>96</v>
      </c>
      <c r="B95" s="5" t="s">
        <v>330</v>
      </c>
      <c r="C95" s="6" t="s">
        <v>331</v>
      </c>
      <c r="D95" s="1">
        <v>864</v>
      </c>
      <c r="E95" s="1">
        <v>50</v>
      </c>
      <c r="F95" s="1">
        <v>43200</v>
      </c>
      <c r="G95" s="7">
        <f>29.21/100</f>
        <v>0.29210000000000003</v>
      </c>
      <c r="H95" s="7">
        <v>14.61</v>
      </c>
      <c r="I95" s="7">
        <v>12618.72</v>
      </c>
      <c r="J95" s="2" t="s">
        <v>1</v>
      </c>
    </row>
    <row r="96" spans="1:10" x14ac:dyDescent="0.35">
      <c r="A96" t="s">
        <v>97</v>
      </c>
      <c r="B96" s="5" t="s">
        <v>332</v>
      </c>
      <c r="C96" s="6" t="s">
        <v>331</v>
      </c>
      <c r="D96" s="1">
        <v>864</v>
      </c>
      <c r="E96" s="1">
        <v>50</v>
      </c>
      <c r="F96" s="1">
        <v>43200</v>
      </c>
      <c r="G96" s="7">
        <f>26.17/100</f>
        <v>0.26170000000000004</v>
      </c>
      <c r="H96" s="7">
        <v>13.09</v>
      </c>
      <c r="I96" s="7">
        <v>11305.44</v>
      </c>
      <c r="J96" s="2" t="s">
        <v>1</v>
      </c>
    </row>
    <row r="97" spans="1:10" x14ac:dyDescent="0.35">
      <c r="A97" t="s">
        <v>98</v>
      </c>
      <c r="B97" s="5" t="s">
        <v>333</v>
      </c>
      <c r="C97" s="6" t="s">
        <v>222</v>
      </c>
      <c r="D97" s="1">
        <v>0</v>
      </c>
      <c r="E97" s="1">
        <v>0</v>
      </c>
      <c r="F97" s="1">
        <v>45000</v>
      </c>
      <c r="G97" s="7">
        <f>37.45/100</f>
        <v>0.37450000000000006</v>
      </c>
      <c r="H97" s="7">
        <v>0</v>
      </c>
      <c r="I97" s="7">
        <v>16852.5</v>
      </c>
      <c r="J97" s="2" t="s">
        <v>1</v>
      </c>
    </row>
    <row r="98" spans="1:10" x14ac:dyDescent="0.35">
      <c r="A98" t="s">
        <v>99</v>
      </c>
      <c r="B98" s="5" t="s">
        <v>332</v>
      </c>
      <c r="C98" s="6" t="s">
        <v>222</v>
      </c>
      <c r="D98" s="1">
        <v>0</v>
      </c>
      <c r="E98" s="1">
        <v>0</v>
      </c>
      <c r="F98" s="1">
        <v>45000</v>
      </c>
      <c r="G98" s="7">
        <f>29.07/100</f>
        <v>0.29070000000000001</v>
      </c>
      <c r="H98" s="7">
        <v>0</v>
      </c>
      <c r="I98" s="7">
        <v>13081.5</v>
      </c>
      <c r="J98" s="2" t="s">
        <v>1</v>
      </c>
    </row>
    <row r="99" spans="1:10" x14ac:dyDescent="0.35">
      <c r="A99" t="s">
        <v>100</v>
      </c>
      <c r="B99" s="5" t="s">
        <v>334</v>
      </c>
      <c r="C99" s="6" t="s">
        <v>222</v>
      </c>
      <c r="D99" s="1">
        <v>0</v>
      </c>
      <c r="E99" s="1">
        <v>0</v>
      </c>
      <c r="F99" s="1">
        <v>45000</v>
      </c>
      <c r="G99" s="7">
        <f>23/100</f>
        <v>0.23</v>
      </c>
      <c r="H99" s="7">
        <v>0</v>
      </c>
      <c r="I99" s="7">
        <v>10350</v>
      </c>
      <c r="J99" s="2" t="s">
        <v>1</v>
      </c>
    </row>
    <row r="100" spans="1:10" x14ac:dyDescent="0.35">
      <c r="A100" t="s">
        <v>101</v>
      </c>
      <c r="B100" s="5" t="s">
        <v>335</v>
      </c>
      <c r="C100" s="8" t="s">
        <v>275</v>
      </c>
      <c r="D100" s="1">
        <v>2000</v>
      </c>
      <c r="E100" s="1">
        <v>20</v>
      </c>
      <c r="F100" s="1">
        <v>40000</v>
      </c>
      <c r="G100" s="7">
        <f>58.48/100</f>
        <v>0.58479999999999999</v>
      </c>
      <c r="H100" s="7">
        <v>11.7</v>
      </c>
      <c r="I100" s="7">
        <v>23392</v>
      </c>
      <c r="J100" s="2" t="s">
        <v>1</v>
      </c>
    </row>
    <row r="101" spans="1:10" x14ac:dyDescent="0.35">
      <c r="A101" t="s">
        <v>102</v>
      </c>
      <c r="B101" s="5" t="s">
        <v>336</v>
      </c>
      <c r="C101" s="6" t="s">
        <v>337</v>
      </c>
      <c r="D101" s="1">
        <v>800</v>
      </c>
      <c r="E101" s="1">
        <v>46.2</v>
      </c>
      <c r="F101" s="1">
        <v>36960</v>
      </c>
      <c r="G101" s="7">
        <f>103.32/100</f>
        <v>1.0331999999999999</v>
      </c>
      <c r="H101" s="7">
        <v>47.73</v>
      </c>
      <c r="I101" s="7">
        <v>38187.07</v>
      </c>
      <c r="J101" s="2" t="s">
        <v>1</v>
      </c>
    </row>
    <row r="102" spans="1:10" x14ac:dyDescent="0.35">
      <c r="A102" t="s">
        <v>103</v>
      </c>
      <c r="B102" s="5" t="s">
        <v>336</v>
      </c>
      <c r="C102" s="8" t="s">
        <v>222</v>
      </c>
      <c r="D102" s="1">
        <v>0</v>
      </c>
      <c r="E102" s="1">
        <v>0</v>
      </c>
      <c r="F102" s="1">
        <v>48000</v>
      </c>
      <c r="G102" s="7">
        <f>78.78/100</f>
        <v>0.78780000000000006</v>
      </c>
      <c r="H102" s="7">
        <v>0</v>
      </c>
      <c r="I102" s="7">
        <v>37814.400000000001</v>
      </c>
      <c r="J102" s="2" t="s">
        <v>1</v>
      </c>
    </row>
    <row r="103" spans="1:10" x14ac:dyDescent="0.35">
      <c r="A103" t="s">
        <v>104</v>
      </c>
      <c r="B103" s="5" t="s">
        <v>338</v>
      </c>
      <c r="C103" s="6" t="s">
        <v>339</v>
      </c>
      <c r="D103" s="1">
        <v>1040</v>
      </c>
      <c r="E103" s="1">
        <v>31.5</v>
      </c>
      <c r="F103" s="1">
        <v>32760</v>
      </c>
      <c r="G103" s="7">
        <f>86.5/100</f>
        <v>0.86499999999999999</v>
      </c>
      <c r="H103" s="7">
        <v>27.25</v>
      </c>
      <c r="I103" s="7">
        <v>28337.4</v>
      </c>
      <c r="J103" s="2" t="s">
        <v>1</v>
      </c>
    </row>
    <row r="104" spans="1:10" x14ac:dyDescent="0.35">
      <c r="A104" t="s">
        <v>105</v>
      </c>
      <c r="B104" s="5" t="s">
        <v>340</v>
      </c>
      <c r="C104" s="8" t="s">
        <v>341</v>
      </c>
      <c r="D104" s="1">
        <v>1680</v>
      </c>
      <c r="E104" s="1">
        <v>25</v>
      </c>
      <c r="F104" s="1">
        <v>42000</v>
      </c>
      <c r="G104" s="7">
        <f>38.36/100</f>
        <v>0.3836</v>
      </c>
      <c r="H104" s="7">
        <v>9.59</v>
      </c>
      <c r="I104" s="7">
        <v>16111.2</v>
      </c>
      <c r="J104" s="2" t="s">
        <v>1</v>
      </c>
    </row>
    <row r="105" spans="1:10" x14ac:dyDescent="0.35">
      <c r="A105" t="s">
        <v>106</v>
      </c>
      <c r="B105" s="5" t="s">
        <v>342</v>
      </c>
      <c r="C105" s="8" t="s">
        <v>343</v>
      </c>
      <c r="D105" s="1">
        <v>875</v>
      </c>
      <c r="E105" s="1">
        <v>48</v>
      </c>
      <c r="F105" s="1">
        <v>42000</v>
      </c>
      <c r="G105" s="7">
        <f>98.31/100</f>
        <v>0.98309999999999997</v>
      </c>
      <c r="H105" s="7">
        <v>47.19</v>
      </c>
      <c r="I105" s="7">
        <v>41290.199999999997</v>
      </c>
      <c r="J105" s="2" t="s">
        <v>1</v>
      </c>
    </row>
    <row r="106" spans="1:10" x14ac:dyDescent="0.35">
      <c r="A106" t="s">
        <v>107</v>
      </c>
      <c r="B106" s="5" t="s">
        <v>344</v>
      </c>
      <c r="C106" s="8" t="s">
        <v>222</v>
      </c>
      <c r="D106" s="1">
        <v>0</v>
      </c>
      <c r="E106" s="1">
        <v>0</v>
      </c>
      <c r="F106" s="1">
        <v>40000</v>
      </c>
      <c r="G106" s="7">
        <f>12.16/100</f>
        <v>0.1216</v>
      </c>
      <c r="H106" s="7">
        <v>0</v>
      </c>
      <c r="I106" s="7">
        <v>4864</v>
      </c>
      <c r="J106" s="2" t="s">
        <v>1</v>
      </c>
    </row>
    <row r="107" spans="1:10" x14ac:dyDescent="0.35">
      <c r="A107" t="s">
        <v>108</v>
      </c>
      <c r="B107" s="5" t="s">
        <v>345</v>
      </c>
      <c r="C107" s="8" t="s">
        <v>249</v>
      </c>
      <c r="D107" s="1">
        <v>924</v>
      </c>
      <c r="E107" s="1">
        <v>38.5</v>
      </c>
      <c r="F107" s="1">
        <v>35574</v>
      </c>
      <c r="G107" s="7">
        <f>62.59/100</f>
        <v>0.62590000000000001</v>
      </c>
      <c r="H107" s="7">
        <v>24.1</v>
      </c>
      <c r="I107" s="7">
        <v>22265.77</v>
      </c>
      <c r="J107" s="2" t="s">
        <v>1</v>
      </c>
    </row>
    <row r="108" spans="1:10" x14ac:dyDescent="0.35">
      <c r="A108" t="s">
        <v>109</v>
      </c>
      <c r="B108" s="5" t="s">
        <v>346</v>
      </c>
      <c r="C108" s="8" t="s">
        <v>249</v>
      </c>
      <c r="D108" s="1">
        <v>924</v>
      </c>
      <c r="E108" s="1">
        <v>38.5</v>
      </c>
      <c r="F108" s="1">
        <v>35574</v>
      </c>
      <c r="G108" s="7">
        <f>71.75/100</f>
        <v>0.71750000000000003</v>
      </c>
      <c r="H108" s="7">
        <v>27.62</v>
      </c>
      <c r="I108" s="7">
        <v>25524.35</v>
      </c>
      <c r="J108" s="2" t="s">
        <v>1</v>
      </c>
    </row>
    <row r="109" spans="1:10" x14ac:dyDescent="0.35">
      <c r="A109" t="s">
        <v>110</v>
      </c>
      <c r="B109" s="5" t="s">
        <v>347</v>
      </c>
      <c r="C109" s="8" t="s">
        <v>249</v>
      </c>
      <c r="D109" s="1">
        <v>924</v>
      </c>
      <c r="E109" s="1">
        <v>38.5</v>
      </c>
      <c r="F109" s="1">
        <v>35574</v>
      </c>
      <c r="G109" s="7">
        <f>67.84/100</f>
        <v>0.6784</v>
      </c>
      <c r="H109" s="7">
        <v>26.12</v>
      </c>
      <c r="I109" s="7">
        <v>24133.4</v>
      </c>
      <c r="J109" s="2" t="s">
        <v>1</v>
      </c>
    </row>
    <row r="110" spans="1:10" x14ac:dyDescent="0.35">
      <c r="A110" t="s">
        <v>111</v>
      </c>
      <c r="B110" s="5" t="s">
        <v>348</v>
      </c>
      <c r="C110" s="10" t="s">
        <v>249</v>
      </c>
      <c r="D110" s="1">
        <v>924</v>
      </c>
      <c r="E110" s="1">
        <v>38.5</v>
      </c>
      <c r="F110" s="1">
        <v>35574</v>
      </c>
      <c r="G110" s="7">
        <f>67.33/100</f>
        <v>0.67330000000000001</v>
      </c>
      <c r="H110" s="7">
        <v>25.92</v>
      </c>
      <c r="I110" s="7">
        <v>23951.97</v>
      </c>
      <c r="J110" s="2" t="s">
        <v>1</v>
      </c>
    </row>
    <row r="111" spans="1:10" x14ac:dyDescent="0.35">
      <c r="A111" t="s">
        <v>112</v>
      </c>
      <c r="B111" s="5" t="s">
        <v>349</v>
      </c>
      <c r="C111" s="8" t="s">
        <v>249</v>
      </c>
      <c r="D111" s="1">
        <v>924</v>
      </c>
      <c r="E111" s="1">
        <v>38.5</v>
      </c>
      <c r="F111" s="1">
        <v>35574</v>
      </c>
      <c r="G111" s="7">
        <f>52.99/100</f>
        <v>0.52990000000000004</v>
      </c>
      <c r="H111" s="7">
        <v>20.399999999999999</v>
      </c>
      <c r="I111" s="7">
        <v>18850.66</v>
      </c>
      <c r="J111" s="2" t="s">
        <v>1</v>
      </c>
    </row>
    <row r="112" spans="1:10" x14ac:dyDescent="0.35">
      <c r="A112" t="s">
        <v>113</v>
      </c>
      <c r="B112" s="5" t="s">
        <v>350</v>
      </c>
      <c r="C112" s="6" t="s">
        <v>351</v>
      </c>
      <c r="D112" s="1">
        <v>1000</v>
      </c>
      <c r="E112" s="1">
        <v>37.5</v>
      </c>
      <c r="F112" s="1">
        <v>37500</v>
      </c>
      <c r="G112" s="7">
        <f>270/100</f>
        <v>2.7</v>
      </c>
      <c r="H112" s="7">
        <v>101.25</v>
      </c>
      <c r="I112" s="7">
        <v>101250</v>
      </c>
      <c r="J112" s="2" t="s">
        <v>1</v>
      </c>
    </row>
    <row r="113" spans="1:10" x14ac:dyDescent="0.35">
      <c r="A113" t="s">
        <v>114</v>
      </c>
      <c r="B113" s="5" t="s">
        <v>352</v>
      </c>
      <c r="C113" s="6" t="s">
        <v>222</v>
      </c>
      <c r="D113" s="1">
        <v>0</v>
      </c>
      <c r="E113" s="1">
        <v>0</v>
      </c>
      <c r="F113" s="1">
        <v>36000</v>
      </c>
      <c r="G113" s="7">
        <f>295.95/100</f>
        <v>2.9594999999999998</v>
      </c>
      <c r="H113" s="7">
        <v>0</v>
      </c>
      <c r="I113" s="7">
        <v>106542</v>
      </c>
      <c r="J113" s="2" t="s">
        <v>1</v>
      </c>
    </row>
    <row r="114" spans="1:10" x14ac:dyDescent="0.35">
      <c r="A114" t="s">
        <v>115</v>
      </c>
      <c r="B114" s="5" t="s">
        <v>353</v>
      </c>
      <c r="C114" s="8" t="s">
        <v>222</v>
      </c>
      <c r="D114" s="1">
        <v>0</v>
      </c>
      <c r="E114" s="1">
        <v>0</v>
      </c>
      <c r="F114" s="1">
        <v>45000</v>
      </c>
      <c r="G114" s="7">
        <f>30.49/100</f>
        <v>0.3049</v>
      </c>
      <c r="H114" s="7">
        <v>0</v>
      </c>
      <c r="I114" s="7">
        <v>13720.5</v>
      </c>
      <c r="J114" s="2" t="s">
        <v>1</v>
      </c>
    </row>
    <row r="115" spans="1:10" x14ac:dyDescent="0.35">
      <c r="A115" t="s">
        <v>116</v>
      </c>
      <c r="B115" s="5" t="s">
        <v>354</v>
      </c>
      <c r="C115" s="6" t="s">
        <v>326</v>
      </c>
      <c r="D115" s="1">
        <v>1232</v>
      </c>
      <c r="E115" s="1">
        <v>30</v>
      </c>
      <c r="F115" s="1">
        <v>36960</v>
      </c>
      <c r="G115" s="7">
        <f>215.6/100</f>
        <v>2.1560000000000001</v>
      </c>
      <c r="H115" s="7">
        <v>64.680000000000007</v>
      </c>
      <c r="I115" s="7">
        <v>79685.759999999995</v>
      </c>
      <c r="J115" s="2" t="s">
        <v>1</v>
      </c>
    </row>
    <row r="116" spans="1:10" x14ac:dyDescent="0.35">
      <c r="A116" t="s">
        <v>117</v>
      </c>
      <c r="B116" s="5" t="s">
        <v>355</v>
      </c>
      <c r="C116" s="8" t="s">
        <v>222</v>
      </c>
      <c r="D116" s="1">
        <v>0</v>
      </c>
      <c r="E116" s="1">
        <v>0</v>
      </c>
      <c r="F116" s="1">
        <v>40000</v>
      </c>
      <c r="G116" s="7">
        <f>23.62/100</f>
        <v>0.23620000000000002</v>
      </c>
      <c r="H116" s="7">
        <v>0</v>
      </c>
      <c r="I116" s="7">
        <v>9448</v>
      </c>
      <c r="J116" s="2" t="s">
        <v>1</v>
      </c>
    </row>
    <row r="117" spans="1:10" x14ac:dyDescent="0.35">
      <c r="A117" t="s">
        <v>118</v>
      </c>
      <c r="B117" s="5" t="s">
        <v>342</v>
      </c>
      <c r="C117" s="8" t="s">
        <v>341</v>
      </c>
      <c r="D117" s="1">
        <v>1680</v>
      </c>
      <c r="E117" s="1">
        <v>25</v>
      </c>
      <c r="F117" s="1">
        <v>42000</v>
      </c>
      <c r="G117" s="7">
        <f>42.7/100</f>
        <v>0.42700000000000005</v>
      </c>
      <c r="H117" s="7">
        <v>10.68</v>
      </c>
      <c r="I117" s="7">
        <v>17934</v>
      </c>
      <c r="J117" s="2" t="s">
        <v>1</v>
      </c>
    </row>
    <row r="118" spans="1:10" x14ac:dyDescent="0.35">
      <c r="A118" t="s">
        <v>119</v>
      </c>
      <c r="B118" s="5" t="s">
        <v>356</v>
      </c>
      <c r="C118" s="8" t="s">
        <v>357</v>
      </c>
      <c r="D118" s="1">
        <v>1200</v>
      </c>
      <c r="E118" s="1">
        <v>30</v>
      </c>
      <c r="F118" s="1">
        <v>36000</v>
      </c>
      <c r="G118" s="7">
        <f>281.15/100</f>
        <v>2.8114999999999997</v>
      </c>
      <c r="H118" s="7">
        <v>84.35</v>
      </c>
      <c r="I118" s="7">
        <v>101214</v>
      </c>
      <c r="J118" s="2" t="s">
        <v>1</v>
      </c>
    </row>
    <row r="119" spans="1:10" x14ac:dyDescent="0.35">
      <c r="A119" t="s">
        <v>120</v>
      </c>
      <c r="B119" s="5" t="s">
        <v>358</v>
      </c>
      <c r="C119" s="8" t="s">
        <v>222</v>
      </c>
      <c r="D119" s="1">
        <v>0</v>
      </c>
      <c r="E119" s="1">
        <v>0</v>
      </c>
      <c r="F119" s="1">
        <v>39600</v>
      </c>
      <c r="G119" s="7">
        <f>47.45/100</f>
        <v>0.47450000000000003</v>
      </c>
      <c r="H119" s="7">
        <v>0</v>
      </c>
      <c r="I119" s="7">
        <v>18790.2</v>
      </c>
      <c r="J119" s="2" t="s">
        <v>1</v>
      </c>
    </row>
    <row r="120" spans="1:10" x14ac:dyDescent="0.35">
      <c r="A120" t="s">
        <v>121</v>
      </c>
      <c r="B120" s="5" t="s">
        <v>359</v>
      </c>
      <c r="C120" s="8" t="s">
        <v>360</v>
      </c>
      <c r="D120" s="1">
        <v>1456</v>
      </c>
      <c r="E120" s="1">
        <v>25</v>
      </c>
      <c r="F120" s="1">
        <v>36400</v>
      </c>
      <c r="G120" s="7">
        <f>320.54/100</f>
        <v>3.2054</v>
      </c>
      <c r="H120" s="7">
        <v>80.14</v>
      </c>
      <c r="I120" s="7">
        <v>116676.56</v>
      </c>
      <c r="J120" s="2" t="s">
        <v>1</v>
      </c>
    </row>
    <row r="121" spans="1:10" x14ac:dyDescent="0.35">
      <c r="A121" t="s">
        <v>122</v>
      </c>
      <c r="B121" s="5" t="s">
        <v>361</v>
      </c>
      <c r="C121" s="6" t="s">
        <v>362</v>
      </c>
      <c r="D121" s="1">
        <v>960</v>
      </c>
      <c r="E121" s="1">
        <v>39.75</v>
      </c>
      <c r="F121" s="1">
        <v>38160</v>
      </c>
      <c r="G121" s="7">
        <f>82.74/100</f>
        <v>0.82739999999999991</v>
      </c>
      <c r="H121" s="7">
        <v>32.89</v>
      </c>
      <c r="I121" s="7">
        <v>31573.58</v>
      </c>
      <c r="J121" s="2" t="s">
        <v>1</v>
      </c>
    </row>
    <row r="122" spans="1:10" x14ac:dyDescent="0.35">
      <c r="A122" t="s">
        <v>123</v>
      </c>
      <c r="B122" s="5" t="s">
        <v>363</v>
      </c>
      <c r="C122" s="6" t="s">
        <v>362</v>
      </c>
      <c r="D122" s="1">
        <v>960</v>
      </c>
      <c r="E122" s="1">
        <v>39.75</v>
      </c>
      <c r="F122" s="1">
        <v>38160</v>
      </c>
      <c r="G122" s="7">
        <f>84.43/100</f>
        <v>0.84430000000000005</v>
      </c>
      <c r="H122" s="7">
        <v>33.56</v>
      </c>
      <c r="I122" s="7">
        <v>32218.49</v>
      </c>
      <c r="J122" s="2" t="s">
        <v>1</v>
      </c>
    </row>
    <row r="123" spans="1:10" x14ac:dyDescent="0.35">
      <c r="A123" t="s">
        <v>124</v>
      </c>
      <c r="B123" s="5" t="s">
        <v>364</v>
      </c>
      <c r="C123" s="6" t="s">
        <v>362</v>
      </c>
      <c r="D123" s="1">
        <v>960</v>
      </c>
      <c r="E123" s="1">
        <v>39.75</v>
      </c>
      <c r="F123" s="1">
        <v>38160</v>
      </c>
      <c r="G123" s="7">
        <f>84.1/100</f>
        <v>0.84099999999999997</v>
      </c>
      <c r="H123" s="7">
        <v>33.43</v>
      </c>
      <c r="I123" s="7">
        <v>32092.560000000001</v>
      </c>
      <c r="J123" s="2" t="s">
        <v>1</v>
      </c>
    </row>
    <row r="124" spans="1:10" x14ac:dyDescent="0.35">
      <c r="A124" t="s">
        <v>125</v>
      </c>
      <c r="B124" s="5" t="s">
        <v>365</v>
      </c>
      <c r="C124" s="6" t="s">
        <v>341</v>
      </c>
      <c r="D124" s="1">
        <v>1728</v>
      </c>
      <c r="E124" s="1">
        <v>25</v>
      </c>
      <c r="F124" s="1">
        <v>43200</v>
      </c>
      <c r="G124" s="7">
        <f>34.89/100</f>
        <v>0.34889999999999999</v>
      </c>
      <c r="H124" s="7">
        <v>8.7200000000000006</v>
      </c>
      <c r="I124" s="7">
        <v>15072.48</v>
      </c>
      <c r="J124" s="2" t="s">
        <v>1</v>
      </c>
    </row>
    <row r="125" spans="1:10" x14ac:dyDescent="0.35">
      <c r="A125" t="s">
        <v>126</v>
      </c>
      <c r="B125" s="5" t="s">
        <v>365</v>
      </c>
      <c r="C125" s="6" t="s">
        <v>329</v>
      </c>
      <c r="D125" s="1">
        <v>1071</v>
      </c>
      <c r="E125" s="1">
        <v>40</v>
      </c>
      <c r="F125" s="1">
        <v>42840</v>
      </c>
      <c r="G125" s="7">
        <f>38.44/100</f>
        <v>0.38439999999999996</v>
      </c>
      <c r="H125" s="7">
        <v>15.38</v>
      </c>
      <c r="I125" s="7">
        <v>16467.7</v>
      </c>
      <c r="J125" s="2" t="s">
        <v>1</v>
      </c>
    </row>
    <row r="126" spans="1:10" x14ac:dyDescent="0.35">
      <c r="A126" t="s">
        <v>127</v>
      </c>
      <c r="B126" s="5" t="s">
        <v>366</v>
      </c>
      <c r="C126" s="8" t="s">
        <v>222</v>
      </c>
      <c r="D126" s="1">
        <v>0</v>
      </c>
      <c r="E126" s="1">
        <v>0</v>
      </c>
      <c r="F126" s="1">
        <v>40000</v>
      </c>
      <c r="G126" s="7">
        <f>9.2/100</f>
        <v>9.1999999999999998E-2</v>
      </c>
      <c r="H126" s="7">
        <v>0</v>
      </c>
      <c r="I126" s="7">
        <v>3680</v>
      </c>
      <c r="J126" s="2" t="s">
        <v>1</v>
      </c>
    </row>
    <row r="127" spans="1:10" x14ac:dyDescent="0.35">
      <c r="A127" t="s">
        <v>128</v>
      </c>
      <c r="B127" s="5" t="s">
        <v>367</v>
      </c>
      <c r="C127" s="8" t="s">
        <v>368</v>
      </c>
      <c r="D127" s="1">
        <v>0</v>
      </c>
      <c r="E127" s="1">
        <v>0</v>
      </c>
      <c r="F127" s="1">
        <v>40800</v>
      </c>
      <c r="G127" s="7">
        <f>213.94/100</f>
        <v>2.1394000000000002</v>
      </c>
      <c r="H127" s="7">
        <v>0</v>
      </c>
      <c r="I127" s="7">
        <v>87287.52</v>
      </c>
      <c r="J127" s="2" t="s">
        <v>1</v>
      </c>
    </row>
    <row r="128" spans="1:10" x14ac:dyDescent="0.35">
      <c r="A128" t="s">
        <v>129</v>
      </c>
      <c r="B128" s="5" t="s">
        <v>369</v>
      </c>
      <c r="C128" s="6" t="s">
        <v>370</v>
      </c>
      <c r="D128" s="1">
        <v>0</v>
      </c>
      <c r="E128" s="1">
        <v>0</v>
      </c>
      <c r="F128" s="1">
        <v>41125</v>
      </c>
      <c r="G128" s="7">
        <f>185.82/100</f>
        <v>1.8581999999999999</v>
      </c>
      <c r="H128" s="7">
        <v>0</v>
      </c>
      <c r="I128" s="7">
        <v>76418.48</v>
      </c>
      <c r="J128" s="2" t="s">
        <v>1</v>
      </c>
    </row>
    <row r="129" spans="1:10" x14ac:dyDescent="0.35">
      <c r="A129" t="s">
        <v>130</v>
      </c>
      <c r="B129" s="5" t="s">
        <v>371</v>
      </c>
      <c r="C129" s="8" t="s">
        <v>372</v>
      </c>
      <c r="D129" s="1">
        <v>960</v>
      </c>
      <c r="E129" s="1">
        <v>42.5</v>
      </c>
      <c r="F129" s="1">
        <v>40800</v>
      </c>
      <c r="G129" s="7">
        <f>273.32/100</f>
        <v>2.7332000000000001</v>
      </c>
      <c r="H129" s="7">
        <v>116.16</v>
      </c>
      <c r="I129" s="7">
        <v>111514.56</v>
      </c>
      <c r="J129" s="2" t="s">
        <v>4</v>
      </c>
    </row>
    <row r="130" spans="1:10" x14ac:dyDescent="0.35">
      <c r="A130" t="s">
        <v>131</v>
      </c>
      <c r="B130" s="5" t="s">
        <v>373</v>
      </c>
      <c r="C130" s="8" t="s">
        <v>372</v>
      </c>
      <c r="D130" s="1">
        <v>960</v>
      </c>
      <c r="E130" s="1">
        <v>42.5</v>
      </c>
      <c r="F130" s="1">
        <v>40800</v>
      </c>
      <c r="G130" s="7">
        <f>215.57/100</f>
        <v>2.1556999999999999</v>
      </c>
      <c r="H130" s="7">
        <v>91.62</v>
      </c>
      <c r="I130" s="7">
        <v>87952.56</v>
      </c>
      <c r="J130" s="2" t="s">
        <v>4</v>
      </c>
    </row>
    <row r="131" spans="1:10" x14ac:dyDescent="0.35">
      <c r="A131" t="s">
        <v>132</v>
      </c>
      <c r="B131" s="5" t="s">
        <v>374</v>
      </c>
      <c r="C131" s="8" t="s">
        <v>249</v>
      </c>
      <c r="D131" s="1">
        <v>1000</v>
      </c>
      <c r="E131" s="1">
        <v>40</v>
      </c>
      <c r="F131" s="1">
        <v>40000</v>
      </c>
      <c r="G131" s="7">
        <f>354.47/100</f>
        <v>3.5447000000000002</v>
      </c>
      <c r="H131" s="7">
        <v>141.79</v>
      </c>
      <c r="I131" s="7">
        <v>141788</v>
      </c>
      <c r="J131" s="2" t="s">
        <v>1</v>
      </c>
    </row>
    <row r="132" spans="1:10" x14ac:dyDescent="0.35">
      <c r="A132" t="s">
        <v>133</v>
      </c>
      <c r="B132" s="5" t="s">
        <v>375</v>
      </c>
      <c r="C132" s="8" t="s">
        <v>249</v>
      </c>
      <c r="D132" s="1">
        <v>950</v>
      </c>
      <c r="E132" s="1">
        <v>40</v>
      </c>
      <c r="F132" s="1">
        <v>38000</v>
      </c>
      <c r="G132" s="7">
        <f>427.76/100</f>
        <v>4.2775999999999996</v>
      </c>
      <c r="H132" s="7">
        <v>171.1</v>
      </c>
      <c r="I132" s="7">
        <v>162548.79999999999</v>
      </c>
      <c r="J132" s="2" t="s">
        <v>1</v>
      </c>
    </row>
    <row r="133" spans="1:10" x14ac:dyDescent="0.35">
      <c r="A133" t="s">
        <v>134</v>
      </c>
      <c r="B133" s="5" t="s">
        <v>376</v>
      </c>
      <c r="C133" s="8" t="s">
        <v>249</v>
      </c>
      <c r="D133" s="1">
        <v>950</v>
      </c>
      <c r="E133" s="1">
        <v>40</v>
      </c>
      <c r="F133" s="1">
        <v>38000</v>
      </c>
      <c r="G133" s="7">
        <f>423/100</f>
        <v>4.2300000000000004</v>
      </c>
      <c r="H133" s="7">
        <v>169.2</v>
      </c>
      <c r="I133" s="7">
        <v>160740</v>
      </c>
      <c r="J133" s="2" t="s">
        <v>1</v>
      </c>
    </row>
    <row r="134" spans="1:10" x14ac:dyDescent="0.35">
      <c r="A134" t="s">
        <v>135</v>
      </c>
      <c r="B134" s="5" t="s">
        <v>377</v>
      </c>
      <c r="C134" s="8" t="s">
        <v>249</v>
      </c>
      <c r="D134" s="1">
        <v>950</v>
      </c>
      <c r="E134" s="1">
        <v>40</v>
      </c>
      <c r="F134" s="1">
        <v>38000</v>
      </c>
      <c r="G134" s="7">
        <f>366.44/100</f>
        <v>3.6644000000000001</v>
      </c>
      <c r="H134" s="7">
        <v>146.58000000000001</v>
      </c>
      <c r="I134" s="7">
        <v>139247.20000000001</v>
      </c>
      <c r="J134" s="2" t="s">
        <v>1</v>
      </c>
    </row>
    <row r="135" spans="1:10" x14ac:dyDescent="0.35">
      <c r="A135" t="s">
        <v>136</v>
      </c>
      <c r="B135" s="5" t="s">
        <v>378</v>
      </c>
      <c r="C135" s="8" t="s">
        <v>249</v>
      </c>
      <c r="D135" s="1">
        <v>950</v>
      </c>
      <c r="E135" s="1">
        <v>40</v>
      </c>
      <c r="F135" s="1">
        <v>38000</v>
      </c>
      <c r="G135" s="7">
        <f>384.47/100</f>
        <v>3.8447000000000005</v>
      </c>
      <c r="H135" s="7">
        <v>153.79</v>
      </c>
      <c r="I135" s="7">
        <v>146098.6</v>
      </c>
      <c r="J135" s="2" t="s">
        <v>1</v>
      </c>
    </row>
    <row r="136" spans="1:10" x14ac:dyDescent="0.35">
      <c r="A136" t="s">
        <v>137</v>
      </c>
      <c r="B136" s="5" t="s">
        <v>379</v>
      </c>
      <c r="C136" s="8" t="s">
        <v>283</v>
      </c>
      <c r="D136" s="1">
        <v>1400</v>
      </c>
      <c r="E136" s="1">
        <v>27</v>
      </c>
      <c r="F136" s="1">
        <v>37800</v>
      </c>
      <c r="G136" s="7">
        <f>142.21/100</f>
        <v>1.4221000000000001</v>
      </c>
      <c r="H136" s="7">
        <v>38.4</v>
      </c>
      <c r="I136" s="7">
        <v>53755.38</v>
      </c>
      <c r="J136" s="2" t="s">
        <v>1</v>
      </c>
    </row>
    <row r="137" spans="1:10" x14ac:dyDescent="0.35">
      <c r="A137" t="s">
        <v>138</v>
      </c>
      <c r="B137" s="5" t="s">
        <v>324</v>
      </c>
      <c r="C137" s="8" t="s">
        <v>380</v>
      </c>
      <c r="D137" s="1">
        <v>0</v>
      </c>
      <c r="E137" s="1">
        <v>0</v>
      </c>
      <c r="F137" s="1">
        <v>44000</v>
      </c>
      <c r="G137" s="7">
        <f>66.4/100</f>
        <v>0.66400000000000003</v>
      </c>
      <c r="H137" s="7">
        <v>0</v>
      </c>
      <c r="I137" s="7">
        <v>29216</v>
      </c>
      <c r="J137" s="2" t="s">
        <v>1</v>
      </c>
    </row>
    <row r="138" spans="1:10" x14ac:dyDescent="0.35">
      <c r="A138" t="s">
        <v>139</v>
      </c>
      <c r="B138" s="5" t="s">
        <v>381</v>
      </c>
      <c r="C138" s="8" t="s">
        <v>382</v>
      </c>
      <c r="D138" s="1">
        <v>2100</v>
      </c>
      <c r="E138" s="1">
        <v>10.8</v>
      </c>
      <c r="F138" s="1">
        <v>22680</v>
      </c>
      <c r="G138" s="7">
        <f>119.63/100</f>
        <v>1.1962999999999999</v>
      </c>
      <c r="H138" s="7">
        <v>12.92</v>
      </c>
      <c r="I138" s="7">
        <v>27132.080000000002</v>
      </c>
      <c r="J138" s="2" t="s">
        <v>1</v>
      </c>
    </row>
    <row r="139" spans="1:10" x14ac:dyDescent="0.35">
      <c r="A139" t="s">
        <v>140</v>
      </c>
      <c r="B139" s="5" t="s">
        <v>383</v>
      </c>
      <c r="C139" s="11" t="s">
        <v>384</v>
      </c>
      <c r="D139" s="1">
        <v>1500</v>
      </c>
      <c r="E139" s="1">
        <v>27</v>
      </c>
      <c r="F139" s="1">
        <v>40500</v>
      </c>
      <c r="G139" s="7">
        <f>105.9/100</f>
        <v>1.0590000000000002</v>
      </c>
      <c r="H139" s="7">
        <v>28.59</v>
      </c>
      <c r="I139" s="7">
        <v>42889.5</v>
      </c>
      <c r="J139" s="2" t="s">
        <v>1</v>
      </c>
    </row>
    <row r="140" spans="1:10" x14ac:dyDescent="0.35">
      <c r="A140" t="s">
        <v>141</v>
      </c>
      <c r="B140" s="5" t="s">
        <v>385</v>
      </c>
      <c r="C140" s="6" t="s">
        <v>386</v>
      </c>
      <c r="D140" s="1">
        <v>1680</v>
      </c>
      <c r="E140" s="1">
        <v>22.5</v>
      </c>
      <c r="F140" s="1">
        <v>37800</v>
      </c>
      <c r="G140" s="7">
        <f>298.61/100</f>
        <v>2.9861</v>
      </c>
      <c r="H140" s="7">
        <v>67.19</v>
      </c>
      <c r="I140" s="7">
        <v>112874.58</v>
      </c>
      <c r="J140" s="2" t="s">
        <v>1</v>
      </c>
    </row>
    <row r="141" spans="1:10" x14ac:dyDescent="0.35">
      <c r="A141" t="s">
        <v>142</v>
      </c>
      <c r="B141" s="5" t="s">
        <v>387</v>
      </c>
      <c r="C141" s="8" t="s">
        <v>388</v>
      </c>
      <c r="D141" s="1">
        <v>2860</v>
      </c>
      <c r="E141" s="1">
        <v>12</v>
      </c>
      <c r="F141" s="1">
        <v>34320</v>
      </c>
      <c r="G141" s="7">
        <f>130/100</f>
        <v>1.3</v>
      </c>
      <c r="H141" s="7">
        <v>15.6</v>
      </c>
      <c r="I141" s="7">
        <v>44616</v>
      </c>
      <c r="J141" s="2" t="s">
        <v>1</v>
      </c>
    </row>
    <row r="142" spans="1:10" x14ac:dyDescent="0.35">
      <c r="A142" t="s">
        <v>143</v>
      </c>
      <c r="B142" s="5" t="s">
        <v>389</v>
      </c>
      <c r="C142" s="8" t="s">
        <v>390</v>
      </c>
      <c r="D142" s="1">
        <v>4900</v>
      </c>
      <c r="E142" s="1">
        <v>6</v>
      </c>
      <c r="F142" s="1">
        <v>29400</v>
      </c>
      <c r="G142" s="7">
        <f>124/100</f>
        <v>1.24</v>
      </c>
      <c r="H142" s="7">
        <v>7.44</v>
      </c>
      <c r="I142" s="7">
        <v>36456</v>
      </c>
      <c r="J142" s="2" t="s">
        <v>1</v>
      </c>
    </row>
    <row r="143" spans="1:10" x14ac:dyDescent="0.35">
      <c r="A143" t="s">
        <v>144</v>
      </c>
      <c r="B143" s="5" t="s">
        <v>391</v>
      </c>
      <c r="C143" s="8" t="s">
        <v>390</v>
      </c>
      <c r="D143" s="1">
        <v>4900</v>
      </c>
      <c r="E143" s="1">
        <v>6</v>
      </c>
      <c r="F143" s="1">
        <v>29400</v>
      </c>
      <c r="G143" s="7">
        <f>124/100</f>
        <v>1.24</v>
      </c>
      <c r="H143" s="7">
        <v>7.44</v>
      </c>
      <c r="I143" s="7">
        <v>36456</v>
      </c>
      <c r="J143" s="2" t="s">
        <v>1</v>
      </c>
    </row>
    <row r="144" spans="1:10" x14ac:dyDescent="0.35">
      <c r="A144" t="s">
        <v>145</v>
      </c>
      <c r="B144" s="5" t="s">
        <v>387</v>
      </c>
      <c r="C144" s="8" t="s">
        <v>390</v>
      </c>
      <c r="D144" s="1">
        <v>4900</v>
      </c>
      <c r="E144" s="1">
        <v>6</v>
      </c>
      <c r="F144" s="1">
        <v>29400</v>
      </c>
      <c r="G144" s="7">
        <f>124/100</f>
        <v>1.24</v>
      </c>
      <c r="H144" s="7">
        <v>7.44</v>
      </c>
      <c r="I144" s="7">
        <v>36456</v>
      </c>
      <c r="J144" s="2" t="s">
        <v>1</v>
      </c>
    </row>
    <row r="145" spans="1:10" x14ac:dyDescent="0.35">
      <c r="A145" t="s">
        <v>146</v>
      </c>
      <c r="B145" s="5" t="s">
        <v>392</v>
      </c>
      <c r="C145" s="6" t="s">
        <v>275</v>
      </c>
      <c r="D145" s="1">
        <v>1902</v>
      </c>
      <c r="E145" s="1">
        <v>20</v>
      </c>
      <c r="F145" s="1">
        <v>38040</v>
      </c>
      <c r="G145" s="7">
        <f>94.16/100</f>
        <v>0.94159999999999999</v>
      </c>
      <c r="H145" s="7">
        <v>18.829999999999998</v>
      </c>
      <c r="I145" s="7">
        <v>35818.46</v>
      </c>
      <c r="J145" s="2" t="s">
        <v>1</v>
      </c>
    </row>
    <row r="146" spans="1:10" x14ac:dyDescent="0.35">
      <c r="A146" t="s">
        <v>147</v>
      </c>
      <c r="B146" s="5" t="s">
        <v>393</v>
      </c>
      <c r="C146" s="6" t="s">
        <v>228</v>
      </c>
      <c r="D146" s="1">
        <v>1300</v>
      </c>
      <c r="E146" s="1">
        <v>30</v>
      </c>
      <c r="F146" s="1">
        <v>39000</v>
      </c>
      <c r="G146" s="7">
        <f>348.77/100</f>
        <v>3.4876999999999998</v>
      </c>
      <c r="H146" s="7">
        <v>104.63</v>
      </c>
      <c r="I146" s="7">
        <v>136020.29999999999</v>
      </c>
      <c r="J146" s="2" t="s">
        <v>1</v>
      </c>
    </row>
    <row r="147" spans="1:10" x14ac:dyDescent="0.35">
      <c r="A147" t="s">
        <v>148</v>
      </c>
      <c r="B147" s="5" t="s">
        <v>394</v>
      </c>
      <c r="C147" s="8" t="s">
        <v>212</v>
      </c>
      <c r="D147" s="1">
        <v>1134</v>
      </c>
      <c r="E147" s="1">
        <v>30</v>
      </c>
      <c r="F147" s="1">
        <v>34020</v>
      </c>
      <c r="G147" s="7">
        <f>166.96/100</f>
        <v>1.6696</v>
      </c>
      <c r="H147" s="7">
        <v>50.09</v>
      </c>
      <c r="I147" s="7">
        <v>56799.79</v>
      </c>
      <c r="J147" s="2" t="s">
        <v>1</v>
      </c>
    </row>
    <row r="148" spans="1:10" x14ac:dyDescent="0.35">
      <c r="A148" t="s">
        <v>149</v>
      </c>
      <c r="B148" s="5" t="s">
        <v>395</v>
      </c>
      <c r="C148" s="6" t="s">
        <v>212</v>
      </c>
      <c r="D148" s="1">
        <v>1320</v>
      </c>
      <c r="E148" s="1">
        <v>30</v>
      </c>
      <c r="F148" s="1">
        <v>39600</v>
      </c>
      <c r="G148" s="7">
        <f>54.32/100</f>
        <v>0.54320000000000002</v>
      </c>
      <c r="H148" s="7">
        <v>16.3</v>
      </c>
      <c r="I148" s="7">
        <v>21510.720000000001</v>
      </c>
      <c r="J148" s="2" t="s">
        <v>1</v>
      </c>
    </row>
    <row r="149" spans="1:10" x14ac:dyDescent="0.35">
      <c r="A149" t="s">
        <v>150</v>
      </c>
      <c r="B149" s="5" t="s">
        <v>396</v>
      </c>
      <c r="C149" s="8" t="s">
        <v>331</v>
      </c>
      <c r="D149" s="1">
        <v>864</v>
      </c>
      <c r="E149" s="1">
        <v>50</v>
      </c>
      <c r="F149" s="1">
        <v>43200</v>
      </c>
      <c r="G149" s="7">
        <f>35.74/100</f>
        <v>0.3574</v>
      </c>
      <c r="H149" s="7">
        <v>17.87</v>
      </c>
      <c r="I149" s="7">
        <v>15439.68</v>
      </c>
      <c r="J149" s="2" t="s">
        <v>1</v>
      </c>
    </row>
    <row r="150" spans="1:10" x14ac:dyDescent="0.35">
      <c r="A150" t="s">
        <v>151</v>
      </c>
      <c r="B150" s="5" t="s">
        <v>397</v>
      </c>
      <c r="C150" s="8" t="s">
        <v>398</v>
      </c>
      <c r="D150" s="1">
        <v>2000</v>
      </c>
      <c r="E150" s="1">
        <v>20</v>
      </c>
      <c r="F150" s="1">
        <v>40000</v>
      </c>
      <c r="G150" s="7">
        <f>78.41/100</f>
        <v>0.78410000000000002</v>
      </c>
      <c r="H150" s="7">
        <v>15.68</v>
      </c>
      <c r="I150" s="7">
        <v>31364</v>
      </c>
      <c r="J150" s="2" t="s">
        <v>1</v>
      </c>
    </row>
    <row r="151" spans="1:10" x14ac:dyDescent="0.35">
      <c r="A151" t="s">
        <v>152</v>
      </c>
      <c r="B151" s="5" t="s">
        <v>399</v>
      </c>
      <c r="C151" s="6" t="s">
        <v>398</v>
      </c>
      <c r="D151" s="1">
        <v>1400</v>
      </c>
      <c r="E151" s="1">
        <v>20</v>
      </c>
      <c r="F151" s="1">
        <v>28000</v>
      </c>
      <c r="G151" s="7">
        <f>88.47/100</f>
        <v>0.88470000000000004</v>
      </c>
      <c r="H151" s="7">
        <v>17.690000000000001</v>
      </c>
      <c r="I151" s="7">
        <v>24771.599999999999</v>
      </c>
      <c r="J151" s="2" t="s">
        <v>1</v>
      </c>
    </row>
    <row r="152" spans="1:10" x14ac:dyDescent="0.35">
      <c r="A152" t="s">
        <v>153</v>
      </c>
      <c r="B152" s="5" t="s">
        <v>400</v>
      </c>
      <c r="C152" s="8" t="s">
        <v>398</v>
      </c>
      <c r="D152" s="1">
        <v>2000</v>
      </c>
      <c r="E152" s="1">
        <v>20</v>
      </c>
      <c r="F152" s="1">
        <v>40000</v>
      </c>
      <c r="G152" s="7">
        <f>73.31/100</f>
        <v>0.73309999999999997</v>
      </c>
      <c r="H152" s="7">
        <v>14.66</v>
      </c>
      <c r="I152" s="7">
        <v>29324</v>
      </c>
      <c r="J152" s="2" t="s">
        <v>1</v>
      </c>
    </row>
    <row r="153" spans="1:10" x14ac:dyDescent="0.35">
      <c r="A153" t="s">
        <v>154</v>
      </c>
      <c r="B153" s="5" t="s">
        <v>401</v>
      </c>
      <c r="C153" s="8" t="s">
        <v>398</v>
      </c>
      <c r="D153" s="1">
        <v>1890</v>
      </c>
      <c r="E153" s="1">
        <v>20</v>
      </c>
      <c r="F153" s="1">
        <v>37800</v>
      </c>
      <c r="G153" s="7">
        <f>82.73/100</f>
        <v>0.82730000000000004</v>
      </c>
      <c r="H153" s="7">
        <v>16.55</v>
      </c>
      <c r="I153" s="7">
        <v>31271.94</v>
      </c>
      <c r="J153" s="2" t="s">
        <v>1</v>
      </c>
    </row>
    <row r="154" spans="1:10" x14ac:dyDescent="0.35">
      <c r="A154" t="s">
        <v>155</v>
      </c>
      <c r="B154" s="5" t="s">
        <v>402</v>
      </c>
      <c r="C154" s="6" t="s">
        <v>263</v>
      </c>
      <c r="D154" s="1">
        <v>912</v>
      </c>
      <c r="E154" s="1">
        <v>39.75</v>
      </c>
      <c r="F154" s="1">
        <v>36252</v>
      </c>
      <c r="G154" s="7">
        <f>81.17/100</f>
        <v>0.81169999999999998</v>
      </c>
      <c r="H154" s="7">
        <v>32.270000000000003</v>
      </c>
      <c r="I154" s="7">
        <v>29425.75</v>
      </c>
      <c r="J154" s="2" t="s">
        <v>1</v>
      </c>
    </row>
    <row r="155" spans="1:10" x14ac:dyDescent="0.35">
      <c r="A155" t="s">
        <v>156</v>
      </c>
      <c r="B155" s="5" t="s">
        <v>403</v>
      </c>
      <c r="C155" s="8" t="s">
        <v>249</v>
      </c>
      <c r="D155" s="1">
        <v>924</v>
      </c>
      <c r="E155" s="1">
        <v>38.5</v>
      </c>
      <c r="F155" s="1">
        <v>35574</v>
      </c>
      <c r="G155" s="7">
        <f>73.26/100</f>
        <v>0.73260000000000003</v>
      </c>
      <c r="H155" s="7">
        <v>28.21</v>
      </c>
      <c r="I155" s="7">
        <v>26061.51</v>
      </c>
      <c r="J155" s="2" t="s">
        <v>1</v>
      </c>
    </row>
    <row r="156" spans="1:10" x14ac:dyDescent="0.35">
      <c r="A156" t="s">
        <v>157</v>
      </c>
      <c r="B156" s="5" t="s">
        <v>404</v>
      </c>
      <c r="C156" s="6" t="s">
        <v>256</v>
      </c>
      <c r="D156" s="1">
        <v>1000</v>
      </c>
      <c r="E156" s="1">
        <v>40</v>
      </c>
      <c r="F156" s="1">
        <v>40000</v>
      </c>
      <c r="G156" s="7">
        <f>372.5/100</f>
        <v>3.7250000000000001</v>
      </c>
      <c r="H156" s="7">
        <v>149</v>
      </c>
      <c r="I156" s="7">
        <v>149000</v>
      </c>
      <c r="J156" s="2" t="s">
        <v>1</v>
      </c>
    </row>
    <row r="157" spans="1:10" x14ac:dyDescent="0.35">
      <c r="A157" t="s">
        <v>158</v>
      </c>
      <c r="B157" s="5" t="s">
        <v>405</v>
      </c>
      <c r="C157" s="8" t="s">
        <v>199</v>
      </c>
      <c r="D157" s="1">
        <v>1320</v>
      </c>
      <c r="E157" s="1">
        <v>30</v>
      </c>
      <c r="F157" s="1">
        <v>39600</v>
      </c>
      <c r="G157" s="7">
        <f>69.29/100</f>
        <v>0.69290000000000007</v>
      </c>
      <c r="H157" s="7">
        <v>20.79</v>
      </c>
      <c r="I157" s="7">
        <v>27438.84</v>
      </c>
      <c r="J157" s="2" t="s">
        <v>1</v>
      </c>
    </row>
    <row r="158" spans="1:10" x14ac:dyDescent="0.35">
      <c r="A158" t="s">
        <v>159</v>
      </c>
      <c r="B158" s="5" t="s">
        <v>406</v>
      </c>
      <c r="C158" s="8" t="s">
        <v>407</v>
      </c>
      <c r="D158" s="1">
        <v>0</v>
      </c>
      <c r="E158" s="1">
        <v>0</v>
      </c>
      <c r="F158" s="1">
        <v>39600</v>
      </c>
      <c r="G158" s="7">
        <f>208.87/100</f>
        <v>2.0887000000000002</v>
      </c>
      <c r="H158" s="7">
        <v>0</v>
      </c>
      <c r="I158" s="7">
        <v>82712.52</v>
      </c>
      <c r="J158" s="2" t="s">
        <v>1</v>
      </c>
    </row>
    <row r="159" spans="1:10" x14ac:dyDescent="0.35">
      <c r="A159" t="s">
        <v>160</v>
      </c>
      <c r="B159" s="5" t="s">
        <v>408</v>
      </c>
      <c r="C159" s="8" t="s">
        <v>272</v>
      </c>
      <c r="D159" s="1">
        <v>1320</v>
      </c>
      <c r="E159" s="1">
        <v>30</v>
      </c>
      <c r="F159" s="1">
        <v>39600</v>
      </c>
      <c r="G159" s="7">
        <f>161.31/100</f>
        <v>1.6131</v>
      </c>
      <c r="H159" s="7">
        <v>48.39</v>
      </c>
      <c r="I159" s="7">
        <v>63878.76</v>
      </c>
      <c r="J159" s="2" t="s">
        <v>1</v>
      </c>
    </row>
    <row r="160" spans="1:10" x14ac:dyDescent="0.35">
      <c r="A160" t="s">
        <v>161</v>
      </c>
      <c r="B160" s="5" t="s">
        <v>408</v>
      </c>
      <c r="C160" s="8" t="s">
        <v>212</v>
      </c>
      <c r="D160" s="1">
        <v>1320</v>
      </c>
      <c r="E160" s="1">
        <v>30</v>
      </c>
      <c r="F160" s="1">
        <v>39600</v>
      </c>
      <c r="G160" s="7">
        <f>144.37/100</f>
        <v>1.4437</v>
      </c>
      <c r="H160" s="7">
        <v>43.31</v>
      </c>
      <c r="I160" s="7">
        <v>57170.52</v>
      </c>
      <c r="J160" s="2" t="s">
        <v>1</v>
      </c>
    </row>
    <row r="161" spans="1:10" x14ac:dyDescent="0.35">
      <c r="A161" t="s">
        <v>162</v>
      </c>
      <c r="B161" s="5" t="s">
        <v>409</v>
      </c>
      <c r="C161" s="6" t="s">
        <v>410</v>
      </c>
      <c r="D161" s="1">
        <v>1408</v>
      </c>
      <c r="E161" s="1">
        <v>27</v>
      </c>
      <c r="F161" s="1">
        <v>38016</v>
      </c>
      <c r="G161" s="7">
        <f>60.77/100</f>
        <v>0.60770000000000002</v>
      </c>
      <c r="H161" s="7">
        <v>16.41</v>
      </c>
      <c r="I161" s="7">
        <v>23102.32</v>
      </c>
      <c r="J161" s="2" t="s">
        <v>1</v>
      </c>
    </row>
    <row r="162" spans="1:10" x14ac:dyDescent="0.35">
      <c r="A162" t="s">
        <v>163</v>
      </c>
      <c r="B162" s="5" t="s">
        <v>411</v>
      </c>
      <c r="C162" s="8" t="s">
        <v>412</v>
      </c>
      <c r="D162" s="1">
        <v>0</v>
      </c>
      <c r="E162" s="1">
        <v>0</v>
      </c>
      <c r="F162" s="1">
        <v>44000</v>
      </c>
      <c r="G162" s="7">
        <f>54/100</f>
        <v>0.54</v>
      </c>
      <c r="H162" s="7">
        <v>0</v>
      </c>
      <c r="I162" s="7">
        <v>23760</v>
      </c>
      <c r="J162" s="2" t="s">
        <v>1</v>
      </c>
    </row>
    <row r="163" spans="1:10" x14ac:dyDescent="0.35">
      <c r="A163" t="s">
        <v>164</v>
      </c>
      <c r="B163" s="5" t="s">
        <v>413</v>
      </c>
      <c r="C163" s="8" t="s">
        <v>249</v>
      </c>
      <c r="D163" s="1">
        <v>950</v>
      </c>
      <c r="E163" s="1">
        <v>40</v>
      </c>
      <c r="F163" s="1">
        <v>38000</v>
      </c>
      <c r="G163" s="7">
        <f>556.75/100</f>
        <v>5.5674999999999999</v>
      </c>
      <c r="H163" s="7">
        <v>222.7</v>
      </c>
      <c r="I163" s="7">
        <v>211565</v>
      </c>
      <c r="J163" s="2" t="s">
        <v>1</v>
      </c>
    </row>
    <row r="164" spans="1:10" x14ac:dyDescent="0.35">
      <c r="A164" t="s">
        <v>165</v>
      </c>
      <c r="B164" s="5" t="s">
        <v>414</v>
      </c>
      <c r="C164" s="8" t="s">
        <v>199</v>
      </c>
      <c r="D164" s="1">
        <v>1320</v>
      </c>
      <c r="E164" s="1">
        <v>30</v>
      </c>
      <c r="F164" s="1">
        <v>39600</v>
      </c>
      <c r="G164" s="7">
        <f>135.64/100</f>
        <v>1.3563999999999998</v>
      </c>
      <c r="H164" s="7">
        <v>40.69</v>
      </c>
      <c r="I164" s="7">
        <v>53713.440000000002</v>
      </c>
      <c r="J164" s="2" t="s">
        <v>1</v>
      </c>
    </row>
    <row r="165" spans="1:10" x14ac:dyDescent="0.35">
      <c r="A165" t="s">
        <v>166</v>
      </c>
      <c r="B165" s="5" t="s">
        <v>415</v>
      </c>
      <c r="C165" s="6" t="s">
        <v>416</v>
      </c>
      <c r="D165" s="1">
        <v>1500</v>
      </c>
      <c r="E165" s="1">
        <v>21.75</v>
      </c>
      <c r="F165" s="1">
        <v>32625</v>
      </c>
      <c r="G165" s="7">
        <f>297.17/100</f>
        <v>2.9717000000000002</v>
      </c>
      <c r="H165" s="7">
        <v>64.63</v>
      </c>
      <c r="I165" s="7">
        <v>96951.71</v>
      </c>
      <c r="J165" s="2" t="s">
        <v>1</v>
      </c>
    </row>
    <row r="166" spans="1:10" x14ac:dyDescent="0.35">
      <c r="A166" t="s">
        <v>167</v>
      </c>
      <c r="B166" s="5" t="s">
        <v>417</v>
      </c>
      <c r="C166" s="8" t="s">
        <v>212</v>
      </c>
      <c r="D166" s="1">
        <v>1320</v>
      </c>
      <c r="E166" s="1">
        <v>30</v>
      </c>
      <c r="F166" s="1">
        <v>39600</v>
      </c>
      <c r="G166" s="7">
        <f>151.66/100</f>
        <v>1.5165999999999999</v>
      </c>
      <c r="H166" s="7">
        <v>45.5</v>
      </c>
      <c r="I166" s="7">
        <v>60057.36</v>
      </c>
      <c r="J166" s="2" t="s">
        <v>1</v>
      </c>
    </row>
    <row r="167" spans="1:10" x14ac:dyDescent="0.35">
      <c r="A167" t="s">
        <v>168</v>
      </c>
      <c r="B167" s="5" t="s">
        <v>418</v>
      </c>
      <c r="C167" s="8" t="s">
        <v>224</v>
      </c>
      <c r="D167" s="1">
        <v>1000</v>
      </c>
      <c r="E167" s="1">
        <v>40</v>
      </c>
      <c r="F167" s="1">
        <v>40000</v>
      </c>
      <c r="G167" s="7">
        <f>277.93/100</f>
        <v>2.7793000000000001</v>
      </c>
      <c r="H167" s="7">
        <v>111.17</v>
      </c>
      <c r="I167" s="7">
        <v>111172</v>
      </c>
      <c r="J167" s="2" t="s">
        <v>1</v>
      </c>
    </row>
    <row r="168" spans="1:10" x14ac:dyDescent="0.35">
      <c r="A168" t="s">
        <v>169</v>
      </c>
      <c r="B168" s="5" t="s">
        <v>307</v>
      </c>
      <c r="C168" s="8" t="s">
        <v>272</v>
      </c>
      <c r="D168" s="1">
        <v>1320</v>
      </c>
      <c r="E168" s="1">
        <v>30</v>
      </c>
      <c r="F168" s="1">
        <v>39600</v>
      </c>
      <c r="G168" s="7">
        <f>95.22/100</f>
        <v>0.95219999999999994</v>
      </c>
      <c r="H168" s="7">
        <v>28.57</v>
      </c>
      <c r="I168" s="7">
        <v>37707.120000000003</v>
      </c>
      <c r="J168" s="2" t="s">
        <v>1</v>
      </c>
    </row>
    <row r="169" spans="1:10" x14ac:dyDescent="0.35">
      <c r="A169" t="s">
        <v>170</v>
      </c>
      <c r="B169" s="5" t="s">
        <v>419</v>
      </c>
      <c r="C169" s="8" t="s">
        <v>199</v>
      </c>
      <c r="D169" s="1">
        <v>1320</v>
      </c>
      <c r="E169" s="1">
        <v>30</v>
      </c>
      <c r="F169" s="1">
        <v>39600</v>
      </c>
      <c r="G169" s="7">
        <f>68.44/100</f>
        <v>0.68440000000000001</v>
      </c>
      <c r="H169" s="7">
        <v>20.53</v>
      </c>
      <c r="I169" s="7">
        <v>27102.240000000002</v>
      </c>
      <c r="J169" s="2" t="s">
        <v>1</v>
      </c>
    </row>
    <row r="170" spans="1:10" x14ac:dyDescent="0.35">
      <c r="A170" t="s">
        <v>171</v>
      </c>
      <c r="B170" s="5" t="s">
        <v>216</v>
      </c>
      <c r="C170" s="8" t="s">
        <v>420</v>
      </c>
      <c r="D170" s="1">
        <v>1600</v>
      </c>
      <c r="E170" s="1">
        <v>24</v>
      </c>
      <c r="F170" s="1">
        <v>38400</v>
      </c>
      <c r="G170" s="7">
        <f>115.06/100</f>
        <v>1.1506000000000001</v>
      </c>
      <c r="H170" s="7">
        <v>27.61</v>
      </c>
      <c r="I170" s="7">
        <v>44183.040000000001</v>
      </c>
      <c r="J170" s="2" t="s">
        <v>1</v>
      </c>
    </row>
    <row r="171" spans="1:10" x14ac:dyDescent="0.35">
      <c r="A171" t="s">
        <v>172</v>
      </c>
      <c r="B171" s="5" t="s">
        <v>421</v>
      </c>
      <c r="C171" s="8" t="s">
        <v>199</v>
      </c>
      <c r="D171" s="1">
        <v>1320</v>
      </c>
      <c r="E171" s="1">
        <v>30</v>
      </c>
      <c r="F171" s="1">
        <v>39600</v>
      </c>
      <c r="G171" s="7">
        <f>169.12/100</f>
        <v>1.6912</v>
      </c>
      <c r="H171" s="7">
        <v>50.74</v>
      </c>
      <c r="I171" s="7">
        <v>66971.520000000004</v>
      </c>
      <c r="J171" s="2" t="s">
        <v>1</v>
      </c>
    </row>
    <row r="172" spans="1:10" x14ac:dyDescent="0.35">
      <c r="A172" t="s">
        <v>173</v>
      </c>
      <c r="B172" s="5" t="s">
        <v>422</v>
      </c>
      <c r="C172" s="8" t="s">
        <v>224</v>
      </c>
      <c r="D172" s="1">
        <v>950</v>
      </c>
      <c r="E172" s="1">
        <v>40</v>
      </c>
      <c r="F172" s="1">
        <v>38000</v>
      </c>
      <c r="G172" s="7">
        <f>264.98/100</f>
        <v>2.6498000000000004</v>
      </c>
      <c r="H172" s="7">
        <v>105.99</v>
      </c>
      <c r="I172" s="7">
        <v>100692.4</v>
      </c>
      <c r="J172" s="2" t="s">
        <v>1</v>
      </c>
    </row>
    <row r="173" spans="1:10" x14ac:dyDescent="0.35">
      <c r="A173" t="s">
        <v>174</v>
      </c>
      <c r="B173" s="5" t="s">
        <v>423</v>
      </c>
      <c r="C173" s="6" t="s">
        <v>424</v>
      </c>
      <c r="D173" s="1">
        <v>3780</v>
      </c>
      <c r="E173" s="1">
        <v>8.25</v>
      </c>
      <c r="F173" s="1">
        <v>31185</v>
      </c>
      <c r="G173" s="7">
        <f>216.58/100</f>
        <v>2.1657999999999999</v>
      </c>
      <c r="H173" s="7">
        <v>17.87</v>
      </c>
      <c r="I173" s="7">
        <v>67540.47</v>
      </c>
      <c r="J173" s="2" t="s">
        <v>1</v>
      </c>
    </row>
    <row r="174" spans="1:10" x14ac:dyDescent="0.35">
      <c r="A174" t="s">
        <v>175</v>
      </c>
      <c r="B174" s="5" t="s">
        <v>425</v>
      </c>
      <c r="C174" s="8" t="s">
        <v>331</v>
      </c>
      <c r="D174" s="1">
        <v>800</v>
      </c>
      <c r="E174" s="1">
        <v>50</v>
      </c>
      <c r="F174" s="1">
        <v>40000</v>
      </c>
      <c r="G174" s="7">
        <f>31.58/100</f>
        <v>0.31579999999999997</v>
      </c>
      <c r="H174" s="7">
        <v>15.79</v>
      </c>
      <c r="I174" s="7">
        <v>12632</v>
      </c>
      <c r="J174" s="2" t="s">
        <v>1</v>
      </c>
    </row>
    <row r="175" spans="1:10" x14ac:dyDescent="0.35">
      <c r="A175" t="s">
        <v>176</v>
      </c>
      <c r="B175" s="5" t="s">
        <v>425</v>
      </c>
      <c r="C175" s="8" t="s">
        <v>329</v>
      </c>
      <c r="D175" s="1">
        <v>1000</v>
      </c>
      <c r="E175" s="1">
        <v>40</v>
      </c>
      <c r="F175" s="1">
        <v>40000</v>
      </c>
      <c r="G175" s="7">
        <f>32.15/100</f>
        <v>0.32150000000000001</v>
      </c>
      <c r="H175" s="7">
        <v>12.86</v>
      </c>
      <c r="I175" s="7">
        <v>12860</v>
      </c>
      <c r="J175" s="2" t="s">
        <v>1</v>
      </c>
    </row>
    <row r="176" spans="1:10" x14ac:dyDescent="0.35">
      <c r="A176" t="s">
        <v>177</v>
      </c>
      <c r="B176" s="5" t="s">
        <v>426</v>
      </c>
      <c r="C176" s="8" t="s">
        <v>410</v>
      </c>
      <c r="D176" s="1">
        <v>1400</v>
      </c>
      <c r="E176" s="1">
        <v>24</v>
      </c>
      <c r="F176" s="1">
        <v>33600</v>
      </c>
      <c r="G176" s="7">
        <f>185.29/100</f>
        <v>1.8529</v>
      </c>
      <c r="H176" s="7">
        <v>44.47</v>
      </c>
      <c r="I176" s="7">
        <v>62257.440000000002</v>
      </c>
      <c r="J176" s="2" t="s">
        <v>1</v>
      </c>
    </row>
    <row r="177" spans="1:10" x14ac:dyDescent="0.35">
      <c r="A177" t="s">
        <v>178</v>
      </c>
      <c r="B177" s="5" t="s">
        <v>427</v>
      </c>
      <c r="C177" s="6" t="s">
        <v>199</v>
      </c>
      <c r="D177" s="1">
        <v>1320</v>
      </c>
      <c r="E177" s="1">
        <v>30</v>
      </c>
      <c r="F177" s="1">
        <v>39600</v>
      </c>
      <c r="G177" s="7">
        <f>175.88/100</f>
        <v>1.7587999999999999</v>
      </c>
      <c r="H177" s="7">
        <v>52.76</v>
      </c>
      <c r="I177" s="7">
        <v>69648.479999999996</v>
      </c>
      <c r="J177" s="2" t="s">
        <v>1</v>
      </c>
    </row>
    <row r="178" spans="1:10" x14ac:dyDescent="0.35">
      <c r="A178" t="s">
        <v>179</v>
      </c>
      <c r="B178" s="5" t="s">
        <v>428</v>
      </c>
      <c r="C178" s="6" t="s">
        <v>272</v>
      </c>
      <c r="D178" s="1">
        <v>1320</v>
      </c>
      <c r="E178" s="1">
        <v>30</v>
      </c>
      <c r="F178" s="1">
        <v>39600</v>
      </c>
      <c r="G178" s="7">
        <f>226.11/100</f>
        <v>2.2611000000000003</v>
      </c>
      <c r="H178" s="7">
        <v>67.83</v>
      </c>
      <c r="I178" s="7">
        <v>89539.56</v>
      </c>
      <c r="J178" s="2" t="s">
        <v>1</v>
      </c>
    </row>
    <row r="179" spans="1:10" x14ac:dyDescent="0.35">
      <c r="A179" t="s">
        <v>180</v>
      </c>
      <c r="B179" s="5" t="s">
        <v>429</v>
      </c>
      <c r="C179" s="6" t="s">
        <v>256</v>
      </c>
      <c r="D179" s="1">
        <v>1000</v>
      </c>
      <c r="E179" s="1">
        <v>40</v>
      </c>
      <c r="F179" s="1">
        <v>40000</v>
      </c>
      <c r="G179" s="7">
        <f>370/100</f>
        <v>3.7</v>
      </c>
      <c r="H179" s="7">
        <v>148</v>
      </c>
      <c r="I179" s="7">
        <v>148000</v>
      </c>
      <c r="J179" s="2" t="s">
        <v>1</v>
      </c>
    </row>
    <row r="180" spans="1:10" x14ac:dyDescent="0.35">
      <c r="A180" t="s">
        <v>181</v>
      </c>
      <c r="B180" s="5" t="s">
        <v>430</v>
      </c>
      <c r="C180" s="8" t="s">
        <v>256</v>
      </c>
      <c r="D180" s="1">
        <v>1000</v>
      </c>
      <c r="E180" s="1">
        <v>40</v>
      </c>
      <c r="F180" s="1">
        <v>40000</v>
      </c>
      <c r="G180" s="7">
        <f>327/100</f>
        <v>3.27</v>
      </c>
      <c r="H180" s="7">
        <v>130.80000000000001</v>
      </c>
      <c r="I180" s="7">
        <v>130800</v>
      </c>
      <c r="J180" s="2" t="s">
        <v>1</v>
      </c>
    </row>
    <row r="181" spans="1:10" x14ac:dyDescent="0.35">
      <c r="A181" t="s">
        <v>182</v>
      </c>
      <c r="B181" s="5" t="s">
        <v>431</v>
      </c>
      <c r="C181" s="8" t="s">
        <v>228</v>
      </c>
      <c r="D181" s="1">
        <v>1300</v>
      </c>
      <c r="E181" s="1">
        <v>30</v>
      </c>
      <c r="F181" s="1">
        <v>39000</v>
      </c>
      <c r="G181" s="7">
        <f>356/100</f>
        <v>3.56</v>
      </c>
      <c r="H181" s="7">
        <v>106.8</v>
      </c>
      <c r="I181" s="7">
        <v>138840</v>
      </c>
      <c r="J181" s="2" t="s">
        <v>1</v>
      </c>
    </row>
    <row r="182" spans="1:10" x14ac:dyDescent="0.35">
      <c r="A182" t="s">
        <v>183</v>
      </c>
      <c r="B182" s="5" t="s">
        <v>432</v>
      </c>
      <c r="C182" s="8" t="s">
        <v>433</v>
      </c>
      <c r="D182" s="1">
        <v>1584</v>
      </c>
      <c r="E182" s="1">
        <v>25</v>
      </c>
      <c r="F182" s="1">
        <v>39600</v>
      </c>
      <c r="G182" s="7">
        <f>231.45/100</f>
        <v>2.3144999999999998</v>
      </c>
      <c r="H182" s="7">
        <v>57.86</v>
      </c>
      <c r="I182" s="7">
        <v>91654.2</v>
      </c>
      <c r="J182" s="2" t="s">
        <v>1</v>
      </c>
    </row>
    <row r="183" spans="1:10" x14ac:dyDescent="0.35">
      <c r="A183" t="s">
        <v>184</v>
      </c>
      <c r="B183" s="5" t="s">
        <v>395</v>
      </c>
      <c r="C183" s="6" t="s">
        <v>274</v>
      </c>
      <c r="D183" s="1">
        <v>1620</v>
      </c>
      <c r="E183" s="1">
        <v>24</v>
      </c>
      <c r="F183" s="1">
        <v>38880</v>
      </c>
      <c r="G183" s="7">
        <f>62.79/100</f>
        <v>0.62790000000000001</v>
      </c>
      <c r="H183" s="7">
        <v>15.07</v>
      </c>
      <c r="I183" s="7">
        <v>24412.75</v>
      </c>
      <c r="J183" s="2" t="s">
        <v>1</v>
      </c>
    </row>
    <row r="184" spans="1:10" x14ac:dyDescent="0.35">
      <c r="A184" t="s">
        <v>185</v>
      </c>
      <c r="B184" s="5" t="s">
        <v>306</v>
      </c>
      <c r="C184" s="6" t="s">
        <v>272</v>
      </c>
      <c r="D184" s="1">
        <v>1320</v>
      </c>
      <c r="E184" s="1">
        <v>30</v>
      </c>
      <c r="F184" s="1">
        <v>39600</v>
      </c>
      <c r="G184" s="7">
        <f>93.21/100</f>
        <v>0.93209999999999993</v>
      </c>
      <c r="H184" s="7">
        <v>27.96</v>
      </c>
      <c r="I184" s="7">
        <v>36911.160000000003</v>
      </c>
      <c r="J184" s="2" t="s">
        <v>1</v>
      </c>
    </row>
    <row r="185" spans="1:10" x14ac:dyDescent="0.35">
      <c r="A185" t="s">
        <v>186</v>
      </c>
      <c r="B185" s="5" t="s">
        <v>308</v>
      </c>
      <c r="C185" s="6" t="s">
        <v>274</v>
      </c>
      <c r="D185" s="1">
        <v>1620</v>
      </c>
      <c r="E185" s="1">
        <v>24</v>
      </c>
      <c r="F185" s="1">
        <v>38880</v>
      </c>
      <c r="G185" s="7">
        <f>85.56/100</f>
        <v>0.85560000000000003</v>
      </c>
      <c r="H185" s="7">
        <v>20.53</v>
      </c>
      <c r="I185" s="7">
        <v>33265.730000000003</v>
      </c>
      <c r="J185" s="2" t="s">
        <v>1</v>
      </c>
    </row>
    <row r="186" spans="1:10" x14ac:dyDescent="0.35">
      <c r="A186" t="s">
        <v>187</v>
      </c>
      <c r="B186" s="12" t="s">
        <v>434</v>
      </c>
      <c r="C186" s="6" t="s">
        <v>435</v>
      </c>
      <c r="D186" s="1">
        <v>1080</v>
      </c>
      <c r="E186" s="1">
        <v>6</v>
      </c>
      <c r="F186" s="1">
        <v>6480</v>
      </c>
      <c r="G186" s="7">
        <f>315.33/100</f>
        <v>3.1532999999999998</v>
      </c>
      <c r="H186" s="7">
        <v>18.920000000000002</v>
      </c>
      <c r="I186" s="7">
        <v>20433.38</v>
      </c>
      <c r="J186" s="2" t="s">
        <v>1</v>
      </c>
    </row>
    <row r="187" spans="1:10" x14ac:dyDescent="0.35">
      <c r="A187" t="s">
        <v>188</v>
      </c>
      <c r="B187" s="9" t="s">
        <v>436</v>
      </c>
      <c r="C187" s="6" t="s">
        <v>437</v>
      </c>
      <c r="D187" s="1">
        <v>3120</v>
      </c>
      <c r="E187" s="1">
        <v>12</v>
      </c>
      <c r="F187" s="1">
        <v>37440</v>
      </c>
      <c r="G187" s="7">
        <f>254.6/100</f>
        <v>2.5459999999999998</v>
      </c>
      <c r="H187" s="7">
        <v>30.55</v>
      </c>
      <c r="I187" s="7">
        <v>95322.240000000005</v>
      </c>
      <c r="J187" s="2" t="s">
        <v>1</v>
      </c>
    </row>
    <row r="188" spans="1:10" x14ac:dyDescent="0.35">
      <c r="A188" t="s">
        <v>189</v>
      </c>
      <c r="B188" s="5" t="s">
        <v>438</v>
      </c>
      <c r="C188" s="8" t="s">
        <v>439</v>
      </c>
      <c r="D188" s="1">
        <v>1940</v>
      </c>
      <c r="E188" s="1">
        <v>20</v>
      </c>
      <c r="F188" s="1">
        <v>38800</v>
      </c>
      <c r="G188" s="7">
        <f>239.54/100</f>
        <v>2.3954</v>
      </c>
      <c r="H188" s="7">
        <v>47.91</v>
      </c>
      <c r="I188" s="7">
        <v>92941.52</v>
      </c>
      <c r="J188" s="2" t="s">
        <v>1</v>
      </c>
    </row>
    <row r="189" spans="1:10" x14ac:dyDescent="0.35">
      <c r="A189" t="s">
        <v>190</v>
      </c>
      <c r="B189" s="5" t="s">
        <v>440</v>
      </c>
      <c r="C189" s="8" t="s">
        <v>441</v>
      </c>
      <c r="D189" s="1">
        <v>1320</v>
      </c>
      <c r="E189" s="1">
        <v>30</v>
      </c>
      <c r="F189" s="1">
        <v>39600</v>
      </c>
      <c r="G189" s="7">
        <f>76.21/100</f>
        <v>0.76209999999999989</v>
      </c>
      <c r="H189" s="7">
        <v>22.86</v>
      </c>
      <c r="I189" s="7">
        <v>30179.16</v>
      </c>
      <c r="J189" s="2" t="s">
        <v>1</v>
      </c>
    </row>
    <row r="190" spans="1:10" x14ac:dyDescent="0.35">
      <c r="A190" t="s">
        <v>191</v>
      </c>
      <c r="B190" s="5" t="s">
        <v>220</v>
      </c>
      <c r="C190" s="8" t="s">
        <v>221</v>
      </c>
      <c r="D190" s="1">
        <v>950</v>
      </c>
      <c r="E190" s="1">
        <v>40</v>
      </c>
      <c r="F190" s="1">
        <v>38000</v>
      </c>
      <c r="G190" s="7">
        <f>131.8/100</f>
        <v>1.3180000000000001</v>
      </c>
      <c r="H190" s="7">
        <v>52.72</v>
      </c>
      <c r="I190" s="7">
        <v>50084</v>
      </c>
      <c r="J190" s="2" t="s">
        <v>1</v>
      </c>
    </row>
  </sheetData>
  <autoFilter ref="A1:J190" xr:uid="{974AB0A7-8F8C-4353-8C25-7E0E3B46C300}"/>
  <phoneticPr fontId="0" type="noConversion"/>
  <dataValidations count="1">
    <dataValidation errorStyle="information" allowBlank="1" showInputMessage="1" showErrorMessage="1" sqref="B2:B35 B37:B190" xr:uid="{3302A4F5-6EB5-4BE2-AB3A-03B0B4E52B53}"/>
  </dataValidations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O'Donnell, Kathleen - FNS, Alexandria, VA</cp:lastModifiedBy>
  <cp:revision>1</cp:revision>
  <dcterms:created xsi:type="dcterms:W3CDTF">2021-12-30T16:53:56Z</dcterms:created>
  <dcterms:modified xsi:type="dcterms:W3CDTF">2022-01-03T14:57:51Z</dcterms:modified>
  <cp:category/>
</cp:coreProperties>
</file>