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gov-my.sharepoint.com/personal/apitt_doe_in_gov/Documents/Desktop/"/>
    </mc:Choice>
  </mc:AlternateContent>
  <xr:revisionPtr revIDLastSave="54" documentId="11_AA9621F401FE4F0435590516B31932CBBDB5D894" xr6:coauthVersionLast="46" xr6:coauthVersionMax="46" xr10:uidLastSave="{D8E68323-E9FE-4E99-BD3E-E0BB46DBDE74}"/>
  <bookViews>
    <workbookView xWindow="-120" yWindow="-120" windowWidth="20730" windowHeight="11160" activeTab="3" xr2:uid="{00000000-000D-0000-FFFF-FFFF00000000}"/>
  </bookViews>
  <sheets>
    <sheet name=" ARP-HCY I Budget Detail" sheetId="9" r:id="rId1"/>
    <sheet name="ARP-HCY I Budget Summary" sheetId="4" r:id="rId2"/>
    <sheet name="Sheet4" sheetId="11" state="hidden" r:id="rId3"/>
    <sheet name="ARP-HCY I Budget Table" sheetId="8" r:id="rId4"/>
  </sheets>
  <externalReferences>
    <externalReference r:id="rId5"/>
  </externalReferences>
  <definedNames>
    <definedName name="Category">' ARP-HCY I Budget Detail'!$E$34:$E$98</definedName>
    <definedName name="DUNS">Sheet4!$A$1:$E$408</definedName>
    <definedName name="ICR">'[1]ICR%FY19'!$A$2:$C$158</definedName>
    <definedName name="LEA">Sheet4!$B$2:$B$408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9" l="1"/>
  <c r="F95" i="9"/>
  <c r="F89" i="9"/>
  <c r="F88" i="9"/>
  <c r="F80" i="9"/>
  <c r="F79" i="9"/>
  <c r="F77" i="9"/>
  <c r="F71" i="9"/>
  <c r="F70" i="9"/>
  <c r="F68" i="9"/>
  <c r="F62" i="9"/>
  <c r="F61" i="9"/>
  <c r="F59" i="9"/>
  <c r="F53" i="9" l="1"/>
  <c r="D7" i="8" s="1"/>
  <c r="F52" i="9"/>
  <c r="C7" i="8" s="1"/>
  <c r="F41" i="9"/>
  <c r="F35" i="9"/>
  <c r="F43" i="9"/>
  <c r="F44" i="9"/>
  <c r="F9" i="9"/>
  <c r="A2" i="8" l="1"/>
  <c r="D347" i="11"/>
  <c r="C347" i="11"/>
  <c r="C14" i="11"/>
  <c r="C46" i="11"/>
  <c r="C379" i="11"/>
  <c r="C291" i="11"/>
  <c r="C132" i="11"/>
  <c r="C151" i="11"/>
  <c r="C79" i="11"/>
  <c r="C134" i="11"/>
  <c r="C82" i="11"/>
  <c r="C279" i="11"/>
  <c r="C107" i="11"/>
  <c r="C13" i="11"/>
  <c r="C277" i="11"/>
  <c r="C201" i="11"/>
  <c r="C262" i="11"/>
  <c r="C22" i="11"/>
  <c r="C223" i="11"/>
  <c r="C43" i="11"/>
  <c r="C129" i="11"/>
  <c r="C33" i="11"/>
  <c r="C130" i="11"/>
  <c r="C274" i="11"/>
  <c r="C57" i="11"/>
  <c r="C272" i="11"/>
  <c r="C396" i="11"/>
  <c r="C128" i="11"/>
  <c r="C269" i="11"/>
  <c r="C306" i="11"/>
  <c r="C219" i="11"/>
  <c r="C309" i="11"/>
  <c r="C242" i="11"/>
  <c r="C217" i="11"/>
  <c r="C228" i="11"/>
  <c r="C265" i="11"/>
  <c r="C289" i="11"/>
  <c r="C154" i="11"/>
  <c r="C181" i="11"/>
  <c r="C140" i="11"/>
  <c r="C288" i="11"/>
  <c r="C263" i="11"/>
  <c r="C264" i="11"/>
  <c r="C131" i="11"/>
  <c r="C261" i="11"/>
  <c r="C336" i="11"/>
  <c r="C398" i="11"/>
  <c r="C368" i="11"/>
  <c r="C335" i="11"/>
  <c r="C397" i="11"/>
  <c r="C318" i="11"/>
  <c r="C327" i="11"/>
  <c r="C340" i="11"/>
  <c r="C394" i="11"/>
  <c r="C377" i="11"/>
  <c r="C210" i="11"/>
  <c r="C104" i="11"/>
  <c r="C259" i="11"/>
  <c r="C34" i="11"/>
  <c r="C401" i="11"/>
  <c r="C405" i="11"/>
  <c r="C205" i="11"/>
  <c r="C206" i="11"/>
  <c r="C118" i="11"/>
  <c r="C247" i="11"/>
  <c r="C258" i="11"/>
  <c r="C207" i="11"/>
  <c r="C51" i="11"/>
  <c r="C283" i="11"/>
  <c r="C86" i="11"/>
  <c r="C64" i="11"/>
  <c r="C50" i="11"/>
  <c r="C268" i="11"/>
  <c r="C250" i="11"/>
  <c r="C233" i="11"/>
  <c r="C224" i="11"/>
  <c r="C198" i="11"/>
  <c r="C191" i="11"/>
  <c r="C161" i="11"/>
  <c r="C127" i="11"/>
  <c r="C100" i="11"/>
  <c r="C92" i="11"/>
  <c r="C70" i="11"/>
  <c r="C35" i="11"/>
  <c r="C156" i="11"/>
  <c r="C241" i="11"/>
  <c r="C4" i="11"/>
  <c r="C290" i="11"/>
  <c r="C370" i="11"/>
  <c r="C321" i="11"/>
  <c r="C182" i="11"/>
  <c r="C83" i="11"/>
  <c r="C101" i="11"/>
  <c r="C248" i="11"/>
  <c r="C245" i="11"/>
  <c r="C111" i="11"/>
  <c r="C406" i="11"/>
  <c r="C342" i="11"/>
  <c r="C244" i="11"/>
  <c r="C243" i="11"/>
  <c r="C175" i="11"/>
  <c r="C150" i="11"/>
  <c r="C148" i="11"/>
  <c r="C240" i="11"/>
  <c r="C149" i="11"/>
  <c r="C147" i="11"/>
  <c r="C143" i="11"/>
  <c r="C275" i="11"/>
  <c r="C237" i="11"/>
  <c r="C341" i="11"/>
  <c r="C29" i="11"/>
  <c r="C384" i="11"/>
  <c r="C66" i="11"/>
  <c r="C313" i="11"/>
  <c r="C137" i="11"/>
  <c r="C202" i="11"/>
  <c r="C282" i="11"/>
  <c r="C188" i="11"/>
  <c r="C115" i="11"/>
  <c r="C362" i="11"/>
  <c r="C229" i="11"/>
  <c r="C232" i="11"/>
  <c r="C231" i="11"/>
  <c r="C297" i="11"/>
  <c r="C133" i="11"/>
  <c r="C216" i="11"/>
  <c r="C218" i="11"/>
  <c r="C180" i="11"/>
  <c r="C97" i="11"/>
  <c r="C19" i="11"/>
  <c r="C307" i="11"/>
  <c r="C212" i="11"/>
  <c r="C187" i="11"/>
  <c r="C168" i="11"/>
  <c r="C208" i="11"/>
  <c r="C239" i="11"/>
  <c r="C303" i="11"/>
  <c r="C360" i="11"/>
  <c r="C381" i="11"/>
  <c r="C204" i="11"/>
  <c r="C298" i="11"/>
  <c r="C203" i="11"/>
  <c r="C251" i="11"/>
  <c r="C323" i="11"/>
  <c r="C354" i="11"/>
  <c r="C186" i="11"/>
  <c r="C105" i="11"/>
  <c r="C246" i="11"/>
  <c r="C6" i="11"/>
  <c r="C284" i="11"/>
  <c r="C281" i="11"/>
  <c r="C257" i="11"/>
  <c r="C49" i="11"/>
  <c r="C286" i="11"/>
  <c r="C93" i="11"/>
  <c r="C267" i="11"/>
  <c r="C249" i="11"/>
  <c r="C225" i="11"/>
  <c r="C197" i="11"/>
  <c r="C190" i="11"/>
  <c r="C185" i="11"/>
  <c r="C158" i="11"/>
  <c r="C126" i="11"/>
  <c r="C252" i="11"/>
  <c r="C91" i="11"/>
  <c r="C69" i="11"/>
  <c r="C32" i="11"/>
  <c r="C211" i="11"/>
  <c r="C3" i="11"/>
  <c r="C85" i="11"/>
  <c r="C125" i="11"/>
  <c r="C395" i="11"/>
  <c r="C152" i="11"/>
  <c r="C102" i="11"/>
  <c r="C61" i="11"/>
  <c r="C278" i="11"/>
  <c r="C366" i="11"/>
  <c r="C316" i="11"/>
  <c r="C48" i="11"/>
  <c r="C88" i="11"/>
  <c r="C196" i="11"/>
  <c r="C193" i="11"/>
  <c r="C189" i="11"/>
  <c r="C230" i="11"/>
  <c r="C159" i="11"/>
  <c r="C73" i="11"/>
  <c r="C98" i="11"/>
  <c r="C236" i="11"/>
  <c r="C56" i="11"/>
  <c r="C155" i="11"/>
  <c r="C138" i="11"/>
  <c r="C110" i="11"/>
  <c r="C400" i="11"/>
  <c r="C308" i="11"/>
  <c r="C74" i="11"/>
  <c r="C392" i="11"/>
  <c r="C270" i="11"/>
  <c r="C72" i="11"/>
  <c r="C117" i="11"/>
  <c r="C184" i="11"/>
  <c r="C172" i="11"/>
  <c r="C171" i="11"/>
  <c r="C170" i="11"/>
  <c r="C273" i="11"/>
  <c r="C271" i="11"/>
  <c r="C256" i="11"/>
  <c r="C5" i="11"/>
  <c r="C78" i="11"/>
  <c r="C169" i="11"/>
  <c r="C221" i="11"/>
  <c r="C153" i="11"/>
  <c r="C220" i="11"/>
  <c r="C195" i="11"/>
  <c r="C167" i="11"/>
  <c r="C165" i="11"/>
  <c r="C213" i="11"/>
  <c r="C285" i="11"/>
  <c r="C183" i="11"/>
  <c r="C21" i="11"/>
  <c r="C77" i="11"/>
  <c r="C44" i="11"/>
  <c r="C20" i="11"/>
  <c r="C15" i="11"/>
  <c r="C36" i="11"/>
  <c r="C157" i="11"/>
  <c r="C90" i="11"/>
  <c r="C135" i="11"/>
  <c r="C144" i="11"/>
  <c r="C141" i="11"/>
  <c r="C139" i="11"/>
  <c r="C260" i="11"/>
  <c r="C108" i="11"/>
  <c r="C253" i="11"/>
  <c r="C334" i="11"/>
  <c r="C333" i="11"/>
  <c r="C311" i="11"/>
  <c r="C114" i="11"/>
  <c r="C344" i="11"/>
  <c r="C238" i="11"/>
  <c r="C119" i="11"/>
  <c r="C116" i="11"/>
  <c r="C301" i="11"/>
  <c r="C235" i="11"/>
  <c r="C324" i="11"/>
  <c r="C367" i="11"/>
  <c r="C312" i="11"/>
  <c r="C349" i="11"/>
  <c r="C174" i="11"/>
  <c r="C359" i="11"/>
  <c r="C371" i="11"/>
  <c r="C372" i="11"/>
  <c r="C387" i="11"/>
  <c r="C315" i="11"/>
  <c r="C373" i="11"/>
  <c r="C388" i="11"/>
  <c r="C310" i="11"/>
  <c r="C343" i="11"/>
  <c r="C299" i="11"/>
  <c r="C345" i="11"/>
  <c r="C337" i="11"/>
  <c r="C176" i="11"/>
  <c r="C390" i="11"/>
  <c r="C353" i="11"/>
  <c r="C296" i="11"/>
  <c r="C109" i="11"/>
  <c r="C357" i="11"/>
  <c r="C382" i="11"/>
  <c r="C376" i="11"/>
  <c r="C407" i="11"/>
  <c r="C356" i="11"/>
  <c r="C136" i="11"/>
  <c r="C363" i="11"/>
  <c r="C80" i="11"/>
  <c r="C81" i="11"/>
  <c r="C255" i="11"/>
  <c r="C146" i="11"/>
  <c r="C124" i="11"/>
  <c r="C38" i="11"/>
  <c r="C87" i="11"/>
  <c r="C227" i="11"/>
  <c r="C52" i="11"/>
  <c r="C24" i="11"/>
  <c r="C59" i="11"/>
  <c r="C404" i="11"/>
  <c r="C358" i="11"/>
  <c r="C305" i="11"/>
  <c r="C386" i="11"/>
  <c r="C346" i="11"/>
  <c r="C145" i="11"/>
  <c r="C40" i="11"/>
  <c r="C287" i="11"/>
  <c r="C254" i="11"/>
  <c r="C160" i="11"/>
  <c r="C166" i="11"/>
  <c r="C65" i="11"/>
  <c r="C123" i="11"/>
  <c r="C7" i="11"/>
  <c r="C10" i="11"/>
  <c r="C60" i="11"/>
  <c r="C53" i="11"/>
  <c r="C378" i="11"/>
  <c r="C389" i="11"/>
  <c r="C380" i="11"/>
  <c r="C317" i="11"/>
  <c r="C391" i="11"/>
  <c r="C408" i="11"/>
  <c r="C319" i="11"/>
  <c r="C325" i="11"/>
  <c r="C326" i="11"/>
  <c r="C328" i="11"/>
  <c r="C302" i="11"/>
  <c r="C266" i="11"/>
  <c r="C329" i="11"/>
  <c r="C194" i="11"/>
  <c r="C164" i="11"/>
  <c r="C58" i="11"/>
  <c r="C294" i="11"/>
  <c r="C122" i="11"/>
  <c r="C106" i="11"/>
  <c r="C76" i="11"/>
  <c r="C222" i="11"/>
  <c r="C89" i="11"/>
  <c r="C71" i="11"/>
  <c r="C276" i="11"/>
  <c r="C215" i="11"/>
  <c r="C200" i="11"/>
  <c r="C68" i="11"/>
  <c r="C348" i="11"/>
  <c r="C350" i="11"/>
  <c r="C8" i="11"/>
  <c r="C214" i="11"/>
  <c r="C399" i="11"/>
  <c r="C375" i="11"/>
  <c r="C383" i="11"/>
  <c r="C18" i="11"/>
  <c r="C42" i="11"/>
  <c r="C39" i="11"/>
  <c r="C41" i="11"/>
  <c r="C37" i="11"/>
  <c r="C96" i="11"/>
  <c r="C393" i="11"/>
  <c r="C47" i="11"/>
  <c r="C177" i="11"/>
  <c r="C293" i="11"/>
  <c r="C292" i="11"/>
  <c r="C295" i="11"/>
  <c r="C142" i="11"/>
  <c r="C113" i="11"/>
  <c r="C192" i="11"/>
  <c r="C30" i="11"/>
  <c r="C45" i="11"/>
  <c r="C63" i="11"/>
  <c r="C16" i="11"/>
  <c r="C55" i="11"/>
  <c r="C28" i="11"/>
  <c r="C322" i="11"/>
  <c r="C226" i="11"/>
  <c r="C27" i="11"/>
  <c r="C26" i="11"/>
  <c r="C25" i="11"/>
  <c r="C23" i="11"/>
  <c r="C120" i="11"/>
  <c r="C314" i="11"/>
  <c r="C338" i="11"/>
  <c r="C331" i="11"/>
  <c r="C332" i="11"/>
  <c r="C330" i="11"/>
  <c r="C320" i="11"/>
  <c r="C339" i="11"/>
  <c r="C199" i="11"/>
  <c r="C280" i="11"/>
  <c r="C121" i="11"/>
  <c r="C67" i="11"/>
  <c r="C17" i="11"/>
  <c r="C364" i="11"/>
  <c r="C84" i="11"/>
  <c r="C402" i="11"/>
  <c r="C385" i="11"/>
  <c r="C209" i="11"/>
  <c r="C365" i="11"/>
  <c r="C103" i="11"/>
  <c r="C352" i="11"/>
  <c r="C112" i="11"/>
  <c r="C94" i="11"/>
  <c r="C179" i="11"/>
  <c r="C99" i="11"/>
  <c r="C75" i="11"/>
  <c r="C12" i="11"/>
  <c r="C11" i="11"/>
  <c r="C173" i="11"/>
  <c r="C54" i="11"/>
  <c r="C234" i="11"/>
  <c r="C9" i="11"/>
  <c r="C31" i="11"/>
  <c r="C355" i="11"/>
  <c r="C300" i="11"/>
  <c r="C95" i="11"/>
  <c r="C62" i="11"/>
  <c r="C361" i="11"/>
  <c r="C178" i="11"/>
  <c r="C351" i="11"/>
  <c r="C374" i="11"/>
  <c r="C369" i="11"/>
  <c r="C163" i="11"/>
  <c r="C304" i="11"/>
  <c r="C162" i="11"/>
  <c r="C2" i="11"/>
  <c r="C403" i="11"/>
  <c r="D408" i="11"/>
  <c r="D407" i="11"/>
  <c r="D406" i="11"/>
  <c r="D405" i="11"/>
  <c r="D404" i="11"/>
  <c r="D403" i="11"/>
  <c r="D402" i="11"/>
  <c r="D401" i="11"/>
  <c r="D400" i="11"/>
  <c r="D399" i="11"/>
  <c r="D398" i="11"/>
  <c r="D397" i="11"/>
  <c r="D396" i="11"/>
  <c r="D395" i="11"/>
  <c r="D394" i="11"/>
  <c r="D393" i="11"/>
  <c r="D392" i="11"/>
  <c r="D391" i="11"/>
  <c r="D390" i="11"/>
  <c r="D389" i="11"/>
  <c r="D388" i="11"/>
  <c r="D387" i="11"/>
  <c r="D386" i="11"/>
  <c r="D385" i="11"/>
  <c r="D384" i="11"/>
  <c r="D383" i="11"/>
  <c r="D382" i="11"/>
  <c r="D381" i="11"/>
  <c r="D380" i="11"/>
  <c r="D379" i="11"/>
  <c r="D378" i="11"/>
  <c r="D377" i="11"/>
  <c r="D376" i="11"/>
  <c r="D375" i="11"/>
  <c r="D374" i="11"/>
  <c r="D373" i="11"/>
  <c r="D372" i="11"/>
  <c r="D371" i="11"/>
  <c r="D370" i="11"/>
  <c r="D369" i="11"/>
  <c r="D368" i="11"/>
  <c r="D367" i="11"/>
  <c r="D366" i="11"/>
  <c r="D365" i="11"/>
  <c r="D364" i="11"/>
  <c r="D363" i="11"/>
  <c r="D362" i="11"/>
  <c r="D361" i="11"/>
  <c r="D360" i="11"/>
  <c r="D359" i="11"/>
  <c r="D358" i="11"/>
  <c r="D357" i="11"/>
  <c r="D356" i="11"/>
  <c r="D355" i="11"/>
  <c r="D354" i="11"/>
  <c r="D353" i="11"/>
  <c r="D352" i="11"/>
  <c r="D351" i="11"/>
  <c r="D350" i="11"/>
  <c r="D349" i="11"/>
  <c r="D348" i="11"/>
  <c r="D346" i="11"/>
  <c r="D344" i="11"/>
  <c r="D343" i="11"/>
  <c r="D342" i="11"/>
  <c r="D341" i="11"/>
  <c r="D340" i="11"/>
  <c r="D339" i="11"/>
  <c r="D338" i="11"/>
  <c r="D337" i="11"/>
  <c r="D336" i="11"/>
  <c r="D335" i="11"/>
  <c r="D334" i="11"/>
  <c r="D333" i="11"/>
  <c r="D332" i="11"/>
  <c r="D331" i="11"/>
  <c r="D330" i="11"/>
  <c r="D329" i="11"/>
  <c r="D328" i="11"/>
  <c r="D327" i="11"/>
  <c r="D326" i="11"/>
  <c r="D325" i="11"/>
  <c r="D324" i="11"/>
  <c r="D323" i="11"/>
  <c r="D322" i="11"/>
  <c r="D321" i="11"/>
  <c r="D320" i="11"/>
  <c r="D319" i="11"/>
  <c r="D318" i="11"/>
  <c r="D317" i="11"/>
  <c r="D316" i="11"/>
  <c r="D315" i="11"/>
  <c r="D314" i="11"/>
  <c r="D313" i="11"/>
  <c r="D312" i="11"/>
  <c r="D311" i="11"/>
  <c r="D310" i="11"/>
  <c r="D309" i="11"/>
  <c r="D307" i="11"/>
  <c r="D303" i="11"/>
  <c r="D302" i="11"/>
  <c r="D301" i="11"/>
  <c r="D300" i="11"/>
  <c r="D299" i="11"/>
  <c r="D298" i="11"/>
  <c r="D297" i="11"/>
  <c r="D296" i="11"/>
  <c r="D295" i="11"/>
  <c r="D294" i="11"/>
  <c r="D293" i="11"/>
  <c r="D292" i="11"/>
  <c r="D291" i="11"/>
  <c r="D290" i="11"/>
  <c r="D289" i="11"/>
  <c r="D288" i="11"/>
  <c r="D287" i="11"/>
  <c r="D286" i="11"/>
  <c r="D285" i="11"/>
  <c r="D284" i="11"/>
  <c r="D283" i="11"/>
  <c r="D282" i="11"/>
  <c r="D281" i="11"/>
  <c r="D280" i="11"/>
  <c r="D279" i="11"/>
  <c r="D278" i="11"/>
  <c r="D277" i="11"/>
  <c r="D276" i="11"/>
  <c r="D275" i="11"/>
  <c r="D274" i="11"/>
  <c r="D273" i="11"/>
  <c r="D272" i="11"/>
  <c r="D271" i="11"/>
  <c r="D270" i="11"/>
  <c r="D269" i="11"/>
  <c r="D268" i="11"/>
  <c r="D267" i="11"/>
  <c r="D266" i="11"/>
  <c r="D265" i="11"/>
  <c r="D264" i="11"/>
  <c r="D263" i="11"/>
  <c r="D262" i="11"/>
  <c r="D261" i="11"/>
  <c r="D260" i="11"/>
  <c r="D259" i="11"/>
  <c r="D258" i="11"/>
  <c r="D257" i="11"/>
  <c r="D256" i="11"/>
  <c r="D255" i="11"/>
  <c r="D254" i="11"/>
  <c r="D253" i="11"/>
  <c r="D252" i="11"/>
  <c r="D251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2" i="11"/>
  <c r="D151" i="11"/>
  <c r="D150" i="11"/>
  <c r="D149" i="11"/>
  <c r="D148" i="11"/>
  <c r="D147" i="11"/>
  <c r="D146" i="11"/>
  <c r="D145" i="11"/>
  <c r="D144" i="11"/>
  <c r="D143" i="11"/>
  <c r="D142" i="11"/>
  <c r="D141" i="11"/>
  <c r="D140" i="11"/>
  <c r="D139" i="11"/>
  <c r="D138" i="11"/>
  <c r="D137" i="11"/>
  <c r="D136" i="11"/>
  <c r="D135" i="11"/>
  <c r="D134" i="1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9" i="11"/>
  <c r="D118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F96" i="9" l="1"/>
  <c r="J5" i="8" l="1"/>
  <c r="F86" i="9"/>
  <c r="J11" i="8" s="1"/>
  <c r="J10" i="8"/>
  <c r="J8" i="8"/>
  <c r="J7" i="8"/>
  <c r="F50" i="9"/>
  <c r="J6" i="8" s="1"/>
  <c r="F49" i="9"/>
  <c r="I6" i="8" s="1"/>
  <c r="F31" i="9"/>
  <c r="F74" i="9" s="1"/>
  <c r="F30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34" i="9"/>
  <c r="F97" i="9"/>
  <c r="B2" i="9"/>
  <c r="F99" i="9" l="1"/>
  <c r="L18" i="8" s="1"/>
  <c r="J12" i="8"/>
  <c r="J13" i="8" s="1"/>
  <c r="B19" i="4" s="1"/>
  <c r="F98" i="9"/>
  <c r="K12" i="8"/>
  <c r="F94" i="9"/>
  <c r="I12" i="8" s="1"/>
  <c r="F93" i="9"/>
  <c r="H12" i="8" s="1"/>
  <c r="F92" i="9"/>
  <c r="G12" i="8" s="1"/>
  <c r="F91" i="9"/>
  <c r="F12" i="8" s="1"/>
  <c r="F90" i="9"/>
  <c r="E12" i="8" s="1"/>
  <c r="D12" i="8"/>
  <c r="C12" i="8"/>
  <c r="F87" i="9"/>
  <c r="K11" i="8" s="1"/>
  <c r="F85" i="9"/>
  <c r="I11" i="8" s="1"/>
  <c r="F84" i="9"/>
  <c r="H11" i="8" s="1"/>
  <c r="F83" i="9"/>
  <c r="G11" i="8" s="1"/>
  <c r="F82" i="9"/>
  <c r="F11" i="8" s="1"/>
  <c r="F81" i="9"/>
  <c r="E11" i="8" s="1"/>
  <c r="D11" i="8"/>
  <c r="C11" i="8"/>
  <c r="F78" i="9"/>
  <c r="K10" i="8" s="1"/>
  <c r="F76" i="9"/>
  <c r="I10" i="8" s="1"/>
  <c r="F75" i="9"/>
  <c r="H10" i="8" s="1"/>
  <c r="G10" i="8"/>
  <c r="F73" i="9"/>
  <c r="F10" i="8" s="1"/>
  <c r="F72" i="9"/>
  <c r="E10" i="8" s="1"/>
  <c r="D10" i="8"/>
  <c r="C10" i="8"/>
  <c r="F69" i="9"/>
  <c r="K8" i="8" s="1"/>
  <c r="F67" i="9"/>
  <c r="I8" i="8" s="1"/>
  <c r="F66" i="9"/>
  <c r="H8" i="8" s="1"/>
  <c r="F65" i="9"/>
  <c r="G8" i="8" s="1"/>
  <c r="F64" i="9"/>
  <c r="F8" i="8" s="1"/>
  <c r="F63" i="9"/>
  <c r="E8" i="8" s="1"/>
  <c r="D8" i="8"/>
  <c r="C8" i="8"/>
  <c r="F60" i="9"/>
  <c r="K7" i="8" s="1"/>
  <c r="F58" i="9"/>
  <c r="I7" i="8" s="1"/>
  <c r="F57" i="9"/>
  <c r="H7" i="8" s="1"/>
  <c r="F56" i="9"/>
  <c r="G7" i="8" s="1"/>
  <c r="F55" i="9"/>
  <c r="F7" i="8" s="1"/>
  <c r="F54" i="9"/>
  <c r="E7" i="8" s="1"/>
  <c r="F51" i="9"/>
  <c r="K6" i="8" s="1"/>
  <c r="F48" i="9"/>
  <c r="H6" i="8" s="1"/>
  <c r="F47" i="9"/>
  <c r="G6" i="8" s="1"/>
  <c r="F46" i="9"/>
  <c r="F6" i="8" s="1"/>
  <c r="F45" i="9"/>
  <c r="F42" i="9"/>
  <c r="K5" i="8" s="1"/>
  <c r="F40" i="9"/>
  <c r="I5" i="8" s="1"/>
  <c r="F39" i="9"/>
  <c r="H5" i="8" s="1"/>
  <c r="F38" i="9"/>
  <c r="G5" i="8" s="1"/>
  <c r="F37" i="9"/>
  <c r="F5" i="8" s="1"/>
  <c r="F36" i="9"/>
  <c r="E5" i="8" s="1"/>
  <c r="D5" i="8"/>
  <c r="C5" i="8"/>
  <c r="L9" i="8"/>
  <c r="L17" i="8" l="1"/>
  <c r="B22" i="4" s="1"/>
  <c r="I13" i="8"/>
  <c r="E6" i="8"/>
  <c r="D6" i="8"/>
  <c r="C6" i="8"/>
  <c r="L10" i="8"/>
  <c r="L8" i="8"/>
  <c r="H13" i="8"/>
  <c r="B17" i="4" s="1"/>
  <c r="G13" i="8"/>
  <c r="B16" i="4" s="1"/>
  <c r="F13" i="8"/>
  <c r="B15" i="4" s="1"/>
  <c r="K13" i="8"/>
  <c r="B20" i="4" s="1"/>
  <c r="L11" i="8"/>
  <c r="L12" i="8"/>
  <c r="L5" i="8"/>
  <c r="B18" i="4" l="1"/>
  <c r="D13" i="8"/>
  <c r="B13" i="4" s="1"/>
  <c r="C13" i="8"/>
  <c r="B12" i="4" s="1"/>
  <c r="L7" i="8"/>
  <c r="E13" i="8"/>
  <c r="B14" i="4" s="1"/>
  <c r="L6" i="8"/>
  <c r="B21" i="4" l="1"/>
  <c r="B23" i="4" s="1"/>
  <c r="L13" i="8"/>
  <c r="L15" i="8" l="1"/>
  <c r="L16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Marshall, Dwayne A</author>
  </authors>
  <commentList>
    <comment ref="F7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Enter indirect cost to be used (optional)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Marshall, Dwayne A</author>
  </authors>
  <commentList>
    <comment ref="B20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Marshall, Dwayne A:</t>
        </r>
        <r>
          <rPr>
            <sz val="9"/>
            <color indexed="81"/>
            <rFont val="Tahoma"/>
            <family val="2"/>
          </rPr>
          <t xml:space="preserve">
Formerly Southeastern School Corp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Marshall, Dwayne A</author>
  </authors>
  <commentList>
    <comment ref="E4" authorId="0" shapeId="0" xr:uid="{00000000-0006-0000-0300-000001000000}">
      <text>
        <r>
          <rPr>
            <sz val="11"/>
            <color rgb="FF000000"/>
            <rFont val="Calibri"/>
            <family val="2"/>
          </rPr>
          <t>Contracts and agreements</t>
        </r>
      </text>
    </comment>
    <comment ref="F4" authorId="0" shapeId="0" xr:uid="{00000000-0006-0000-0300-000002000000}">
      <text>
        <r>
          <rPr>
            <sz val="11"/>
            <color rgb="FF000000"/>
            <rFont val="Calibri"/>
            <family val="2"/>
          </rPr>
          <t>Example: a building for preschool</t>
        </r>
      </text>
    </comment>
    <comment ref="G4" authorId="0" shapeId="0" xr:uid="{00000000-0006-0000-0300-000003000000}">
      <text>
        <r>
          <rPr>
            <sz val="11"/>
            <color rgb="FF000000"/>
            <rFont val="Calibri"/>
            <family val="2"/>
          </rPr>
          <t>Student transportation, postage, printing, travel</t>
        </r>
      </text>
    </comment>
    <comment ref="H4" authorId="0" shapeId="0" xr:uid="{00000000-0006-0000-0300-000004000000}">
      <text>
        <r>
          <rPr>
            <sz val="11"/>
            <color rgb="FF000000"/>
            <rFont val="Calibri"/>
            <family val="2"/>
          </rPr>
          <t>Books, notebooks, paper</t>
        </r>
      </text>
    </comment>
    <comment ref="I4" authorId="0" shapeId="0" xr:uid="{00000000-0006-0000-0300-000005000000}">
      <text>
        <r>
          <rPr>
            <sz val="11"/>
            <color rgb="FF000000"/>
            <rFont val="Calibri"/>
            <family val="2"/>
          </rPr>
          <t xml:space="preserve">File cabinets, computer hardware, technology </t>
        </r>
      </text>
    </comment>
    <comment ref="K4" authorId="0" shapeId="0" xr:uid="{00000000-0006-0000-0300-000006000000}">
      <text>
        <r>
          <rPr>
            <sz val="11"/>
            <color rgb="FF000000"/>
            <rFont val="Calibri"/>
            <family val="2"/>
          </rPr>
          <t>Excess carryover, reimbursement of Choice Transportation for buses owned by the district, correction of errors</t>
        </r>
      </text>
    </comment>
    <comment ref="B5" authorId="0" shapeId="0" xr:uid="{00000000-0006-0000-0300-000007000000}">
      <text>
        <r>
          <rPr>
            <sz val="11"/>
            <color rgb="FF000000"/>
            <rFont val="Calibri"/>
            <family val="2"/>
          </rPr>
          <t xml:space="preserve">Direct instruction for students
</t>
        </r>
      </text>
    </comment>
    <comment ref="B6" authorId="0" shapeId="0" xr:uid="{00000000-0006-0000-0300-000008000000}">
      <text>
        <r>
          <rPr>
            <sz val="11"/>
            <color rgb="FF000000"/>
            <rFont val="Calibri"/>
            <family val="2"/>
          </rPr>
          <t xml:space="preserve">Guidance counselor, social worker, nurse
</t>
        </r>
      </text>
    </comment>
    <comment ref="B7" authorId="0" shapeId="0" xr:uid="{00000000-0006-0000-0300-000009000000}">
      <text>
        <r>
          <rPr>
            <sz val="11"/>
            <color rgb="FF000000"/>
            <rFont val="Calibri"/>
            <family val="2"/>
          </rPr>
          <t>Professional Development</t>
        </r>
      </text>
    </comment>
    <comment ref="B8" authorId="0" shapeId="0" xr:uid="{00000000-0006-0000-0300-00000A000000}">
      <text>
        <r>
          <rPr>
            <sz val="11"/>
            <color rgb="FF000000"/>
            <rFont val="Calibri"/>
            <family val="2"/>
          </rPr>
          <t xml:space="preserve">Administrative expenses
</t>
        </r>
      </text>
    </comment>
    <comment ref="B9" authorId="0" shapeId="0" xr:uid="{00000000-0006-0000-0300-00000B000000}">
      <text>
        <r>
          <rPr>
            <sz val="11"/>
            <color rgb="FF000000"/>
            <rFont val="Calibri"/>
            <family val="2"/>
          </rPr>
          <t>Return of excess carryover, charge backs</t>
        </r>
      </text>
    </comment>
    <comment ref="B10" authorId="0" shapeId="0" xr:uid="{00000000-0006-0000-0300-00000C000000}">
      <text>
        <r>
          <rPr>
            <sz val="11"/>
            <color rgb="FF000000"/>
            <rFont val="Calibri"/>
            <family val="2"/>
          </rPr>
          <t>Copy machines, printers</t>
        </r>
      </text>
    </comment>
    <comment ref="B12" authorId="0" shapeId="0" xr:uid="{00000000-0006-0000-0300-00000D000000}">
      <text>
        <r>
          <rPr>
            <sz val="11"/>
            <color rgb="FF000000"/>
            <rFont val="Calibri"/>
            <family val="2"/>
          </rPr>
          <t>Parental Involvement</t>
        </r>
      </text>
    </comment>
    <comment ref="A14" authorId="1" shapeId="0" xr:uid="{00000000-0006-0000-0300-00000E000000}">
      <text>
        <r>
          <rPr>
            <sz val="9"/>
            <color indexed="81"/>
            <rFont val="Tahoma"/>
            <family val="2"/>
          </rPr>
          <t xml:space="preserve">Enter as simple decimal.  If ICR is 3.4%, enter "3.4".  Use "restrictive" rate.
</t>
        </r>
      </text>
    </comment>
    <comment ref="L17" authorId="1" shapeId="0" xr:uid="{00000000-0006-0000-0300-00000F000000}">
      <text>
        <r>
          <rPr>
            <sz val="9"/>
            <color indexed="81"/>
            <rFont val="Tahoma"/>
            <family val="2"/>
          </rPr>
          <t xml:space="preserve">This amount is entered on the "Budget Detail" sheet.    
</t>
        </r>
      </text>
    </comment>
  </commentList>
</comments>
</file>

<file path=xl/sharedStrings.xml><?xml version="1.0" encoding="utf-8"?>
<sst xmlns="http://schemas.openxmlformats.org/spreadsheetml/2006/main" count="1339" uniqueCount="1318">
  <si>
    <t>Budget Categories</t>
  </si>
  <si>
    <t>Total</t>
  </si>
  <si>
    <t>Budget Request Summary</t>
  </si>
  <si>
    <t>Activity Description</t>
  </si>
  <si>
    <t>Quantity</t>
  </si>
  <si>
    <t>211-290</t>
  </si>
  <si>
    <t>Other</t>
  </si>
  <si>
    <t>Federal Program Title/Project Name</t>
  </si>
  <si>
    <t>Federal Agency</t>
  </si>
  <si>
    <t>CFDA Number</t>
  </si>
  <si>
    <t>Award Name</t>
  </si>
  <si>
    <t>Award Number</t>
  </si>
  <si>
    <t xml:space="preserve">EDS# </t>
  </si>
  <si>
    <t>FED-ID</t>
  </si>
  <si>
    <t xml:space="preserve"> </t>
  </si>
  <si>
    <t>311-319</t>
  </si>
  <si>
    <t>510-593</t>
  </si>
  <si>
    <t>611-689</t>
  </si>
  <si>
    <t>710-748</t>
  </si>
  <si>
    <t>Account Number</t>
  </si>
  <si>
    <t>Expenditure Account</t>
  </si>
  <si>
    <t>Salary</t>
  </si>
  <si>
    <t>Benefits</t>
  </si>
  <si>
    <t>Professional Services</t>
  </si>
  <si>
    <t>Rentals</t>
  </si>
  <si>
    <t>Other Purchase Services</t>
  </si>
  <si>
    <t>General Supplies</t>
  </si>
  <si>
    <t>Property</t>
  </si>
  <si>
    <t>Transfer</t>
  </si>
  <si>
    <t>Line Totals</t>
  </si>
  <si>
    <t>Instruction</t>
  </si>
  <si>
    <t>Support Services - Student</t>
  </si>
  <si>
    <t>Other Support Services</t>
  </si>
  <si>
    <t>Refund of Revenue</t>
  </si>
  <si>
    <t>Transportation</t>
  </si>
  <si>
    <t>Community Service Operations</t>
  </si>
  <si>
    <t>Column Totals</t>
  </si>
  <si>
    <t>Indirect Cost Rate %:</t>
  </si>
  <si>
    <t>Subtract the amount above $25,000 (per individual contracted service) from your total budget:</t>
  </si>
  <si>
    <t xml:space="preserve">Total after deducting Property: </t>
  </si>
  <si>
    <t xml:space="preserve">Total Available for Indirect Costs: </t>
  </si>
  <si>
    <t>Amount of Indirect Cost to be used:</t>
  </si>
  <si>
    <t>Grand Total After Indirect Cost:</t>
  </si>
  <si>
    <t>Budget Category</t>
  </si>
  <si>
    <t>Instruction: Professional Services</t>
  </si>
  <si>
    <t>Instruction: Rentals</t>
  </si>
  <si>
    <t>Instruction: Other Purchased Services</t>
  </si>
  <si>
    <t>Instruction: General Supplies</t>
  </si>
  <si>
    <t>Instruction: Property</t>
  </si>
  <si>
    <t>Instruction: Transfer</t>
  </si>
  <si>
    <t>Support Services (Student): Professional Services</t>
  </si>
  <si>
    <t>Support Services (Student): Rentals</t>
  </si>
  <si>
    <t>Support Services (Student): Other Purchased Services</t>
  </si>
  <si>
    <t>Support Services (Student): General Supplies</t>
  </si>
  <si>
    <t>Support Services (Student): Property</t>
  </si>
  <si>
    <t>Support Services (Student): Transfer</t>
  </si>
  <si>
    <t>Improvement of Instruction: Professional Services</t>
  </si>
  <si>
    <t>Improvement of Instruction: Rentals</t>
  </si>
  <si>
    <t>Improvement of Instruction: Other Purchased Services</t>
  </si>
  <si>
    <t>Improvement of Instruction: General Supplies</t>
  </si>
  <si>
    <t>Improvement of Instruction: Property</t>
  </si>
  <si>
    <t>Improvement of Instruction: Transfer</t>
  </si>
  <si>
    <t>Other Support Services: Professional Services</t>
  </si>
  <si>
    <t>Other Support Services: Rentals</t>
  </si>
  <si>
    <t>Other Support Services: Other Purchased Services</t>
  </si>
  <si>
    <t>Other Support Services: General Supplies</t>
  </si>
  <si>
    <t>Other Support Services: Property</t>
  </si>
  <si>
    <t>Other Support Services: Transfer</t>
  </si>
  <si>
    <t>Operations and Maintenance: Professional Services</t>
  </si>
  <si>
    <t>Operations and Maintenance: Rentals</t>
  </si>
  <si>
    <t>Operations and Maintenance: Other Purchased Services</t>
  </si>
  <si>
    <t>Operations and Maintenance: General Supplies</t>
  </si>
  <si>
    <t>Operations and Maintenance: Property</t>
  </si>
  <si>
    <t>Operations and Maintenance: Transfer</t>
  </si>
  <si>
    <t>Transportation: Professional Services</t>
  </si>
  <si>
    <t>Transportation: Rentals</t>
  </si>
  <si>
    <t>Transportation: Other Purchased Services</t>
  </si>
  <si>
    <t>Transportation: General Supplies</t>
  </si>
  <si>
    <t>Transportation: Property</t>
  </si>
  <si>
    <t>Transportation: Transfer</t>
  </si>
  <si>
    <t>Community Services Operations: Professional Services</t>
  </si>
  <si>
    <t>Community Services Operations: Rentals</t>
  </si>
  <si>
    <t>Community Services Operations: Other Purchased Services</t>
  </si>
  <si>
    <t>Community Services Operations: General Supplies</t>
  </si>
  <si>
    <t>Community Services Operations: Property</t>
  </si>
  <si>
    <t>Community Services Operations: Transfer</t>
  </si>
  <si>
    <t>Indirect Cost Used</t>
  </si>
  <si>
    <t xml:space="preserve">Grand Total </t>
  </si>
  <si>
    <t>Cost Per Unit</t>
  </si>
  <si>
    <t>Quantity Description (if applicable)</t>
  </si>
  <si>
    <t xml:space="preserve">Instruction: Salary </t>
  </si>
  <si>
    <t xml:space="preserve">Instruction: Benefits </t>
  </si>
  <si>
    <t xml:space="preserve">Community Services Operations: Salary </t>
  </si>
  <si>
    <t xml:space="preserve">Community Services Operations: Benefits </t>
  </si>
  <si>
    <t xml:space="preserve">Transportation: Benefits </t>
  </si>
  <si>
    <t xml:space="preserve">Transportation: Salary </t>
  </si>
  <si>
    <t xml:space="preserve">Operations and Maintenance: Benefits </t>
  </si>
  <si>
    <t xml:space="preserve">Operations and Maintenance: Salary </t>
  </si>
  <si>
    <t xml:space="preserve">Other Support Services: Benefits </t>
  </si>
  <si>
    <t xml:space="preserve">Other Support Services: Salary </t>
  </si>
  <si>
    <t xml:space="preserve">Improvement of Instruction: Benefits </t>
  </si>
  <si>
    <t xml:space="preserve">Improvement of Instruction: Salary </t>
  </si>
  <si>
    <t xml:space="preserve">Support Services (Student): Benefits </t>
  </si>
  <si>
    <t xml:space="preserve">Support Services (Student): Salary </t>
  </si>
  <si>
    <t>Improvement of Instruction</t>
  </si>
  <si>
    <t>110-120</t>
  </si>
  <si>
    <t>School Corp:</t>
  </si>
  <si>
    <t xml:space="preserve">Support Services (Student): Other </t>
  </si>
  <si>
    <t xml:space="preserve">Improvement of Instruction: Other  </t>
  </si>
  <si>
    <t xml:space="preserve">Other Support Services: Other </t>
  </si>
  <si>
    <t xml:space="preserve">Operations and Maintenance: Other </t>
  </si>
  <si>
    <t xml:space="preserve">Transportation: Other </t>
  </si>
  <si>
    <t xml:space="preserve">Community Services Operations: Other </t>
  </si>
  <si>
    <t xml:space="preserve">Instruction: Other </t>
  </si>
  <si>
    <t>Operations &amp; Maintenance</t>
  </si>
  <si>
    <t>US Department of Education</t>
  </si>
  <si>
    <r>
      <t xml:space="preserve">Directions: Please enter each item to to be funded into the appropriate funding category.  Insert lines as needed. </t>
    </r>
    <r>
      <rPr>
        <b/>
        <u/>
        <sz val="9"/>
        <rFont val="Calibri"/>
        <family val="2"/>
        <scheme val="minor"/>
      </rPr>
      <t>All components (Description, Cost Each, Quantity and Quantity Description)</t>
    </r>
    <r>
      <rPr>
        <b/>
        <sz val="9"/>
        <rFont val="Calibri"/>
        <family val="2"/>
        <scheme val="minor"/>
      </rPr>
      <t xml:space="preserve"> must be completed for the budget to be approved. The Subtotals and Total Budget will calculate automatically. </t>
    </r>
  </si>
  <si>
    <t>Title I, Part A Homeless Set-Aside</t>
  </si>
  <si>
    <t xml:space="preserve">1. Salary </t>
  </si>
  <si>
    <t>2. Benefits</t>
  </si>
  <si>
    <t>3. Professional Services</t>
  </si>
  <si>
    <t>5. Other Purchased Services</t>
  </si>
  <si>
    <t>6. General Supplies</t>
  </si>
  <si>
    <t>7. Property</t>
  </si>
  <si>
    <t>8. Other</t>
  </si>
  <si>
    <t>9. Transfer</t>
  </si>
  <si>
    <t>4. Rentals</t>
  </si>
  <si>
    <t>-</t>
  </si>
  <si>
    <t>Corp#</t>
  </si>
  <si>
    <t>School Corporation</t>
  </si>
  <si>
    <t>ICR%</t>
  </si>
  <si>
    <t>DUNS #</t>
  </si>
  <si>
    <t>0015</t>
  </si>
  <si>
    <t xml:space="preserve">Adams Central Community Schools </t>
  </si>
  <si>
    <t>092039999</t>
  </si>
  <si>
    <t>0025</t>
  </si>
  <si>
    <t xml:space="preserve">North Adams Community Schools </t>
  </si>
  <si>
    <t>088744172</t>
  </si>
  <si>
    <t>0035</t>
  </si>
  <si>
    <t xml:space="preserve">South Adams Schools           </t>
  </si>
  <si>
    <t>086775111</t>
  </si>
  <si>
    <t>0125</t>
  </si>
  <si>
    <t xml:space="preserve">M S D Southwest Allen County  </t>
  </si>
  <si>
    <t>0225</t>
  </si>
  <si>
    <t>Northwest Allen County Schools</t>
  </si>
  <si>
    <t>086772571</t>
  </si>
  <si>
    <t>0235</t>
  </si>
  <si>
    <t xml:space="preserve">Fort Wayne Community Schools  </t>
  </si>
  <si>
    <t>0255</t>
  </si>
  <si>
    <t xml:space="preserve">East Allen County Schools     </t>
  </si>
  <si>
    <t>0365</t>
  </si>
  <si>
    <t xml:space="preserve">Bartholomew Con School Corp   </t>
  </si>
  <si>
    <t>072067846</t>
  </si>
  <si>
    <t>0370</t>
  </si>
  <si>
    <t>Flat Rock-Hawcreek School Corp</t>
  </si>
  <si>
    <t>050430644</t>
  </si>
  <si>
    <t>0395</t>
  </si>
  <si>
    <t xml:space="preserve">Benton Community School Corp  </t>
  </si>
  <si>
    <t>075981969</t>
  </si>
  <si>
    <t>0515</t>
  </si>
  <si>
    <t xml:space="preserve">Blackford County Schools      </t>
  </si>
  <si>
    <t>133501312</t>
  </si>
  <si>
    <t>0615</t>
  </si>
  <si>
    <t xml:space="preserve">Western Boone Co Com Sch Dist </t>
  </si>
  <si>
    <t>100744200</t>
  </si>
  <si>
    <t>0630</t>
  </si>
  <si>
    <t>Zionsville Community Schools</t>
  </si>
  <si>
    <t>072057698</t>
  </si>
  <si>
    <t>0665</t>
  </si>
  <si>
    <t xml:space="preserve">Lebanon Community School Corp </t>
  </si>
  <si>
    <t>072061054</t>
  </si>
  <si>
    <t>0670</t>
  </si>
  <si>
    <t>County School Corp Of Brown Co</t>
  </si>
  <si>
    <t>117336206</t>
  </si>
  <si>
    <t>0750</t>
  </si>
  <si>
    <t xml:space="preserve">Carroll Consolidated Sch Corp </t>
  </si>
  <si>
    <t>072055221</t>
  </si>
  <si>
    <t>0755</t>
  </si>
  <si>
    <t xml:space="preserve">Delphi Community School Corp  </t>
  </si>
  <si>
    <t>098146673</t>
  </si>
  <si>
    <t>0775</t>
  </si>
  <si>
    <t xml:space="preserve">Pioneer Regional School Corp  </t>
  </si>
  <si>
    <t>040283236</t>
  </si>
  <si>
    <t>0815</t>
  </si>
  <si>
    <t xml:space="preserve">Lewis Cass Schools </t>
  </si>
  <si>
    <t>094563053</t>
  </si>
  <si>
    <t>0875</t>
  </si>
  <si>
    <t xml:space="preserve">Logansport Community Sch Corp </t>
  </si>
  <si>
    <t>0940</t>
  </si>
  <si>
    <t xml:space="preserve">West Clark Community Schools  </t>
  </si>
  <si>
    <t>077851129</t>
  </si>
  <si>
    <t>1000</t>
  </si>
  <si>
    <t xml:space="preserve">Clarksville Com School Corp   </t>
  </si>
  <si>
    <t>012274262</t>
  </si>
  <si>
    <t>1010</t>
  </si>
  <si>
    <t xml:space="preserve">Greater Clark County Schools  </t>
  </si>
  <si>
    <t>1125</t>
  </si>
  <si>
    <t xml:space="preserve">Clay Community Schools        </t>
  </si>
  <si>
    <t>079583597</t>
  </si>
  <si>
    <t>1150</t>
  </si>
  <si>
    <t xml:space="preserve">Clinton Central School Corp   </t>
  </si>
  <si>
    <t>050445774</t>
  </si>
  <si>
    <t>1160</t>
  </si>
  <si>
    <t xml:space="preserve">Clinton Prairie School Corp   </t>
  </si>
  <si>
    <t>050447325</t>
  </si>
  <si>
    <t>1170</t>
  </si>
  <si>
    <t>Community Schools Of Frankfort</t>
  </si>
  <si>
    <t>1180</t>
  </si>
  <si>
    <t xml:space="preserve">Rossville Con School District </t>
  </si>
  <si>
    <t>050454834</t>
  </si>
  <si>
    <t>1300</t>
  </si>
  <si>
    <t xml:space="preserve">Crawford Co Com School Corp   </t>
  </si>
  <si>
    <t>193220894</t>
  </si>
  <si>
    <t>1315</t>
  </si>
  <si>
    <t xml:space="preserve">Barr-Reeve Com Schools Inc    </t>
  </si>
  <si>
    <t>172153579</t>
  </si>
  <si>
    <t>1375</t>
  </si>
  <si>
    <t xml:space="preserve">North Daviess Com Schools  </t>
  </si>
  <si>
    <t>179323910</t>
  </si>
  <si>
    <t>1405</t>
  </si>
  <si>
    <t xml:space="preserve">Washington Com Schools Inc    </t>
  </si>
  <si>
    <t>100224864</t>
  </si>
  <si>
    <t>1560</t>
  </si>
  <si>
    <t xml:space="preserve">Sunman-Dearborn Com Sch Corp  </t>
  </si>
  <si>
    <t>092824929</t>
  </si>
  <si>
    <t>1600</t>
  </si>
  <si>
    <t>South Dearborn Com School Corp</t>
  </si>
  <si>
    <t>060908993</t>
  </si>
  <si>
    <t>1620</t>
  </si>
  <si>
    <t xml:space="preserve">Lawrenceburg Com School Corp  </t>
  </si>
  <si>
    <t>039748264</t>
  </si>
  <si>
    <t>1655</t>
  </si>
  <si>
    <t xml:space="preserve">Decatur County Com Schools    </t>
  </si>
  <si>
    <t>087041513</t>
  </si>
  <si>
    <t>1730</t>
  </si>
  <si>
    <t xml:space="preserve">Greensburg Community Schools  </t>
  </si>
  <si>
    <t>072056856</t>
  </si>
  <si>
    <t>1805</t>
  </si>
  <si>
    <t>Dekalb Co Eastern Com Sch Dist</t>
  </si>
  <si>
    <t>078918307</t>
  </si>
  <si>
    <t>1820</t>
  </si>
  <si>
    <t xml:space="preserve">Garrett-Keyser-Butler Com     </t>
  </si>
  <si>
    <t>049600596</t>
  </si>
  <si>
    <t>1835</t>
  </si>
  <si>
    <t xml:space="preserve">Dekalb Co Ctl United Sch Dist </t>
  </si>
  <si>
    <t>050462191</t>
  </si>
  <si>
    <t>1875</t>
  </si>
  <si>
    <t>Delaware Community School Corp</t>
  </si>
  <si>
    <t>050463074</t>
  </si>
  <si>
    <t>1885</t>
  </si>
  <si>
    <t>Wes-Del Community Schools</t>
  </si>
  <si>
    <t>1895</t>
  </si>
  <si>
    <t xml:space="preserve">Liberty-Perry Com School Corp </t>
  </si>
  <si>
    <t>049602246</t>
  </si>
  <si>
    <t>1900</t>
  </si>
  <si>
    <t xml:space="preserve">Cowan Community School Corp   </t>
  </si>
  <si>
    <t>100741552</t>
  </si>
  <si>
    <t>1910</t>
  </si>
  <si>
    <t>Yorktown Community Schools</t>
  </si>
  <si>
    <t>100648161</t>
  </si>
  <si>
    <t>1940</t>
  </si>
  <si>
    <t xml:space="preserve">Daleville Community Schools   </t>
  </si>
  <si>
    <t>050466358</t>
  </si>
  <si>
    <t>1970</t>
  </si>
  <si>
    <t xml:space="preserve">Muncie Community Schools      </t>
  </si>
  <si>
    <t>072061641</t>
  </si>
  <si>
    <t>2040</t>
  </si>
  <si>
    <t xml:space="preserve">Northeast Dubois Co Sch Corp  </t>
  </si>
  <si>
    <t>050469485</t>
  </si>
  <si>
    <t>2100</t>
  </si>
  <si>
    <t>Southeast Dubois Co Sch Corp</t>
  </si>
  <si>
    <t>082318619</t>
  </si>
  <si>
    <t>2110</t>
  </si>
  <si>
    <t xml:space="preserve">Southwest Dubois Co Sch Corp  </t>
  </si>
  <si>
    <t>100021955</t>
  </si>
  <si>
    <t>2120</t>
  </si>
  <si>
    <t xml:space="preserve">Greater Jasper Con Schs       </t>
  </si>
  <si>
    <t>054471610</t>
  </si>
  <si>
    <t>2155</t>
  </si>
  <si>
    <t xml:space="preserve">Fairfield Community Schools   </t>
  </si>
  <si>
    <t>100021336</t>
  </si>
  <si>
    <t>2260</t>
  </si>
  <si>
    <t xml:space="preserve">Baugo Community Schools       </t>
  </si>
  <si>
    <t>835813825</t>
  </si>
  <si>
    <t>2270</t>
  </si>
  <si>
    <t xml:space="preserve">Concord Community Schools     </t>
  </si>
  <si>
    <t>2275</t>
  </si>
  <si>
    <t xml:space="preserve">Middlebury Community Schools  </t>
  </si>
  <si>
    <t>074299710</t>
  </si>
  <si>
    <t>2285</t>
  </si>
  <si>
    <t xml:space="preserve">Wa-Nee Community Schools      </t>
  </si>
  <si>
    <t>050474857</t>
  </si>
  <si>
    <t>2305</t>
  </si>
  <si>
    <t xml:space="preserve">Elkhart Community Schools     </t>
  </si>
  <si>
    <t>2315</t>
  </si>
  <si>
    <t xml:space="preserve">Goshen Community Schools      </t>
  </si>
  <si>
    <t>074332388</t>
  </si>
  <si>
    <t>2395</t>
  </si>
  <si>
    <t xml:space="preserve">Fayette County School Corp    </t>
  </si>
  <si>
    <t>081522815</t>
  </si>
  <si>
    <t>2400</t>
  </si>
  <si>
    <t xml:space="preserve">New Albany-Floyd Co Con Sch   </t>
  </si>
  <si>
    <t>074065061</t>
  </si>
  <si>
    <t>2435</t>
  </si>
  <si>
    <t xml:space="preserve">Attica Consolidated Sch Corp  </t>
  </si>
  <si>
    <t>835813742</t>
  </si>
  <si>
    <t>2440</t>
  </si>
  <si>
    <t xml:space="preserve">Covington Community Sch Corp  </t>
  </si>
  <si>
    <t>089274880</t>
  </si>
  <si>
    <t>2455</t>
  </si>
  <si>
    <t>Southeast Fountain School Corp</t>
  </si>
  <si>
    <t>049611130</t>
  </si>
  <si>
    <t>2475</t>
  </si>
  <si>
    <t xml:space="preserve">Franklin County Com Sch Corp  </t>
  </si>
  <si>
    <t>193091501</t>
  </si>
  <si>
    <t>2645</t>
  </si>
  <si>
    <t xml:space="preserve">Rochester Community Sch Corp  </t>
  </si>
  <si>
    <t>789186038</t>
  </si>
  <si>
    <t>2650</t>
  </si>
  <si>
    <t xml:space="preserve">Caston School Corporation     </t>
  </si>
  <si>
    <t>086780178</t>
  </si>
  <si>
    <t>2725</t>
  </si>
  <si>
    <t>East Gibson School Corporation</t>
  </si>
  <si>
    <t>840606339</t>
  </si>
  <si>
    <t>2735</t>
  </si>
  <si>
    <t xml:space="preserve">North Gibson School Corp      </t>
  </si>
  <si>
    <t>149361151</t>
  </si>
  <si>
    <t>2765</t>
  </si>
  <si>
    <t xml:space="preserve">South Gibson School Corp      </t>
  </si>
  <si>
    <t>050480722</t>
  </si>
  <si>
    <t>2815</t>
  </si>
  <si>
    <t xml:space="preserve">Eastbrook Community Sch Corp  </t>
  </si>
  <si>
    <t>040311284</t>
  </si>
  <si>
    <t>2825</t>
  </si>
  <si>
    <t xml:space="preserve">Madison-Grant United Sch Corp </t>
  </si>
  <si>
    <t>072059751</t>
  </si>
  <si>
    <t>2855</t>
  </si>
  <si>
    <t xml:space="preserve">Mississinewa Com Schools Corp </t>
  </si>
  <si>
    <t>072076664</t>
  </si>
  <si>
    <t>2865</t>
  </si>
  <si>
    <t xml:space="preserve">Marion Community Schools      </t>
  </si>
  <si>
    <t>050481118</t>
  </si>
  <si>
    <t>2920</t>
  </si>
  <si>
    <t xml:space="preserve">Bloomfield School District    </t>
  </si>
  <si>
    <t>100021088</t>
  </si>
  <si>
    <t>2940</t>
  </si>
  <si>
    <t xml:space="preserve">Eastern Sch Dist Of Greene Co </t>
  </si>
  <si>
    <t>787587674</t>
  </si>
  <si>
    <t>2950</t>
  </si>
  <si>
    <t xml:space="preserve">Linton-Stockton School Corp   </t>
  </si>
  <si>
    <t>100021526</t>
  </si>
  <si>
    <t>2960</t>
  </si>
  <si>
    <t xml:space="preserve">M S D Shakamak Schools        </t>
  </si>
  <si>
    <t>797477630</t>
  </si>
  <si>
    <t>2980</t>
  </si>
  <si>
    <t xml:space="preserve">White River Valley Sch Dist   </t>
  </si>
  <si>
    <t>050484146</t>
  </si>
  <si>
    <t>3005</t>
  </si>
  <si>
    <t xml:space="preserve">Hamilton Southeastern Schools </t>
  </si>
  <si>
    <t>040310856</t>
  </si>
  <si>
    <t>3025</t>
  </si>
  <si>
    <t xml:space="preserve">Hamilton Heights School Corp  </t>
  </si>
  <si>
    <t>089270003</t>
  </si>
  <si>
    <t>3030</t>
  </si>
  <si>
    <t xml:space="preserve">Westfield-Washington Schools  </t>
  </si>
  <si>
    <t>3055</t>
  </si>
  <si>
    <t>Sheridan Community Schools</t>
  </si>
  <si>
    <t>050488451</t>
  </si>
  <si>
    <t>3060</t>
  </si>
  <si>
    <t xml:space="preserve">Carmel Clay Schools           </t>
  </si>
  <si>
    <t>072036569</t>
  </si>
  <si>
    <t>3070</t>
  </si>
  <si>
    <t xml:space="preserve">Noblesville Schools           </t>
  </si>
  <si>
    <t>038239430</t>
  </si>
  <si>
    <t>3115</t>
  </si>
  <si>
    <t>Southern Hancock Co Com Sch Co</t>
  </si>
  <si>
    <t>081535189</t>
  </si>
  <si>
    <t>3125</t>
  </si>
  <si>
    <t>Greenfield-Central Com Schools</t>
  </si>
  <si>
    <t>079574901</t>
  </si>
  <si>
    <t>3135</t>
  </si>
  <si>
    <t xml:space="preserve">Mt Vernon Community Sch Corp  </t>
  </si>
  <si>
    <t>087041216</t>
  </si>
  <si>
    <t>3145</t>
  </si>
  <si>
    <t>Eastern Hancock Co Com Sch Cor</t>
  </si>
  <si>
    <t>183978709</t>
  </si>
  <si>
    <t>3160</t>
  </si>
  <si>
    <t>Lanesville Community School Co</t>
  </si>
  <si>
    <t>193090610</t>
  </si>
  <si>
    <t>3180</t>
  </si>
  <si>
    <t>North Harrison Com School Corp</t>
  </si>
  <si>
    <t>193221116</t>
  </si>
  <si>
    <t>3190</t>
  </si>
  <si>
    <t xml:space="preserve">South Harrison Com Schools    </t>
  </si>
  <si>
    <t>050499326</t>
  </si>
  <si>
    <t>3295</t>
  </si>
  <si>
    <t>North West Hendricks Schools</t>
  </si>
  <si>
    <t>087032652</t>
  </si>
  <si>
    <t>3305</t>
  </si>
  <si>
    <t xml:space="preserve">Brownsburg Community Sch Corp </t>
  </si>
  <si>
    <t>102230331</t>
  </si>
  <si>
    <t>3315</t>
  </si>
  <si>
    <t xml:space="preserve">Avon Community School Corp    </t>
  </si>
  <si>
    <t>050506153</t>
  </si>
  <si>
    <t>3325</t>
  </si>
  <si>
    <t>Danville Community School Corp</t>
  </si>
  <si>
    <t>193221132</t>
  </si>
  <si>
    <t>3330</t>
  </si>
  <si>
    <t xml:space="preserve">Plainfield Community Sch Corp </t>
  </si>
  <si>
    <t>050503994</t>
  </si>
  <si>
    <t>3335</t>
  </si>
  <si>
    <t xml:space="preserve">Mill Creek Community Sch Corp </t>
  </si>
  <si>
    <t>087041455</t>
  </si>
  <si>
    <t>3405</t>
  </si>
  <si>
    <t xml:space="preserve">Blue River Valley Schools     </t>
  </si>
  <si>
    <t>100647965</t>
  </si>
  <si>
    <t>3415</t>
  </si>
  <si>
    <t xml:space="preserve">South Henry School Corp       </t>
  </si>
  <si>
    <t>193221165</t>
  </si>
  <si>
    <t>3435</t>
  </si>
  <si>
    <t xml:space="preserve">Shenandoah School Corporation </t>
  </si>
  <si>
    <t>103647285</t>
  </si>
  <si>
    <t>3445</t>
  </si>
  <si>
    <t xml:space="preserve">New Castle Community Sch Corp </t>
  </si>
  <si>
    <t>072065287</t>
  </si>
  <si>
    <t>3455</t>
  </si>
  <si>
    <t>C A Beard Memorial School Corp</t>
  </si>
  <si>
    <t>132833989</t>
  </si>
  <si>
    <t>3460</t>
  </si>
  <si>
    <t xml:space="preserve">Taylor Community School Corp  </t>
  </si>
  <si>
    <t>100223775</t>
  </si>
  <si>
    <t>3470</t>
  </si>
  <si>
    <t xml:space="preserve">Northwestern School Corp      </t>
  </si>
  <si>
    <t>082288796</t>
  </si>
  <si>
    <t>3480</t>
  </si>
  <si>
    <t xml:space="preserve">Eastern-Howard School Corp    </t>
  </si>
  <si>
    <t>050517952</t>
  </si>
  <si>
    <t>3490</t>
  </si>
  <si>
    <t xml:space="preserve">Western School Corp           </t>
  </si>
  <si>
    <t>027064356</t>
  </si>
  <si>
    <t>3500</t>
  </si>
  <si>
    <t>Kokomo Sch Corp</t>
  </si>
  <si>
    <t>100648146</t>
  </si>
  <si>
    <t>3625</t>
  </si>
  <si>
    <t xml:space="preserve">Huntington Co Com Sch Corp    </t>
  </si>
  <si>
    <t>078915303</t>
  </si>
  <si>
    <t>3640</t>
  </si>
  <si>
    <t xml:space="preserve">Medora Community School Corp  </t>
  </si>
  <si>
    <t>800739617</t>
  </si>
  <si>
    <t>3675</t>
  </si>
  <si>
    <t xml:space="preserve">Seymour Community Schools     </t>
  </si>
  <si>
    <t>3695</t>
  </si>
  <si>
    <t xml:space="preserve">Brownstown Cnt Com Sch Corp   </t>
  </si>
  <si>
    <t>100738335</t>
  </si>
  <si>
    <t>3710</t>
  </si>
  <si>
    <t>Crothersville Community School</t>
  </si>
  <si>
    <t>100022052</t>
  </si>
  <si>
    <t>3785</t>
  </si>
  <si>
    <t xml:space="preserve">Kankakee Valley School Corp   </t>
  </si>
  <si>
    <t>621753300</t>
  </si>
  <si>
    <t>3815</t>
  </si>
  <si>
    <t>Rensselaer Central School Corp</t>
  </si>
  <si>
    <t>074304296</t>
  </si>
  <si>
    <t>3945</t>
  </si>
  <si>
    <t xml:space="preserve">Jay School Corp               </t>
  </si>
  <si>
    <t>075977454</t>
  </si>
  <si>
    <t>3995</t>
  </si>
  <si>
    <t xml:space="preserve">Madison Consolidated Schools  </t>
  </si>
  <si>
    <t>086196862</t>
  </si>
  <si>
    <t>4000</t>
  </si>
  <si>
    <t xml:space="preserve">Southwestern-Jefferson Co Con </t>
  </si>
  <si>
    <t>050536242</t>
  </si>
  <si>
    <t>4015</t>
  </si>
  <si>
    <t xml:space="preserve">Jennings County School Corp   </t>
  </si>
  <si>
    <t>072079106</t>
  </si>
  <si>
    <t>4145</t>
  </si>
  <si>
    <t>Clark-Pleasant Com School Corp</t>
  </si>
  <si>
    <t>193221223</t>
  </si>
  <si>
    <t>4205</t>
  </si>
  <si>
    <t xml:space="preserve">Center Grove Com Sch Corp     </t>
  </si>
  <si>
    <t>130713113</t>
  </si>
  <si>
    <t>4215</t>
  </si>
  <si>
    <t xml:space="preserve">Edinburgh Community Sch Corp  </t>
  </si>
  <si>
    <t>087041893</t>
  </si>
  <si>
    <t>4225</t>
  </si>
  <si>
    <t>Franklin Community School Corp</t>
  </si>
  <si>
    <t>100216936</t>
  </si>
  <si>
    <t>4245</t>
  </si>
  <si>
    <t xml:space="preserve">Greenwood Community Sch Corp  </t>
  </si>
  <si>
    <t>4255</t>
  </si>
  <si>
    <t>Nineveh-Hensley-Jackson United</t>
  </si>
  <si>
    <t>786689943</t>
  </si>
  <si>
    <t>4315</t>
  </si>
  <si>
    <t xml:space="preserve">North Knox School Corp        </t>
  </si>
  <si>
    <t>050537463</t>
  </si>
  <si>
    <t>4325</t>
  </si>
  <si>
    <t xml:space="preserve">South Knox School Corp        </t>
  </si>
  <si>
    <t>125282509</t>
  </si>
  <si>
    <t>4335</t>
  </si>
  <si>
    <t xml:space="preserve">Vincennes Community Sch Corp  </t>
  </si>
  <si>
    <t>079654737</t>
  </si>
  <si>
    <t>4345</t>
  </si>
  <si>
    <t xml:space="preserve">Wawasee Community School Corp </t>
  </si>
  <si>
    <t>086782794</t>
  </si>
  <si>
    <t>4415</t>
  </si>
  <si>
    <t xml:space="preserve">Warsaw Community Schools      </t>
  </si>
  <si>
    <t>040283913</t>
  </si>
  <si>
    <t>4445</t>
  </si>
  <si>
    <t xml:space="preserve">Tippecanoe Valley School Corp </t>
  </si>
  <si>
    <t>040269771</t>
  </si>
  <si>
    <t>4455</t>
  </si>
  <si>
    <t xml:space="preserve">Whitko Community School Corp  </t>
  </si>
  <si>
    <t>050539410</t>
  </si>
  <si>
    <t>4515</t>
  </si>
  <si>
    <t xml:space="preserve">Prairie Heights Com Sch Corp  </t>
  </si>
  <si>
    <t>100648252</t>
  </si>
  <si>
    <t>4525</t>
  </si>
  <si>
    <t xml:space="preserve">Westview School Corporation   </t>
  </si>
  <si>
    <t>4535</t>
  </si>
  <si>
    <t xml:space="preserve">Lakeland School Corporation   </t>
  </si>
  <si>
    <t>181578790</t>
  </si>
  <si>
    <t>4580</t>
  </si>
  <si>
    <t>Hanover Community</t>
  </si>
  <si>
    <t>040886889</t>
  </si>
  <si>
    <t>4590</t>
  </si>
  <si>
    <t>River Forest Community Sch Cor</t>
  </si>
  <si>
    <t>039003843</t>
  </si>
  <si>
    <t>4600</t>
  </si>
  <si>
    <t>Merrillville Community Schools</t>
  </si>
  <si>
    <t>4615</t>
  </si>
  <si>
    <t xml:space="preserve">Lake Central School Corp      </t>
  </si>
  <si>
    <t>077014660</t>
  </si>
  <si>
    <t>4645</t>
  </si>
  <si>
    <t xml:space="preserve">Tri-Creek School Corp         </t>
  </si>
  <si>
    <t>051942514</t>
  </si>
  <si>
    <t>4650</t>
  </si>
  <si>
    <t xml:space="preserve">Lake Ridge Schools            </t>
  </si>
  <si>
    <t>070010442</t>
  </si>
  <si>
    <t>4660</t>
  </si>
  <si>
    <t>Crown Point Community Sch Corp</t>
  </si>
  <si>
    <t>040889156</t>
  </si>
  <si>
    <t>4670</t>
  </si>
  <si>
    <t xml:space="preserve">School City Of East Chicago   </t>
  </si>
  <si>
    <t>4680</t>
  </si>
  <si>
    <t>Lake Station Community Schools</t>
  </si>
  <si>
    <t>120404678</t>
  </si>
  <si>
    <t>4690</t>
  </si>
  <si>
    <t>Gary Community School Corp</t>
  </si>
  <si>
    <t>068622455</t>
  </si>
  <si>
    <t>4700</t>
  </si>
  <si>
    <t xml:space="preserve">Griffith Public Schools       </t>
  </si>
  <si>
    <t>039008917</t>
  </si>
  <si>
    <t>4710</t>
  </si>
  <si>
    <t xml:space="preserve">School City Of Hammond        </t>
  </si>
  <si>
    <t>068497189</t>
  </si>
  <si>
    <t>4720</t>
  </si>
  <si>
    <t xml:space="preserve">School Town Of Highland       </t>
  </si>
  <si>
    <t>4730</t>
  </si>
  <si>
    <t xml:space="preserve">School City Of Hobart         </t>
  </si>
  <si>
    <t>038503215</t>
  </si>
  <si>
    <t>4740</t>
  </si>
  <si>
    <t xml:space="preserve">School Town Of Munster        </t>
  </si>
  <si>
    <t>4760</t>
  </si>
  <si>
    <t xml:space="preserve">Whiting School City           </t>
  </si>
  <si>
    <t>4805</t>
  </si>
  <si>
    <t>New Prairie United School Corp</t>
  </si>
  <si>
    <t>086780103</t>
  </si>
  <si>
    <t>4860</t>
  </si>
  <si>
    <t>M S D New Durham Township</t>
  </si>
  <si>
    <t>103916115</t>
  </si>
  <si>
    <t>4915</t>
  </si>
  <si>
    <t xml:space="preserve">Tri-Township Cons Sch (Cass, Dewey, Prairie)         </t>
  </si>
  <si>
    <t>4925</t>
  </si>
  <si>
    <t xml:space="preserve">Michigan City Area Schools    </t>
  </si>
  <si>
    <t>069761146</t>
  </si>
  <si>
    <t>4940</t>
  </si>
  <si>
    <t xml:space="preserve">South Central Com School Corp </t>
  </si>
  <si>
    <t>100021237</t>
  </si>
  <si>
    <t>4945</t>
  </si>
  <si>
    <t xml:space="preserve">Laporte Community School Corp </t>
  </si>
  <si>
    <t>5075</t>
  </si>
  <si>
    <t xml:space="preserve">North Lawrence Com Schools    </t>
  </si>
  <si>
    <t>072063746</t>
  </si>
  <si>
    <t>5085</t>
  </si>
  <si>
    <t xml:space="preserve">Mitchell Community Schools    </t>
  </si>
  <si>
    <t>098144520</t>
  </si>
  <si>
    <t>5245</t>
  </si>
  <si>
    <t xml:space="preserve">Frankton-Lapel Community Schs </t>
  </si>
  <si>
    <t>100648393</t>
  </si>
  <si>
    <t>5255</t>
  </si>
  <si>
    <t xml:space="preserve">South Madison Com Sch Corp    </t>
  </si>
  <si>
    <t>079566030</t>
  </si>
  <si>
    <t>5265</t>
  </si>
  <si>
    <t xml:space="preserve">Alexandria Com School Corp    </t>
  </si>
  <si>
    <t>5275</t>
  </si>
  <si>
    <t>Anderson Community School Corp</t>
  </si>
  <si>
    <t>100737824</t>
  </si>
  <si>
    <t>5280</t>
  </si>
  <si>
    <t xml:space="preserve">Elwood Community School Corp  </t>
  </si>
  <si>
    <t>050582691</t>
  </si>
  <si>
    <t>5300</t>
  </si>
  <si>
    <t xml:space="preserve">M S D Decatur Township        </t>
  </si>
  <si>
    <t>055603427</t>
  </si>
  <si>
    <t>5310</t>
  </si>
  <si>
    <t>Franklin Township Com Sch Corp</t>
  </si>
  <si>
    <t>050596485</t>
  </si>
  <si>
    <t>5330</t>
  </si>
  <si>
    <t xml:space="preserve">M S D Lawrence Township       </t>
  </si>
  <si>
    <t>050100130</t>
  </si>
  <si>
    <t>5340</t>
  </si>
  <si>
    <t xml:space="preserve">Perry Township Schools         </t>
  </si>
  <si>
    <t>5350</t>
  </si>
  <si>
    <t xml:space="preserve">M S D Pike Township           </t>
  </si>
  <si>
    <t>5360</t>
  </si>
  <si>
    <t xml:space="preserve">M S D Warren Township         </t>
  </si>
  <si>
    <t>050100395</t>
  </si>
  <si>
    <t>5370</t>
  </si>
  <si>
    <t xml:space="preserve">M S D Washington Township     </t>
  </si>
  <si>
    <t>072071129</t>
  </si>
  <si>
    <t>5375</t>
  </si>
  <si>
    <t xml:space="preserve">M S D Wayne Township          </t>
  </si>
  <si>
    <t>5380</t>
  </si>
  <si>
    <t xml:space="preserve">Beech Grove City Schools      </t>
  </si>
  <si>
    <t>084262492</t>
  </si>
  <si>
    <t>5385</t>
  </si>
  <si>
    <t xml:space="preserve">Indianapolis Public Schools   </t>
  </si>
  <si>
    <t>5400</t>
  </si>
  <si>
    <t>School Town Of Speedway</t>
  </si>
  <si>
    <t>5444</t>
  </si>
  <si>
    <t>IN Math &amp; Science Ac. North</t>
  </si>
  <si>
    <t>5455</t>
  </si>
  <si>
    <t xml:space="preserve">Culver Community Schools Corp </t>
  </si>
  <si>
    <t>100215177</t>
  </si>
  <si>
    <t>5470</t>
  </si>
  <si>
    <t xml:space="preserve">Argos Community Schools       </t>
  </si>
  <si>
    <t>086772563</t>
  </si>
  <si>
    <t>5480</t>
  </si>
  <si>
    <t xml:space="preserve">Bremen Public Schools         </t>
  </si>
  <si>
    <t>100021138</t>
  </si>
  <si>
    <t>5485</t>
  </si>
  <si>
    <t>Plymouth Community School Corp</t>
  </si>
  <si>
    <t>5495</t>
  </si>
  <si>
    <t xml:space="preserve">Triton School Corporation     </t>
  </si>
  <si>
    <t>193221538</t>
  </si>
  <si>
    <t>5520</t>
  </si>
  <si>
    <t xml:space="preserve">Shoals Community School Corp  </t>
  </si>
  <si>
    <t>184628790</t>
  </si>
  <si>
    <t>5525</t>
  </si>
  <si>
    <t xml:space="preserve">Loogootee Community Sch Corp  </t>
  </si>
  <si>
    <t>037859352</t>
  </si>
  <si>
    <t>5615</t>
  </si>
  <si>
    <t xml:space="preserve">Maconaquah School Corp        </t>
  </si>
  <si>
    <t>932890007</t>
  </si>
  <si>
    <t>5620</t>
  </si>
  <si>
    <t xml:space="preserve">North Miami Community Schools </t>
  </si>
  <si>
    <t>193221546</t>
  </si>
  <si>
    <t>5625</t>
  </si>
  <si>
    <t xml:space="preserve">Oak Hill United School Corp   </t>
  </si>
  <si>
    <t>5635</t>
  </si>
  <si>
    <t xml:space="preserve">Peru Community Schools        </t>
  </si>
  <si>
    <t>094584265</t>
  </si>
  <si>
    <t>5705</t>
  </si>
  <si>
    <t xml:space="preserve">Richland-Bean Blossom C S C   </t>
  </si>
  <si>
    <t>087042362</t>
  </si>
  <si>
    <t>5740</t>
  </si>
  <si>
    <t xml:space="preserve">Monroe County Com Sch Corp    </t>
  </si>
  <si>
    <t>072062342</t>
  </si>
  <si>
    <t>5835</t>
  </si>
  <si>
    <t xml:space="preserve">North Montgomery Com Sch Corp </t>
  </si>
  <si>
    <t>195892534</t>
  </si>
  <si>
    <t>5845</t>
  </si>
  <si>
    <t xml:space="preserve">South Montgomery Com Sch Corp </t>
  </si>
  <si>
    <t>869062588</t>
  </si>
  <si>
    <t>5855</t>
  </si>
  <si>
    <t xml:space="preserve">Crawfordsville Com Schools    </t>
  </si>
  <si>
    <t>5900</t>
  </si>
  <si>
    <t xml:space="preserve">Monroe-Gregg School District  </t>
  </si>
  <si>
    <t>092010487</t>
  </si>
  <si>
    <t>5910</t>
  </si>
  <si>
    <t xml:space="preserve">Eminence Con School Corp      </t>
  </si>
  <si>
    <t>094469293</t>
  </si>
  <si>
    <t>5925</t>
  </si>
  <si>
    <t xml:space="preserve">M S D Martinsville Schools    </t>
  </si>
  <si>
    <t>112661160</t>
  </si>
  <si>
    <t>5930</t>
  </si>
  <si>
    <t xml:space="preserve">Mooresville Con School Corp   </t>
  </si>
  <si>
    <t>075953703</t>
  </si>
  <si>
    <t>5945</t>
  </si>
  <si>
    <t xml:space="preserve">North Newton School Corp      </t>
  </si>
  <si>
    <t>094562717</t>
  </si>
  <si>
    <t>5995</t>
  </si>
  <si>
    <t xml:space="preserve">South Newton School Corp      </t>
  </si>
  <si>
    <t>100021906</t>
  </si>
  <si>
    <t>6055</t>
  </si>
  <si>
    <t xml:space="preserve">Central Noble Com School Corp </t>
  </si>
  <si>
    <t>104636444</t>
  </si>
  <si>
    <t>6060</t>
  </si>
  <si>
    <t xml:space="preserve">East Noble School Corp        </t>
  </si>
  <si>
    <t>6065</t>
  </si>
  <si>
    <t xml:space="preserve">West Noble School Corporation </t>
  </si>
  <si>
    <t>620204628</t>
  </si>
  <si>
    <t>6080</t>
  </si>
  <si>
    <t xml:space="preserve">Rising Sun-Ohio Co Com        </t>
  </si>
  <si>
    <t>6145</t>
  </si>
  <si>
    <t xml:space="preserve">Orleans Community Schools     </t>
  </si>
  <si>
    <t>189341274</t>
  </si>
  <si>
    <t>6155</t>
  </si>
  <si>
    <t xml:space="preserve">Paoli Community School Corp   </t>
  </si>
  <si>
    <t>100021708</t>
  </si>
  <si>
    <t>6160</t>
  </si>
  <si>
    <t>Springs Valley Com School Corp</t>
  </si>
  <si>
    <t>193090487</t>
  </si>
  <si>
    <t>6195</t>
  </si>
  <si>
    <t>Spencer-Owen Community Schools</t>
  </si>
  <si>
    <t>120406855</t>
  </si>
  <si>
    <t>6260</t>
  </si>
  <si>
    <t xml:space="preserve">Southwest Parke Com Sch Corp  </t>
  </si>
  <si>
    <t>072062367</t>
  </si>
  <si>
    <t>6325</t>
  </si>
  <si>
    <t>Perry Central Com Schools Corp</t>
  </si>
  <si>
    <t>050634211</t>
  </si>
  <si>
    <t>6340</t>
  </si>
  <si>
    <t xml:space="preserve">Cannelton City Schools        </t>
  </si>
  <si>
    <t>100021161</t>
  </si>
  <si>
    <t>6350</t>
  </si>
  <si>
    <t>Tell City-Troy Twp School Corp</t>
  </si>
  <si>
    <t>021732946</t>
  </si>
  <si>
    <t>6375</t>
  </si>
  <si>
    <t>North Central Parke Comm Sch Corp</t>
  </si>
  <si>
    <t>6445</t>
  </si>
  <si>
    <t xml:space="preserve">Pike County School Corp       </t>
  </si>
  <si>
    <t>085056463</t>
  </si>
  <si>
    <t>6460</t>
  </si>
  <si>
    <t xml:space="preserve">M S D Boone Township          </t>
  </si>
  <si>
    <t>800471901</t>
  </si>
  <si>
    <t>6470</t>
  </si>
  <si>
    <t xml:space="preserve">Duneland School Corporation   </t>
  </si>
  <si>
    <t>040259269</t>
  </si>
  <si>
    <t>6510</t>
  </si>
  <si>
    <t>East Porter County School Corp</t>
  </si>
  <si>
    <t>790932029</t>
  </si>
  <si>
    <t>6520</t>
  </si>
  <si>
    <t xml:space="preserve">Porter Township School Corp   </t>
  </si>
  <si>
    <t>102347432</t>
  </si>
  <si>
    <t>6530</t>
  </si>
  <si>
    <t xml:space="preserve">Union Township School Corp    </t>
  </si>
  <si>
    <t>098646771</t>
  </si>
  <si>
    <t>6550</t>
  </si>
  <si>
    <t xml:space="preserve">Portage Township Schools      </t>
  </si>
  <si>
    <t>193221645</t>
  </si>
  <si>
    <t>6560</t>
  </si>
  <si>
    <t xml:space="preserve">Valparaiso Community Schools  </t>
  </si>
  <si>
    <t>6590</t>
  </si>
  <si>
    <t xml:space="preserve">M S D Mount Vernon            </t>
  </si>
  <si>
    <t>020429536</t>
  </si>
  <si>
    <t>6600</t>
  </si>
  <si>
    <t xml:space="preserve">M S D North Posey Co Schools  </t>
  </si>
  <si>
    <t>100648187</t>
  </si>
  <si>
    <t>6620</t>
  </si>
  <si>
    <t xml:space="preserve">Eastern Pulaski Com Sch Corp  </t>
  </si>
  <si>
    <t>078900727</t>
  </si>
  <si>
    <t>6630</t>
  </si>
  <si>
    <t xml:space="preserve">West Central School Corp      </t>
  </si>
  <si>
    <t>069756542</t>
  </si>
  <si>
    <t>6705</t>
  </si>
  <si>
    <t>South Putnam Community Schools</t>
  </si>
  <si>
    <t>100648310</t>
  </si>
  <si>
    <t>6715</t>
  </si>
  <si>
    <t>North Putnam Community Schools</t>
  </si>
  <si>
    <t>072072747</t>
  </si>
  <si>
    <t>6750</t>
  </si>
  <si>
    <t xml:space="preserve">Cloverdale Community Schools  </t>
  </si>
  <si>
    <t>100648021</t>
  </si>
  <si>
    <t>6755</t>
  </si>
  <si>
    <t>Greencastle Community Sch Corp</t>
  </si>
  <si>
    <t>072057672</t>
  </si>
  <si>
    <t>6795</t>
  </si>
  <si>
    <t xml:space="preserve">Union School Corporation      </t>
  </si>
  <si>
    <t>193221686</t>
  </si>
  <si>
    <t>6805</t>
  </si>
  <si>
    <t xml:space="preserve">Randolph Southern School Corp </t>
  </si>
  <si>
    <t>100021930</t>
  </si>
  <si>
    <t>6820</t>
  </si>
  <si>
    <t xml:space="preserve">Monroe Central School Corp    </t>
  </si>
  <si>
    <t>098139124</t>
  </si>
  <si>
    <t>6825</t>
  </si>
  <si>
    <t xml:space="preserve">Randolph Central School Corp  </t>
  </si>
  <si>
    <t>092015312</t>
  </si>
  <si>
    <t>6835</t>
  </si>
  <si>
    <t xml:space="preserve">Randolph Eastern School Corp  </t>
  </si>
  <si>
    <t>193221678</t>
  </si>
  <si>
    <t>6865</t>
  </si>
  <si>
    <t xml:space="preserve">South Ripley Com Sch Corp     </t>
  </si>
  <si>
    <t>193090065</t>
  </si>
  <si>
    <t>6895</t>
  </si>
  <si>
    <t xml:space="preserve">Batesville Community Sch Corp </t>
  </si>
  <si>
    <t>060923893</t>
  </si>
  <si>
    <t>6900</t>
  </si>
  <si>
    <t>Jac-Cen-Del Community Sch Corp</t>
  </si>
  <si>
    <t>100218361</t>
  </si>
  <si>
    <t>6910</t>
  </si>
  <si>
    <t xml:space="preserve">Milan Community Schools       </t>
  </si>
  <si>
    <t>100021583</t>
  </si>
  <si>
    <t>6995</t>
  </si>
  <si>
    <t xml:space="preserve">Rush County Schools           </t>
  </si>
  <si>
    <t>050298009</t>
  </si>
  <si>
    <t>7150</t>
  </si>
  <si>
    <t xml:space="preserve">John Glenn School Corporation </t>
  </si>
  <si>
    <t>094567062</t>
  </si>
  <si>
    <t>7175</t>
  </si>
  <si>
    <t xml:space="preserve">Penn-Harris-Madison Sch Corp  </t>
  </si>
  <si>
    <t>7200</t>
  </si>
  <si>
    <t xml:space="preserve">School City Of Mishawaka      </t>
  </si>
  <si>
    <t>098647050</t>
  </si>
  <si>
    <t>7205</t>
  </si>
  <si>
    <t xml:space="preserve">South Bend Community Sch Corp </t>
  </si>
  <si>
    <t>074307216</t>
  </si>
  <si>
    <t>7215</t>
  </si>
  <si>
    <t>Union-North United School Corp</t>
  </si>
  <si>
    <t>078911302</t>
  </si>
  <si>
    <t>7230</t>
  </si>
  <si>
    <t>Scott County School District 1</t>
  </si>
  <si>
    <t>183979723</t>
  </si>
  <si>
    <t>7255</t>
  </si>
  <si>
    <t>Scott County School District 2</t>
  </si>
  <si>
    <t>182239244</t>
  </si>
  <si>
    <t>7285</t>
  </si>
  <si>
    <t>Shelby Eastern Schools</t>
  </si>
  <si>
    <t>050674126</t>
  </si>
  <si>
    <t>7350</t>
  </si>
  <si>
    <t xml:space="preserve">Northwestern Con School Corp  </t>
  </si>
  <si>
    <t>093227643</t>
  </si>
  <si>
    <t>7360</t>
  </si>
  <si>
    <t>Southwestern Con Sch Shelby Co</t>
  </si>
  <si>
    <t>100743202</t>
  </si>
  <si>
    <t>7365</t>
  </si>
  <si>
    <t xml:space="preserve">Shelbyville Central Schools   </t>
  </si>
  <si>
    <t>7385</t>
  </si>
  <si>
    <t xml:space="preserve">North Spencer County Sch Corp </t>
  </si>
  <si>
    <t>102122033</t>
  </si>
  <si>
    <t>7445</t>
  </si>
  <si>
    <t xml:space="preserve">South Spencer County Sch Corp </t>
  </si>
  <si>
    <t>125235051</t>
  </si>
  <si>
    <t>7495</t>
  </si>
  <si>
    <t xml:space="preserve">Oregon-Davis School Corp      </t>
  </si>
  <si>
    <t>050676253</t>
  </si>
  <si>
    <t>7515</t>
  </si>
  <si>
    <t>North Judson-San Pierre Sch Co</t>
  </si>
  <si>
    <t>115300113</t>
  </si>
  <si>
    <t>7525</t>
  </si>
  <si>
    <t xml:space="preserve">Knox Community School Corp    </t>
  </si>
  <si>
    <t>050678093</t>
  </si>
  <si>
    <t>7605</t>
  </si>
  <si>
    <t xml:space="preserve">Fremont Community Schools     </t>
  </si>
  <si>
    <t>092040484</t>
  </si>
  <si>
    <t>7610</t>
  </si>
  <si>
    <t xml:space="preserve">Hamilton Community Schools    </t>
  </si>
  <si>
    <t>189341357</t>
  </si>
  <si>
    <t>7615</t>
  </si>
  <si>
    <t xml:space="preserve">M S D Steuben County          </t>
  </si>
  <si>
    <t>7645</t>
  </si>
  <si>
    <t xml:space="preserve">Northeast School Corp         </t>
  </si>
  <si>
    <t>050693373</t>
  </si>
  <si>
    <t>7715</t>
  </si>
  <si>
    <t xml:space="preserve">Southwest School Corp         </t>
  </si>
  <si>
    <t>100021948</t>
  </si>
  <si>
    <t>7775</t>
  </si>
  <si>
    <t>Switzerland County School Corp</t>
  </si>
  <si>
    <t>050309251</t>
  </si>
  <si>
    <t>7855</t>
  </si>
  <si>
    <t xml:space="preserve">Lafayette School Corporation  </t>
  </si>
  <si>
    <t>7865</t>
  </si>
  <si>
    <t xml:space="preserve">Tippecanoe School Corp        </t>
  </si>
  <si>
    <t>075984559</t>
  </si>
  <si>
    <t>7875</t>
  </si>
  <si>
    <t>West Lafayette Com School Corp</t>
  </si>
  <si>
    <t>7935</t>
  </si>
  <si>
    <t xml:space="preserve">Tri-Central Community Schools </t>
  </si>
  <si>
    <t>193221801</t>
  </si>
  <si>
    <t>7945</t>
  </si>
  <si>
    <t xml:space="preserve">Tipton Community School Corp  </t>
  </si>
  <si>
    <t>087042925</t>
  </si>
  <si>
    <t>7950</t>
  </si>
  <si>
    <t xml:space="preserve">Union Co/Clg Corner Joint Sch </t>
  </si>
  <si>
    <t>100022011</t>
  </si>
  <si>
    <t>7995</t>
  </si>
  <si>
    <t>Evansville-Vanderburgh Sch Cor</t>
  </si>
  <si>
    <t>040418626</t>
  </si>
  <si>
    <t>8010</t>
  </si>
  <si>
    <t xml:space="preserve">North Vermillion Com Sch Corp </t>
  </si>
  <si>
    <t>183979905</t>
  </si>
  <si>
    <t>8020</t>
  </si>
  <si>
    <t xml:space="preserve">South Vermillion Com Sch Corp </t>
  </si>
  <si>
    <t>040300055</t>
  </si>
  <si>
    <t>8030</t>
  </si>
  <si>
    <t xml:space="preserve">Vigo County School Corp       </t>
  </si>
  <si>
    <t>8045</t>
  </si>
  <si>
    <t xml:space="preserve">Manchester Community Schools  </t>
  </si>
  <si>
    <t>086780236</t>
  </si>
  <si>
    <t>8050</t>
  </si>
  <si>
    <t xml:space="preserve">M S D Wabash County Schools   </t>
  </si>
  <si>
    <t>086780053</t>
  </si>
  <si>
    <t>8060</t>
  </si>
  <si>
    <t xml:space="preserve">Wabash City Schools           </t>
  </si>
  <si>
    <t>050721547</t>
  </si>
  <si>
    <t>8115</t>
  </si>
  <si>
    <t xml:space="preserve">M S D Warren County           </t>
  </si>
  <si>
    <t>159272673</t>
  </si>
  <si>
    <t>8130</t>
  </si>
  <si>
    <t xml:space="preserve">Warrick County School Corp    </t>
  </si>
  <si>
    <t>8205</t>
  </si>
  <si>
    <t xml:space="preserve">Salem Community Schools       </t>
  </si>
  <si>
    <t>8215</t>
  </si>
  <si>
    <t xml:space="preserve">East Washington School Corp   </t>
  </si>
  <si>
    <t>172454969</t>
  </si>
  <si>
    <t>8220</t>
  </si>
  <si>
    <t xml:space="preserve">West Washington School Corp   </t>
  </si>
  <si>
    <t>098958564</t>
  </si>
  <si>
    <t>8305</t>
  </si>
  <si>
    <t xml:space="preserve">Nettle Creek School Corp      </t>
  </si>
  <si>
    <t>183979962</t>
  </si>
  <si>
    <t>8355</t>
  </si>
  <si>
    <t xml:space="preserve">Western Wayne Schools         </t>
  </si>
  <si>
    <t>965398931</t>
  </si>
  <si>
    <t>8360</t>
  </si>
  <si>
    <t xml:space="preserve">Centerville-Abington Com Schs </t>
  </si>
  <si>
    <t>087042982</t>
  </si>
  <si>
    <t>8375</t>
  </si>
  <si>
    <t xml:space="preserve">Northeastern Wayne Schools    </t>
  </si>
  <si>
    <t>092008812</t>
  </si>
  <si>
    <t>8385</t>
  </si>
  <si>
    <t>Richmond Community School Corp</t>
  </si>
  <si>
    <t>132301334</t>
  </si>
  <si>
    <t>8425</t>
  </si>
  <si>
    <t xml:space="preserve">Southern Wells Com Schools    </t>
  </si>
  <si>
    <t>110221277</t>
  </si>
  <si>
    <t>8435</t>
  </si>
  <si>
    <t xml:space="preserve">Northern Wells Com Schools    </t>
  </si>
  <si>
    <t>100021674</t>
  </si>
  <si>
    <t>8445</t>
  </si>
  <si>
    <t xml:space="preserve">M S D Bluffton-Harrison       </t>
  </si>
  <si>
    <t>082866005</t>
  </si>
  <si>
    <t>8515</t>
  </si>
  <si>
    <t xml:space="preserve">North White School Corp       </t>
  </si>
  <si>
    <t>8525</t>
  </si>
  <si>
    <t xml:space="preserve">Frontier School Corporation   </t>
  </si>
  <si>
    <t>133289306</t>
  </si>
  <si>
    <t>8535</t>
  </si>
  <si>
    <t xml:space="preserve">Tri-County School Corp        </t>
  </si>
  <si>
    <t>121030100</t>
  </si>
  <si>
    <t>8565</t>
  </si>
  <si>
    <t xml:space="preserve">Twin Lakes School Corp        </t>
  </si>
  <si>
    <t>8625</t>
  </si>
  <si>
    <t xml:space="preserve">Smith-Green Community Schools </t>
  </si>
  <si>
    <t>050761048</t>
  </si>
  <si>
    <t>8665</t>
  </si>
  <si>
    <t xml:space="preserve">Whitley Co Cons Schools       </t>
  </si>
  <si>
    <t>193090503</t>
  </si>
  <si>
    <t>8810</t>
  </si>
  <si>
    <t>CSUSA Howe</t>
  </si>
  <si>
    <t>800476652</t>
  </si>
  <si>
    <t>8815</t>
  </si>
  <si>
    <t>CSUSA Manual</t>
  </si>
  <si>
    <t>015521757</t>
  </si>
  <si>
    <t>8820</t>
  </si>
  <si>
    <t>Edison Learning Roosevelt</t>
  </si>
  <si>
    <t>010499964</t>
  </si>
  <si>
    <t>8825</t>
  </si>
  <si>
    <t>CSUSA Donnan</t>
  </si>
  <si>
    <t>007428274</t>
  </si>
  <si>
    <t>9010</t>
  </si>
  <si>
    <t>Ignite Achievement Academy</t>
  </si>
  <si>
    <t>9015</t>
  </si>
  <si>
    <t>Purdue Polytechnic High School</t>
  </si>
  <si>
    <t>9030</t>
  </si>
  <si>
    <t>Otwell Miller Academy</t>
  </si>
  <si>
    <t>9035</t>
  </si>
  <si>
    <t>Indiana Career Connections Academy</t>
  </si>
  <si>
    <t>9040</t>
  </si>
  <si>
    <t>Avondale Meadows Academy</t>
  </si>
  <si>
    <t>9045</t>
  </si>
  <si>
    <t>James and Rosemary Phalen Leadership Academy</t>
  </si>
  <si>
    <t>9050</t>
  </si>
  <si>
    <t>Excel Center - Clarksville</t>
  </si>
  <si>
    <t>9060</t>
  </si>
  <si>
    <t>Paramount School of Excellence II</t>
  </si>
  <si>
    <t>9065</t>
  </si>
  <si>
    <t>Allegiant Preparatory Academy</t>
  </si>
  <si>
    <t>NA</t>
  </si>
  <si>
    <t>32854615 </t>
  </si>
  <si>
    <t>9070</t>
  </si>
  <si>
    <t>Gary Middle College West</t>
  </si>
  <si>
    <t>9080</t>
  </si>
  <si>
    <t>Vanguard Collegiate of Indy</t>
  </si>
  <si>
    <t>9085</t>
  </si>
  <si>
    <t>PilotED Schools Bethel Park</t>
  </si>
  <si>
    <t>9090</t>
  </si>
  <si>
    <t>Matchbook Learning</t>
  </si>
  <si>
    <t>9095</t>
  </si>
  <si>
    <t>Urban ACT Academy Innovation Network Charter School</t>
  </si>
  <si>
    <t>9100</t>
  </si>
  <si>
    <t>Indiana Dept. of Corrections (Part D only)</t>
  </si>
  <si>
    <t>9115</t>
  </si>
  <si>
    <t>Kindezi Academy</t>
  </si>
  <si>
    <t>9120</t>
  </si>
  <si>
    <t>Insight School Of Indiana</t>
  </si>
  <si>
    <t>9145</t>
  </si>
  <si>
    <t>Riverside Charter Sch,District</t>
  </si>
  <si>
    <t>9150</t>
  </si>
  <si>
    <t>Circle City Prep Charter School</t>
  </si>
  <si>
    <t>9155</t>
  </si>
  <si>
    <t xml:space="preserve">Indiana Virtual Pathways Academy </t>
  </si>
  <si>
    <t>9160</t>
  </si>
  <si>
    <t>Muncie Excel Center</t>
  </si>
  <si>
    <t>9190</t>
  </si>
  <si>
    <t>Excel Center Gary (LEADS)</t>
  </si>
  <si>
    <t>9195</t>
  </si>
  <si>
    <t>Timothy L Johnson Leadership Academy</t>
  </si>
  <si>
    <t>9305</t>
  </si>
  <si>
    <t>Excel Center - Richmond</t>
  </si>
  <si>
    <t>047553551</t>
  </si>
  <si>
    <t>9310</t>
  </si>
  <si>
    <t xml:space="preserve">Charter School Of The Dunes       </t>
  </si>
  <si>
    <t>130768299</t>
  </si>
  <si>
    <t>9315</t>
  </si>
  <si>
    <t xml:space="preserve">Signature School Inc              </t>
  </si>
  <si>
    <t>797508426</t>
  </si>
  <si>
    <t>9320</t>
  </si>
  <si>
    <t xml:space="preserve">Community Montessori Inc          </t>
  </si>
  <si>
    <t>113396712</t>
  </si>
  <si>
    <t>9325</t>
  </si>
  <si>
    <t xml:space="preserve">Options Charter School - Carmel  </t>
  </si>
  <si>
    <t>125047519</t>
  </si>
  <si>
    <t>9330</t>
  </si>
  <si>
    <t xml:space="preserve">Irvington Community School        </t>
  </si>
  <si>
    <t>165488219</t>
  </si>
  <si>
    <t>9335</t>
  </si>
  <si>
    <t>Excel Center - Lafayette Square Mall</t>
  </si>
  <si>
    <t>070635286</t>
  </si>
  <si>
    <t>9345</t>
  </si>
  <si>
    <t xml:space="preserve">Excel Center - Lafayette   </t>
  </si>
  <si>
    <t>9350</t>
  </si>
  <si>
    <t xml:space="preserve">Timothy L Johnson Academy         </t>
  </si>
  <si>
    <t>9355</t>
  </si>
  <si>
    <t>Excel Center - Kokomo</t>
  </si>
  <si>
    <t>9365</t>
  </si>
  <si>
    <t>Enlace Academy</t>
  </si>
  <si>
    <t>100740620</t>
  </si>
  <si>
    <t>9380</t>
  </si>
  <si>
    <t xml:space="preserve">Christel House Academy South            </t>
  </si>
  <si>
    <t>078504402</t>
  </si>
  <si>
    <t>9385</t>
  </si>
  <si>
    <t>Christel House DORS</t>
  </si>
  <si>
    <t>078512155</t>
  </si>
  <si>
    <t>9395</t>
  </si>
  <si>
    <t>Christel House Academy West</t>
  </si>
  <si>
    <t>9400</t>
  </si>
  <si>
    <t xml:space="preserve">KIPP Indpls College Preparatory   </t>
  </si>
  <si>
    <t>149179934</t>
  </si>
  <si>
    <t>9410</t>
  </si>
  <si>
    <t>KIPP Unite College Prep Elementary</t>
  </si>
  <si>
    <t>9425</t>
  </si>
  <si>
    <t>Tindley Genesis</t>
  </si>
  <si>
    <t>091557276</t>
  </si>
  <si>
    <t>9430</t>
  </si>
  <si>
    <t>Tindley Summit</t>
  </si>
  <si>
    <t>9435</t>
  </si>
  <si>
    <t>Indiana Achievement Academy</t>
  </si>
  <si>
    <t>9440</t>
  </si>
  <si>
    <t>Christel House DORS West</t>
  </si>
  <si>
    <t>9445</t>
  </si>
  <si>
    <t>Charles A Tindley Accelerated Schl</t>
  </si>
  <si>
    <t>153474510</t>
  </si>
  <si>
    <t>9460</t>
  </si>
  <si>
    <t xml:space="preserve">Thea Bowman Leadership Academy    </t>
  </si>
  <si>
    <t>784290749</t>
  </si>
  <si>
    <t>9465</t>
  </si>
  <si>
    <t xml:space="preserve">Rural Community Schools Inc       </t>
  </si>
  <si>
    <t>149019718</t>
  </si>
  <si>
    <t>9485</t>
  </si>
  <si>
    <t xml:space="preserve">Se Neighborhood Sch Of Excellence </t>
  </si>
  <si>
    <t>178206111</t>
  </si>
  <si>
    <t>9490</t>
  </si>
  <si>
    <t>Indiana College Preparatory</t>
  </si>
  <si>
    <t>9495</t>
  </si>
  <si>
    <t xml:space="preserve">Joshua Academy                    </t>
  </si>
  <si>
    <t>072279651</t>
  </si>
  <si>
    <t>9505</t>
  </si>
  <si>
    <t>Indiana Agriculture and Technology</t>
  </si>
  <si>
    <t>9535</t>
  </si>
  <si>
    <t xml:space="preserve">Gary Lighthouse Charter School    </t>
  </si>
  <si>
    <t>607006017</t>
  </si>
  <si>
    <t>9545</t>
  </si>
  <si>
    <t xml:space="preserve">21st Century Charter Sch Of Gary  </t>
  </si>
  <si>
    <t>173888988</t>
  </si>
  <si>
    <t>9555</t>
  </si>
  <si>
    <t>East Chicago Urban Enterprise Acad</t>
  </si>
  <si>
    <t>9575</t>
  </si>
  <si>
    <t xml:space="preserve">Indpls Lighthouse Charter School  </t>
  </si>
  <si>
    <t>800132214</t>
  </si>
  <si>
    <t>9595</t>
  </si>
  <si>
    <t xml:space="preserve">East Chicago Lighthouse Charter   </t>
  </si>
  <si>
    <t>9615</t>
  </si>
  <si>
    <t xml:space="preserve">Andrew J Brown Academy            </t>
  </si>
  <si>
    <t>9620</t>
  </si>
  <si>
    <t>Burris Laboratory School</t>
  </si>
  <si>
    <t>100214287</t>
  </si>
  <si>
    <t>9625</t>
  </si>
  <si>
    <t>IN Academy for Science ,Math, and Humanities</t>
  </si>
  <si>
    <t>620263939</t>
  </si>
  <si>
    <t>9640</t>
  </si>
  <si>
    <t xml:space="preserve">Options Charter Sch - Noblesville </t>
  </si>
  <si>
    <t>796212921</t>
  </si>
  <si>
    <t>9645</t>
  </si>
  <si>
    <t>836277942</t>
  </si>
  <si>
    <t>9650</t>
  </si>
  <si>
    <t xml:space="preserve">Herron High School                 </t>
  </si>
  <si>
    <t>809528222</t>
  </si>
  <si>
    <t>9655</t>
  </si>
  <si>
    <t xml:space="preserve">Hope Academy                      </t>
  </si>
  <si>
    <t>809152924</t>
  </si>
  <si>
    <t>9665</t>
  </si>
  <si>
    <t xml:space="preserve">Geist Montessori Academy          </t>
  </si>
  <si>
    <t>786155767</t>
  </si>
  <si>
    <t>9670</t>
  </si>
  <si>
    <t>Indianapolis Metropolitan High Sch</t>
  </si>
  <si>
    <t>800476736</t>
  </si>
  <si>
    <t>9680</t>
  </si>
  <si>
    <t>Paramount School of Excellence</t>
  </si>
  <si>
    <t>831881664</t>
  </si>
  <si>
    <t>9685</t>
  </si>
  <si>
    <t xml:space="preserve">Aspire Charter Academy            </t>
  </si>
  <si>
    <t>930902510</t>
  </si>
  <si>
    <t>9690</t>
  </si>
  <si>
    <t>Renaissance Academy Charter School</t>
  </si>
  <si>
    <t>020073081</t>
  </si>
  <si>
    <t>9705</t>
  </si>
  <si>
    <t>Hammond Academy</t>
  </si>
  <si>
    <t>056036242</t>
  </si>
  <si>
    <t>9710</t>
  </si>
  <si>
    <t>Carpe Diem - Northwest</t>
  </si>
  <si>
    <t>9725</t>
  </si>
  <si>
    <t>Canaan Community Academy</t>
  </si>
  <si>
    <t>003973964</t>
  </si>
  <si>
    <t>9730</t>
  </si>
  <si>
    <t>Neighbors' New Vistas High School</t>
  </si>
  <si>
    <t>010076646</t>
  </si>
  <si>
    <t>9735</t>
  </si>
  <si>
    <t>Inspire Academy</t>
  </si>
  <si>
    <t>011329714</t>
  </si>
  <si>
    <t>9745</t>
  </si>
  <si>
    <t>Tindley Prepatory Academy</t>
  </si>
  <si>
    <t>9750</t>
  </si>
  <si>
    <t>Anderson Excel Center</t>
  </si>
  <si>
    <t>9760</t>
  </si>
  <si>
    <t>Smith Academy of Excellence</t>
  </si>
  <si>
    <t>018868543</t>
  </si>
  <si>
    <t>9770</t>
  </si>
  <si>
    <t>Indianapolis Lighthouse Charter East</t>
  </si>
  <si>
    <t>9780</t>
  </si>
  <si>
    <t>Indianapolis Academy of Excellence</t>
  </si>
  <si>
    <t>055826545</t>
  </si>
  <si>
    <t>Indiana Math And Science Academy -Indianapolis</t>
  </si>
  <si>
    <t>832093327</t>
  </si>
  <si>
    <t>9790</t>
  </si>
  <si>
    <t xml:space="preserve">Anderson Preparatory Academy      </t>
  </si>
  <si>
    <t>858894111</t>
  </si>
  <si>
    <t>9795</t>
  </si>
  <si>
    <t xml:space="preserve">Dr Robert H Faulkner Academy      </t>
  </si>
  <si>
    <t>004905184</t>
  </si>
  <si>
    <t>9805</t>
  </si>
  <si>
    <t xml:space="preserve">Hoosier Academy - Indianapolis    </t>
  </si>
  <si>
    <t>849696963</t>
  </si>
  <si>
    <t>9835</t>
  </si>
  <si>
    <t xml:space="preserve">The Bloomington Project School    </t>
  </si>
  <si>
    <t>829722607</t>
  </si>
  <si>
    <t>9840</t>
  </si>
  <si>
    <t>Excel Center University Heights</t>
  </si>
  <si>
    <t>9845</t>
  </si>
  <si>
    <t xml:space="preserve">Xavier School Of Excellence       </t>
  </si>
  <si>
    <t>194057530</t>
  </si>
  <si>
    <t>9855</t>
  </si>
  <si>
    <t>Excel Center Noblesville</t>
  </si>
  <si>
    <t>9860</t>
  </si>
  <si>
    <t>Paramount Brookside</t>
  </si>
  <si>
    <t>9865</t>
  </si>
  <si>
    <t>Hoosier Academy Virtual</t>
  </si>
  <si>
    <t>9870</t>
  </si>
  <si>
    <t>Discovery Charter School</t>
  </si>
  <si>
    <t>024155983</t>
  </si>
  <si>
    <t>9875</t>
  </si>
  <si>
    <t>Rock Creek Community Academy</t>
  </si>
  <si>
    <t>005345191</t>
  </si>
  <si>
    <t>9880</t>
  </si>
  <si>
    <t>Career Academy High School</t>
  </si>
  <si>
    <t>9885</t>
  </si>
  <si>
    <t>Gary Middle College</t>
  </si>
  <si>
    <t>078537807</t>
  </si>
  <si>
    <t>9890</t>
  </si>
  <si>
    <t>Indiana Virtual School</t>
  </si>
  <si>
    <t>9895</t>
  </si>
  <si>
    <t>Indiana Math and Science Academy - North</t>
  </si>
  <si>
    <t>9900</t>
  </si>
  <si>
    <t>Excel Center South Bend</t>
  </si>
  <si>
    <t>9905</t>
  </si>
  <si>
    <t>IN Connections Academy Virtual Pilot</t>
  </si>
  <si>
    <t>9910</t>
  </si>
  <si>
    <t>Excel Center for Adult Learners</t>
  </si>
  <si>
    <t>9915</t>
  </si>
  <si>
    <t>Marion Academy</t>
  </si>
  <si>
    <t>9920</t>
  </si>
  <si>
    <t>Damar Charter Academy</t>
  </si>
  <si>
    <t>9925</t>
  </si>
  <si>
    <t>The George &amp; Veronica Phalen Academy</t>
  </si>
  <si>
    <t>043799789</t>
  </si>
  <si>
    <t>9930</t>
  </si>
  <si>
    <t>Nexus Academy of Indianapolis</t>
  </si>
  <si>
    <t>9935</t>
  </si>
  <si>
    <t>Vision Academy</t>
  </si>
  <si>
    <t>9940</t>
  </si>
  <si>
    <t>Tindley Collegiate Academy</t>
  </si>
  <si>
    <t>036776356</t>
  </si>
  <si>
    <t>9945</t>
  </si>
  <si>
    <t>Tindley Renaissance Academy</t>
  </si>
  <si>
    <t>053372184</t>
  </si>
  <si>
    <t>9950</t>
  </si>
  <si>
    <t>Dugger Union Comm Schools Academy</t>
  </si>
  <si>
    <t>9955</t>
  </si>
  <si>
    <t>Mays Community Academy</t>
  </si>
  <si>
    <t>100742154</t>
  </si>
  <si>
    <t>9960</t>
  </si>
  <si>
    <t>Success Academy Primary School</t>
  </si>
  <si>
    <t>078274700</t>
  </si>
  <si>
    <t>9965</t>
  </si>
  <si>
    <t>Career Academy Middle School</t>
  </si>
  <si>
    <t>9970</t>
  </si>
  <si>
    <t>ACE Preparatory Academy</t>
  </si>
  <si>
    <t>9975</t>
  </si>
  <si>
    <t>Global Preparatory Academy</t>
  </si>
  <si>
    <t>9980</t>
  </si>
  <si>
    <t>Steel City Academy</t>
  </si>
  <si>
    <t>9985</t>
  </si>
  <si>
    <t>Seven Oaks Classical School</t>
  </si>
  <si>
    <t>9990</t>
  </si>
  <si>
    <t>Higher Institute of Arts &amp; Tech</t>
  </si>
  <si>
    <t>9995</t>
  </si>
  <si>
    <t>Excel Center - Shelbyville</t>
  </si>
  <si>
    <t>45332767</t>
  </si>
  <si>
    <t>100213404</t>
  </si>
  <si>
    <t>941402245</t>
  </si>
  <si>
    <t>165483830</t>
  </si>
  <si>
    <t>183978436</t>
  </si>
  <si>
    <t>21644778</t>
  </si>
  <si>
    <t>87041331</t>
  </si>
  <si>
    <t>70980388</t>
  </si>
  <si>
    <t>884535360</t>
  </si>
  <si>
    <t>956873269</t>
  </si>
  <si>
    <t>193090529</t>
  </si>
  <si>
    <t>74306465</t>
  </si>
  <si>
    <t>820210124</t>
  </si>
  <si>
    <t>74307463</t>
  </si>
  <si>
    <t>80277511</t>
  </si>
  <si>
    <t>71329338</t>
  </si>
  <si>
    <t>93230126</t>
  </si>
  <si>
    <t>80209388</t>
  </si>
  <si>
    <t>78379116</t>
  </si>
  <si>
    <t>75967992</t>
  </si>
  <si>
    <t>965028058</t>
  </si>
  <si>
    <t>72060163</t>
  </si>
  <si>
    <t>74323957</t>
  </si>
  <si>
    <t>78907540</t>
  </si>
  <si>
    <t>800476660</t>
  </si>
  <si>
    <t>100021062</t>
  </si>
  <si>
    <t>100648369</t>
  </si>
  <si>
    <t>72041148</t>
  </si>
  <si>
    <t>80977456</t>
  </si>
  <si>
    <t>8966744</t>
  </si>
  <si>
    <t>79093687</t>
  </si>
  <si>
    <t>50425354</t>
  </si>
  <si>
    <t>86780160</t>
  </si>
  <si>
    <t>78916632</t>
  </si>
  <si>
    <t>79589008</t>
  </si>
  <si>
    <t>74311804</t>
  </si>
  <si>
    <t>100021765</t>
  </si>
  <si>
    <t>100222587</t>
  </si>
  <si>
    <t>50541754</t>
  </si>
  <si>
    <t>77013944</t>
  </si>
  <si>
    <t>74422510</t>
  </si>
  <si>
    <t>87039145</t>
  </si>
  <si>
    <t>100021849</t>
  </si>
  <si>
    <t>100021856</t>
  </si>
  <si>
    <t>119075567</t>
  </si>
  <si>
    <t>81514095</t>
  </si>
  <si>
    <t>82293259</t>
  </si>
  <si>
    <t>86772555</t>
  </si>
  <si>
    <t>46561519</t>
  </si>
  <si>
    <t>79580692</t>
  </si>
  <si>
    <t>99769275</t>
  </si>
  <si>
    <t>193091881</t>
  </si>
  <si>
    <t>107235590</t>
  </si>
  <si>
    <t>100225309</t>
  </si>
  <si>
    <t>40267569</t>
  </si>
  <si>
    <t>10276285</t>
  </si>
  <si>
    <t>Grantee Name | (DUNS#)</t>
  </si>
  <si>
    <t>Grantee Name (if consortium) | (DUNS#)</t>
  </si>
  <si>
    <t>-Select LEA-</t>
  </si>
  <si>
    <t>800-899</t>
  </si>
  <si>
    <t>Total Direct Costs (1-9)</t>
  </si>
  <si>
    <t>Indirect Cost to be Used</t>
  </si>
  <si>
    <t xml:space="preserve"> Indirect Costs </t>
  </si>
  <si>
    <t>Grand Total after Indirect Cost</t>
  </si>
  <si>
    <t>Object List</t>
  </si>
  <si>
    <t>INSERT NEW ROWS ABOVE THIS LINE</t>
  </si>
  <si>
    <t>84.425W</t>
  </si>
  <si>
    <t>American Rescue Plan – Homeless Children and Youth (ARP-HCY) - Budget Detail</t>
  </si>
  <si>
    <t>American Rescue Plan – Homeless Children and Youth Relief Funds (ARP-HCY)</t>
  </si>
  <si>
    <t>American Rescue Plan Elementary and Secondary Schools Emergency Relief Fund – Homeless Children and Youth (ARP-HCY)</t>
  </si>
  <si>
    <t>American Rescue Plan – Homeless Children and Youth (ARP-HCY) - Budget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</si>
</sst>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sz val="12"/>
      <color indexed="18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indexed="18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9"/>
      <color indexed="81"/>
      <name val="Tahoma"/>
      <family val="2"/>
    </font>
    <font>
      <sz val="10"/>
      <color rgb="FF222222"/>
      <name val="Arial"/>
      <family val="2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sz val="10"/>
      <color rgb="FF000000"/>
      <name val="Times New Roman"/>
      <charset val="204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5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7" tint="0.59999389629810485"/>
        <bgColor rgb="FF002060"/>
      </patternFill>
    </fill>
    <fill>
      <patternFill patternType="solid">
        <fgColor theme="7" tint="-0.499984740745262"/>
        <bgColor rgb="FFD8D8D8"/>
      </patternFill>
    </fill>
    <fill>
      <patternFill patternType="solid">
        <fgColor rgb="FF00B050"/>
        <bgColor rgb="FFF2F2F2"/>
      </patternFill>
    </fill>
    <fill>
      <patternFill patternType="solid">
        <fgColor rgb="FFFDE959"/>
        <bgColor rgb="FFF2F2F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FF339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3399"/>
      </left>
      <right style="thin">
        <color rgb="FFFF3399"/>
      </right>
      <top style="thin">
        <color rgb="FFFF3399"/>
      </top>
      <bottom style="thin">
        <color rgb="FFFF3399"/>
      </bottom>
      <diagonal/>
    </border>
    <border>
      <left style="thin">
        <color indexed="64"/>
      </left>
      <right style="thin">
        <color rgb="FF000000"/>
      </right>
      <top style="thin">
        <color rgb="FFFF3399"/>
      </top>
      <bottom style="thin">
        <color rgb="FF000000"/>
      </bottom>
      <diagonal/>
    </border>
    <border>
      <left style="thin">
        <color rgb="FFFF3399"/>
      </left>
      <right/>
      <top/>
      <bottom/>
      <diagonal/>
    </border>
    <border>
      <left style="thin">
        <color rgb="FFFF3399"/>
      </left>
      <right/>
      <top style="thin">
        <color rgb="FFFF3399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4" fontId="41" fillId="0" borderId="0" applyFont="0" applyFill="0" applyBorder="0" applyAlignment="0" applyProtection="0"/>
  </cellStyleXfs>
  <cellXfs count="17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6" fillId="0" borderId="6" xfId="1" applyFont="1" applyBorder="1" applyAlignment="1">
      <alignment horizontal="left" wrapText="1"/>
    </xf>
    <xf numFmtId="0" fontId="6" fillId="0" borderId="9" xfId="1" applyFont="1" applyBorder="1" applyAlignment="1">
      <alignment horizontal="left" wrapText="1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2" xfId="0" applyFill="1" applyBorder="1" applyProtection="1">
      <protection locked="0"/>
    </xf>
    <xf numFmtId="44" fontId="0" fillId="0" borderId="2" xfId="0" applyNumberFormat="1" applyBorder="1" applyProtection="1">
      <protection locked="0"/>
    </xf>
    <xf numFmtId="0" fontId="10" fillId="0" borderId="0" xfId="0" applyFont="1" applyFill="1" applyBorder="1" applyAlignment="1" applyProtection="1">
      <protection locked="0"/>
    </xf>
    <xf numFmtId="0" fontId="0" fillId="0" borderId="0" xfId="0" applyFill="1" applyBorder="1" applyProtection="1">
      <protection locked="0"/>
    </xf>
    <xf numFmtId="0" fontId="17" fillId="0" borderId="2" xfId="0" applyFont="1" applyFill="1" applyBorder="1" applyAlignment="1" applyProtection="1"/>
    <xf numFmtId="44" fontId="0" fillId="0" borderId="2" xfId="0" applyNumberFormat="1" applyBorder="1" applyProtection="1"/>
    <xf numFmtId="0" fontId="0" fillId="0" borderId="2" xfId="0" applyFill="1" applyBorder="1" applyProtection="1"/>
    <xf numFmtId="44" fontId="12" fillId="0" borderId="2" xfId="0" applyNumberFormat="1" applyFont="1" applyBorder="1" applyProtection="1"/>
    <xf numFmtId="0" fontId="6" fillId="0" borderId="0" xfId="1" applyFont="1" applyFill="1" applyBorder="1" applyAlignment="1">
      <alignment horizontal="left" wrapText="1"/>
    </xf>
    <xf numFmtId="0" fontId="0" fillId="0" borderId="0" xfId="0" applyFill="1" applyProtection="1">
      <protection locked="0"/>
    </xf>
    <xf numFmtId="0" fontId="18" fillId="0" borderId="0" xfId="1" applyFont="1" applyFill="1" applyBorder="1" applyAlignment="1"/>
    <xf numFmtId="0" fontId="18" fillId="0" borderId="0" xfId="1" applyFont="1" applyFill="1" applyBorder="1" applyAlignment="1" applyProtection="1">
      <protection locked="0"/>
    </xf>
    <xf numFmtId="0" fontId="6" fillId="0" borderId="0" xfId="1" applyFont="1" applyFill="1" applyBorder="1" applyAlignment="1">
      <alignment wrapText="1"/>
    </xf>
    <xf numFmtId="44" fontId="21" fillId="0" borderId="2" xfId="0" applyNumberFormat="1" applyFont="1" applyBorder="1" applyProtection="1"/>
    <xf numFmtId="0" fontId="21" fillId="0" borderId="2" xfId="0" applyFont="1" applyFill="1" applyBorder="1" applyProtection="1"/>
    <xf numFmtId="0" fontId="21" fillId="0" borderId="0" xfId="0" applyFont="1" applyFill="1" applyBorder="1" applyAlignment="1">
      <alignment horizontal="left" vertical="top"/>
    </xf>
    <xf numFmtId="0" fontId="17" fillId="0" borderId="12" xfId="0" applyFont="1" applyBorder="1" applyAlignment="1">
      <alignment horizontal="center" vertical="center" wrapText="1"/>
    </xf>
    <xf numFmtId="0" fontId="23" fillId="0" borderId="12" xfId="0" applyFont="1" applyBorder="1"/>
    <xf numFmtId="0" fontId="21" fillId="0" borderId="0" xfId="0" applyFont="1" applyFill="1" applyBorder="1" applyAlignment="1">
      <alignment horizontal="left" vertical="center"/>
    </xf>
    <xf numFmtId="0" fontId="23" fillId="0" borderId="13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49" fontId="17" fillId="3" borderId="12" xfId="0" applyNumberFormat="1" applyFont="1" applyFill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44" fontId="8" fillId="0" borderId="12" xfId="0" applyNumberFormat="1" applyFont="1" applyBorder="1" applyAlignment="1">
      <alignment horizontal="right" vertical="center" wrapText="1"/>
    </xf>
    <xf numFmtId="44" fontId="8" fillId="0" borderId="13" xfId="0" applyNumberFormat="1" applyFont="1" applyBorder="1" applyAlignment="1">
      <alignment horizontal="righ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/>
    </xf>
    <xf numFmtId="0" fontId="16" fillId="12" borderId="2" xfId="0" applyFont="1" applyFill="1" applyBorder="1" applyAlignment="1" applyProtection="1">
      <alignment horizontal="center" vertical="center"/>
      <protection locked="0"/>
    </xf>
    <xf numFmtId="0" fontId="16" fillId="12" borderId="2" xfId="0" applyFont="1" applyFill="1" applyBorder="1" applyAlignment="1" applyProtection="1">
      <alignment horizontal="center" vertical="center" wrapText="1"/>
      <protection locked="0"/>
    </xf>
    <xf numFmtId="0" fontId="16" fillId="12" borderId="2" xfId="0" applyFont="1" applyFill="1" applyBorder="1" applyAlignment="1" applyProtection="1"/>
    <xf numFmtId="0" fontId="16" fillId="12" borderId="2" xfId="0" applyFont="1" applyFill="1" applyBorder="1" applyProtection="1"/>
    <xf numFmtId="0" fontId="10" fillId="12" borderId="0" xfId="0" applyFont="1" applyFill="1" applyProtection="1"/>
    <xf numFmtId="49" fontId="24" fillId="0" borderId="12" xfId="0" applyNumberFormat="1" applyFont="1" applyBorder="1" applyAlignment="1">
      <alignment horizontal="center" vertical="center"/>
    </xf>
    <xf numFmtId="49" fontId="24" fillId="0" borderId="12" xfId="0" applyNumberFormat="1" applyFont="1" applyBorder="1" applyAlignment="1">
      <alignment horizontal="center" vertical="center" shrinkToFit="1"/>
    </xf>
    <xf numFmtId="44" fontId="23" fillId="0" borderId="12" xfId="0" applyNumberFormat="1" applyFont="1" applyBorder="1" applyAlignment="1">
      <alignment horizontal="right" vertical="center" wrapText="1"/>
    </xf>
    <xf numFmtId="44" fontId="2" fillId="10" borderId="2" xfId="0" applyNumberFormat="1" applyFont="1" applyFill="1" applyBorder="1" applyAlignment="1">
      <alignment horizontal="right" vertical="center" wrapText="1"/>
    </xf>
    <xf numFmtId="44" fontId="2" fillId="9" borderId="2" xfId="0" applyNumberFormat="1" applyFont="1" applyFill="1" applyBorder="1" applyAlignment="1">
      <alignment horizontal="right" vertical="center" wrapText="1"/>
    </xf>
    <xf numFmtId="0" fontId="16" fillId="7" borderId="2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horizontal="center" vertical="center"/>
    </xf>
    <xf numFmtId="49" fontId="17" fillId="4" borderId="12" xfId="0" applyNumberFormat="1" applyFont="1" applyFill="1" applyBorder="1" applyAlignment="1">
      <alignment horizontal="center" vertical="center"/>
    </xf>
    <xf numFmtId="49" fontId="24" fillId="2" borderId="12" xfId="0" applyNumberFormat="1" applyFont="1" applyFill="1" applyBorder="1" applyAlignment="1">
      <alignment horizontal="center" vertical="center"/>
    </xf>
    <xf numFmtId="44" fontId="23" fillId="2" borderId="12" xfId="0" applyNumberFormat="1" applyFont="1" applyFill="1" applyBorder="1" applyAlignment="1">
      <alignment horizontal="right" vertical="center" wrapText="1"/>
    </xf>
    <xf numFmtId="44" fontId="8" fillId="2" borderId="12" xfId="0" applyNumberFormat="1" applyFont="1" applyFill="1" applyBorder="1" applyAlignment="1">
      <alignment horizontal="right" vertical="center" wrapText="1"/>
    </xf>
    <xf numFmtId="49" fontId="17" fillId="2" borderId="12" xfId="0" applyNumberFormat="1" applyFont="1" applyFill="1" applyBorder="1" applyAlignment="1">
      <alignment horizontal="center" vertical="center"/>
    </xf>
    <xf numFmtId="0" fontId="23" fillId="0" borderId="0" xfId="0" applyFont="1" applyBorder="1" applyAlignment="1"/>
    <xf numFmtId="0" fontId="17" fillId="0" borderId="0" xfId="0" applyFont="1" applyBorder="1" applyAlignment="1"/>
    <xf numFmtId="0" fontId="8" fillId="0" borderId="0" xfId="0" applyFont="1" applyBorder="1" applyAlignment="1"/>
    <xf numFmtId="0" fontId="23" fillId="0" borderId="14" xfId="0" applyFont="1" applyBorder="1" applyAlignment="1"/>
    <xf numFmtId="0" fontId="17" fillId="0" borderId="15" xfId="0" applyFont="1" applyBorder="1" applyAlignment="1"/>
    <xf numFmtId="0" fontId="5" fillId="13" borderId="2" xfId="0" applyFont="1" applyFill="1" applyBorder="1" applyAlignment="1">
      <alignment horizontal="right"/>
    </xf>
    <xf numFmtId="0" fontId="9" fillId="13" borderId="2" xfId="0" applyFont="1" applyFill="1" applyBorder="1" applyAlignment="1">
      <alignment horizontal="center" vertical="top"/>
    </xf>
    <xf numFmtId="0" fontId="28" fillId="12" borderId="2" xfId="3" applyFont="1" applyFill="1" applyBorder="1" applyAlignment="1" applyProtection="1">
      <alignment horizontal="center" vertical="center"/>
      <protection locked="0"/>
    </xf>
    <xf numFmtId="0" fontId="21" fillId="0" borderId="19" xfId="0" applyFont="1" applyFill="1" applyBorder="1" applyAlignment="1">
      <alignment horizontal="left" vertical="top"/>
    </xf>
    <xf numFmtId="0" fontId="21" fillId="0" borderId="7" xfId="0" applyFont="1" applyBorder="1" applyProtection="1"/>
    <xf numFmtId="0" fontId="21" fillId="0" borderId="7" xfId="0" applyFont="1" applyFill="1" applyBorder="1" applyProtection="1"/>
    <xf numFmtId="0" fontId="17" fillId="2" borderId="22" xfId="0" applyFont="1" applyFill="1" applyBorder="1" applyAlignment="1"/>
    <xf numFmtId="0" fontId="20" fillId="0" borderId="2" xfId="0" applyFont="1" applyBorder="1" applyProtection="1">
      <protection locked="0"/>
    </xf>
    <xf numFmtId="0" fontId="20" fillId="0" borderId="2" xfId="0" applyFont="1" applyBorder="1" applyProtection="1"/>
    <xf numFmtId="44" fontId="20" fillId="0" borderId="2" xfId="0" applyNumberFormat="1" applyFont="1" applyBorder="1" applyProtection="1"/>
    <xf numFmtId="0" fontId="2" fillId="0" borderId="2" xfId="0" applyFont="1" applyFill="1" applyBorder="1" applyAlignment="1" applyProtection="1">
      <alignment vertical="top"/>
      <protection locked="0"/>
    </xf>
    <xf numFmtId="0" fontId="2" fillId="0" borderId="2" xfId="0" applyFont="1" applyFill="1" applyBorder="1" applyAlignment="1" applyProtection="1">
      <alignment horizontal="center" vertical="top"/>
      <protection locked="0"/>
    </xf>
    <xf numFmtId="49" fontId="10" fillId="5" borderId="23" xfId="0" applyNumberFormat="1" applyFont="1" applyFill="1" applyBorder="1" applyAlignment="1">
      <alignment horizontal="left"/>
    </xf>
    <xf numFmtId="10" fontId="26" fillId="15" borderId="24" xfId="1" applyNumberFormat="1" applyFont="1" applyFill="1" applyBorder="1" applyAlignment="1">
      <alignment horizontal="center"/>
    </xf>
    <xf numFmtId="49" fontId="0" fillId="0" borderId="8" xfId="0" applyNumberFormat="1" applyFont="1" applyBorder="1" applyAlignment="1">
      <alignment horizontal="center"/>
    </xf>
    <xf numFmtId="10" fontId="0" fillId="0" borderId="8" xfId="1" applyNumberFormat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49" fontId="0" fillId="16" borderId="2" xfId="0" applyNumberFormat="1" applyFont="1" applyFill="1" applyBorder="1" applyAlignment="1">
      <alignment horizontal="center"/>
    </xf>
    <xf numFmtId="10" fontId="0" fillId="16" borderId="8" xfId="1" applyNumberFormat="1" applyFont="1" applyFill="1" applyBorder="1" applyAlignment="1">
      <alignment horizontal="center"/>
    </xf>
    <xf numFmtId="49" fontId="23" fillId="18" borderId="2" xfId="0" applyNumberFormat="1" applyFont="1" applyFill="1" applyBorder="1" applyAlignment="1">
      <alignment horizontal="center"/>
    </xf>
    <xf numFmtId="49" fontId="23" fillId="19" borderId="2" xfId="0" applyNumberFormat="1" applyFont="1" applyFill="1" applyBorder="1" applyAlignment="1">
      <alignment horizontal="center"/>
    </xf>
    <xf numFmtId="49" fontId="17" fillId="0" borderId="2" xfId="0" applyNumberFormat="1" applyFont="1" applyFill="1" applyBorder="1" applyAlignment="1" applyProtection="1">
      <alignment horizontal="center" vertical="center"/>
      <protection locked="0"/>
    </xf>
    <xf numFmtId="49" fontId="23" fillId="18" borderId="2" xfId="0" applyNumberFormat="1" applyFont="1" applyFill="1" applyBorder="1" applyAlignment="1">
      <alignment horizontal="center" vertical="center"/>
    </xf>
    <xf numFmtId="49" fontId="23" fillId="19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/>
    </xf>
    <xf numFmtId="49" fontId="17" fillId="0" borderId="2" xfId="3" applyNumberFormat="1" applyFont="1" applyBorder="1"/>
    <xf numFmtId="10" fontId="17" fillId="0" borderId="8" xfId="1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49" fontId="10" fillId="5" borderId="24" xfId="0" applyNumberFormat="1" applyFont="1" applyFill="1" applyBorder="1" applyAlignment="1">
      <alignment horizontal="left"/>
    </xf>
    <xf numFmtId="49" fontId="0" fillId="0" borderId="8" xfId="0" applyNumberFormat="1" applyFont="1" applyBorder="1"/>
    <xf numFmtId="49" fontId="0" fillId="0" borderId="2" xfId="0" applyNumberFormat="1" applyFont="1" applyBorder="1"/>
    <xf numFmtId="49" fontId="20" fillId="0" borderId="2" xfId="0" applyNumberFormat="1" applyFont="1" applyBorder="1"/>
    <xf numFmtId="49" fontId="17" fillId="18" borderId="2" xfId="0" applyNumberFormat="1" applyFont="1" applyFill="1" applyBorder="1" applyAlignment="1">
      <alignment horizontal="left"/>
    </xf>
    <xf numFmtId="49" fontId="23" fillId="18" borderId="2" xfId="0" applyNumberFormat="1" applyFont="1" applyFill="1" applyBorder="1" applyAlignment="1">
      <alignment horizontal="left" vertical="center"/>
    </xf>
    <xf numFmtId="49" fontId="17" fillId="0" borderId="2" xfId="0" applyNumberFormat="1" applyFont="1" applyBorder="1" applyAlignment="1">
      <alignment horizontal="left"/>
    </xf>
    <xf numFmtId="49" fontId="0" fillId="16" borderId="2" xfId="0" applyNumberFormat="1" applyFont="1" applyFill="1" applyBorder="1"/>
    <xf numFmtId="49" fontId="17" fillId="18" borderId="2" xfId="0" applyNumberFormat="1" applyFont="1" applyFill="1" applyBorder="1" applyAlignment="1">
      <alignment horizontal="left" vertical="center"/>
    </xf>
    <xf numFmtId="49" fontId="17" fillId="0" borderId="2" xfId="0" applyNumberFormat="1" applyFont="1" applyFill="1" applyBorder="1" applyAlignment="1" applyProtection="1">
      <alignment horizontal="left" vertical="center"/>
      <protection locked="0"/>
    </xf>
    <xf numFmtId="49" fontId="17" fillId="19" borderId="2" xfId="0" applyNumberFormat="1" applyFont="1" applyFill="1" applyBorder="1" applyAlignment="1">
      <alignment horizontal="left" vertical="center"/>
    </xf>
    <xf numFmtId="49" fontId="17" fillId="19" borderId="2" xfId="0" applyNumberFormat="1" applyFont="1" applyFill="1" applyBorder="1" applyAlignment="1">
      <alignment horizontal="left"/>
    </xf>
    <xf numFmtId="49" fontId="26" fillId="15" borderId="24" xfId="0" applyNumberFormat="1" applyFont="1" applyFill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31" fillId="0" borderId="2" xfId="0" applyNumberFormat="1" applyFont="1" applyBorder="1"/>
    <xf numFmtId="49" fontId="0" fillId="0" borderId="2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33" fillId="0" borderId="0" xfId="0" applyFont="1" applyFill="1" applyBorder="1" applyAlignment="1">
      <alignment horizontal="left" vertical="top"/>
    </xf>
    <xf numFmtId="0" fontId="19" fillId="9" borderId="3" xfId="1" applyFont="1" applyFill="1" applyBorder="1" applyAlignment="1" applyProtection="1">
      <alignment horizontal="right"/>
    </xf>
    <xf numFmtId="0" fontId="35" fillId="0" borderId="2" xfId="0" applyFont="1" applyFill="1" applyBorder="1" applyProtection="1"/>
    <xf numFmtId="0" fontId="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4" fontId="2" fillId="0" borderId="0" xfId="0" applyNumberFormat="1" applyFont="1" applyFill="1" applyBorder="1" applyAlignment="1">
      <alignment horizontal="right" vertical="center" wrapText="1"/>
    </xf>
    <xf numFmtId="44" fontId="9" fillId="0" borderId="0" xfId="0" applyNumberFormat="1" applyFont="1" applyFill="1" applyBorder="1" applyAlignment="1">
      <alignment horizontal="right" vertical="center" wrapText="1"/>
    </xf>
    <xf numFmtId="44" fontId="9" fillId="9" borderId="2" xfId="0" applyNumberFormat="1" applyFont="1" applyFill="1" applyBorder="1" applyAlignment="1">
      <alignment horizontal="right" vertical="center" wrapText="1"/>
    </xf>
    <xf numFmtId="2" fontId="24" fillId="17" borderId="17" xfId="0" applyNumberFormat="1" applyFont="1" applyFill="1" applyBorder="1" applyAlignment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44" fontId="38" fillId="23" borderId="20" xfId="0" applyNumberFormat="1" applyFont="1" applyFill="1" applyBorder="1" applyAlignment="1" applyProtection="1">
      <alignment horizontal="right"/>
      <protection locked="0"/>
    </xf>
    <xf numFmtId="44" fontId="23" fillId="0" borderId="18" xfId="0" applyNumberFormat="1" applyFont="1" applyBorder="1" applyAlignment="1">
      <alignment horizontal="right"/>
    </xf>
    <xf numFmtId="0" fontId="10" fillId="0" borderId="0" xfId="0" applyFont="1" applyFill="1" applyBorder="1" applyAlignment="1"/>
    <xf numFmtId="0" fontId="34" fillId="0" borderId="0" xfId="0" applyFont="1" applyFill="1" applyBorder="1" applyAlignment="1"/>
    <xf numFmtId="44" fontId="8" fillId="0" borderId="0" xfId="0" applyNumberFormat="1" applyFont="1" applyFill="1" applyBorder="1" applyAlignment="1">
      <alignment horizontal="right"/>
    </xf>
    <xf numFmtId="0" fontId="23" fillId="2" borderId="21" xfId="0" applyFont="1" applyFill="1" applyBorder="1" applyAlignment="1"/>
    <xf numFmtId="44" fontId="23" fillId="2" borderId="25" xfId="0" applyNumberFormat="1" applyFont="1" applyFill="1" applyBorder="1" applyAlignment="1">
      <alignment horizontal="right"/>
    </xf>
    <xf numFmtId="0" fontId="23" fillId="0" borderId="2" xfId="0" applyFont="1" applyBorder="1" applyAlignment="1"/>
    <xf numFmtId="0" fontId="17" fillId="0" borderId="2" xfId="0" applyFont="1" applyBorder="1" applyAlignment="1"/>
    <xf numFmtId="44" fontId="23" fillId="0" borderId="2" xfId="0" applyNumberFormat="1" applyFont="1" applyBorder="1" applyAlignment="1" applyProtection="1">
      <alignment horizontal="right"/>
    </xf>
    <xf numFmtId="0" fontId="10" fillId="12" borderId="2" xfId="0" applyFont="1" applyFill="1" applyBorder="1" applyAlignment="1"/>
    <xf numFmtId="0" fontId="34" fillId="12" borderId="2" xfId="0" applyFont="1" applyFill="1" applyBorder="1" applyAlignment="1"/>
    <xf numFmtId="44" fontId="8" fillId="11" borderId="2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left" vertical="center" wrapText="1"/>
    </xf>
    <xf numFmtId="0" fontId="39" fillId="12" borderId="2" xfId="0" applyFont="1" applyFill="1" applyBorder="1" applyProtection="1">
      <protection locked="0"/>
    </xf>
    <xf numFmtId="44" fontId="0" fillId="12" borderId="2" xfId="0" applyNumberFormat="1" applyFill="1" applyBorder="1" applyProtection="1">
      <protection locked="0"/>
    </xf>
    <xf numFmtId="0" fontId="0" fillId="12" borderId="2" xfId="0" applyFill="1" applyBorder="1" applyAlignment="1" applyProtection="1">
      <alignment horizontal="left"/>
      <protection locked="0"/>
    </xf>
    <xf numFmtId="0" fontId="0" fillId="12" borderId="2" xfId="0" applyFill="1" applyBorder="1" applyProtection="1">
      <protection locked="0"/>
    </xf>
    <xf numFmtId="0" fontId="20" fillId="12" borderId="2" xfId="0" applyFont="1" applyFill="1" applyBorder="1" applyProtection="1">
      <protection locked="0"/>
    </xf>
    <xf numFmtId="44" fontId="0" fillId="12" borderId="2" xfId="0" applyNumberFormat="1" applyFill="1" applyBorder="1" applyProtection="1"/>
    <xf numFmtId="0" fontId="5" fillId="0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40" fillId="7" borderId="2" xfId="0" applyFont="1" applyFill="1" applyBorder="1" applyAlignment="1">
      <alignment horizontal="left" vertical="center" wrapText="1"/>
    </xf>
    <xf numFmtId="0" fontId="40" fillId="1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top"/>
      <protection locked="0"/>
    </xf>
    <xf numFmtId="49" fontId="5" fillId="0" borderId="3" xfId="0" applyNumberFormat="1" applyFont="1" applyFill="1" applyBorder="1" applyAlignment="1" applyProtection="1">
      <alignment horizontal="left" vertical="top"/>
      <protection locked="0"/>
    </xf>
    <xf numFmtId="49" fontId="5" fillId="0" borderId="4" xfId="0" applyNumberFormat="1" applyFont="1" applyFill="1" applyBorder="1" applyAlignment="1" applyProtection="1">
      <alignment horizontal="left" vertical="top"/>
      <protection locked="0"/>
    </xf>
    <xf numFmtId="49" fontId="5" fillId="0" borderId="5" xfId="0" applyNumberFormat="1" applyFont="1" applyFill="1" applyBorder="1" applyAlignment="1" applyProtection="1">
      <alignment horizontal="left" vertical="top"/>
      <protection locked="0"/>
    </xf>
    <xf numFmtId="0" fontId="3" fillId="0" borderId="2" xfId="0" applyNumberFormat="1" applyFont="1" applyBorder="1" applyAlignment="1" applyProtection="1">
      <alignment horizontal="center" vertical="top"/>
      <protection locked="0"/>
    </xf>
    <xf numFmtId="0" fontId="16" fillId="8" borderId="2" xfId="0" applyFont="1" applyFill="1" applyBorder="1" applyAlignment="1">
      <alignment horizontal="center" wrapText="1"/>
    </xf>
    <xf numFmtId="0" fontId="16" fillId="8" borderId="2" xfId="0" applyFont="1" applyFill="1" applyBorder="1" applyAlignment="1">
      <alignment horizontal="center"/>
    </xf>
    <xf numFmtId="0" fontId="16" fillId="11" borderId="2" xfId="0" applyFont="1" applyFill="1" applyBorder="1" applyAlignment="1">
      <alignment horizontal="center" vertical="top"/>
    </xf>
    <xf numFmtId="0" fontId="21" fillId="14" borderId="2" xfId="0" applyFont="1" applyFill="1" applyBorder="1" applyAlignment="1">
      <alignment horizontal="center" vertical="top"/>
    </xf>
    <xf numFmtId="0" fontId="29" fillId="0" borderId="2" xfId="0" applyFont="1" applyFill="1" applyBorder="1" applyAlignment="1">
      <alignment horizontal="left" wrapText="1"/>
    </xf>
    <xf numFmtId="0" fontId="29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top"/>
    </xf>
    <xf numFmtId="0" fontId="6" fillId="6" borderId="8" xfId="1" applyFont="1" applyFill="1" applyBorder="1" applyAlignment="1">
      <alignment horizontal="left" vertical="center" wrapText="1"/>
    </xf>
    <xf numFmtId="0" fontId="6" fillId="6" borderId="2" xfId="1" applyFont="1" applyFill="1" applyBorder="1" applyAlignment="1">
      <alignment horizontal="left" vertical="center" wrapText="1"/>
    </xf>
    <xf numFmtId="0" fontId="16" fillId="12" borderId="7" xfId="1" applyFont="1" applyFill="1" applyBorder="1" applyAlignment="1">
      <alignment horizontal="center" wrapText="1"/>
    </xf>
    <xf numFmtId="0" fontId="16" fillId="12" borderId="7" xfId="1" applyFont="1" applyFill="1" applyBorder="1" applyAlignment="1">
      <alignment horizontal="center"/>
    </xf>
    <xf numFmtId="0" fontId="16" fillId="12" borderId="2" xfId="1" applyFont="1" applyFill="1" applyBorder="1" applyAlignment="1">
      <alignment horizontal="center"/>
    </xf>
    <xf numFmtId="0" fontId="30" fillId="9" borderId="4" xfId="1" applyFont="1" applyFill="1" applyBorder="1" applyAlignment="1" applyProtection="1">
      <alignment horizontal="center"/>
    </xf>
    <xf numFmtId="0" fontId="30" fillId="9" borderId="5" xfId="1" applyFont="1" applyFill="1" applyBorder="1" applyAlignment="1" applyProtection="1">
      <alignment horizontal="center"/>
    </xf>
    <xf numFmtId="0" fontId="37" fillId="22" borderId="2" xfId="3" applyFont="1" applyFill="1" applyBorder="1" applyAlignment="1" applyProtection="1">
      <alignment horizontal="center"/>
      <protection locked="0"/>
    </xf>
    <xf numFmtId="0" fontId="37" fillId="22" borderId="3" xfId="3" applyFont="1" applyFill="1" applyBorder="1" applyAlignment="1" applyProtection="1">
      <alignment horizontal="center"/>
      <protection locked="0"/>
    </xf>
    <xf numFmtId="0" fontId="26" fillId="2" borderId="16" xfId="0" applyFont="1" applyFill="1" applyBorder="1" applyAlignment="1">
      <alignment horizontal="right"/>
    </xf>
    <xf numFmtId="0" fontId="26" fillId="2" borderId="2" xfId="0" applyFont="1" applyFill="1" applyBorder="1" applyAlignment="1">
      <alignment horizontal="right"/>
    </xf>
    <xf numFmtId="0" fontId="26" fillId="2" borderId="3" xfId="0" applyFont="1" applyFill="1" applyBorder="1" applyAlignment="1">
      <alignment horizontal="right"/>
    </xf>
    <xf numFmtId="0" fontId="25" fillId="21" borderId="1" xfId="0" applyFont="1" applyFill="1" applyBorder="1" applyAlignment="1">
      <alignment horizontal="center" wrapText="1"/>
    </xf>
    <xf numFmtId="0" fontId="25" fillId="21" borderId="10" xfId="0" applyFont="1" applyFill="1" applyBorder="1" applyAlignment="1">
      <alignment horizontal="center" wrapText="1"/>
    </xf>
    <xf numFmtId="0" fontId="25" fillId="21" borderId="11" xfId="0" applyFont="1" applyFill="1" applyBorder="1" applyAlignment="1">
      <alignment horizontal="center" wrapText="1"/>
    </xf>
    <xf numFmtId="49" fontId="36" fillId="20" borderId="1" xfId="0" applyNumberFormat="1" applyFont="1" applyFill="1" applyBorder="1" applyAlignment="1">
      <alignment horizontal="center" vertical="top" wrapText="1"/>
    </xf>
    <xf numFmtId="0" fontId="36" fillId="20" borderId="10" xfId="0" applyFont="1" applyFill="1" applyBorder="1" applyAlignment="1">
      <alignment horizontal="center" vertical="top" wrapText="1"/>
    </xf>
    <xf numFmtId="0" fontId="36" fillId="20" borderId="11" xfId="0" applyFont="1" applyFill="1" applyBorder="1" applyAlignment="1">
      <alignment horizontal="center" vertical="top" wrapText="1"/>
    </xf>
    <xf numFmtId="0" fontId="22" fillId="0" borderId="1" xfId="3" applyFont="1" applyBorder="1" applyAlignment="1" applyProtection="1">
      <alignment horizontal="center"/>
      <protection locked="0"/>
    </xf>
    <xf numFmtId="0" fontId="22" fillId="0" borderId="11" xfId="3" applyFont="1" applyBorder="1" applyProtection="1">
      <protection locked="0"/>
    </xf>
    <xf numFmtId="44" fontId="0" fillId="0" borderId="2" xfId="4" applyFont="1" applyBorder="1" applyProtection="1"/>
  </cellXfs>
  <cellStyles count="5">
    <cellStyle name="Currency" xfId="4" builtinId="4"/>
    <cellStyle name="Currency 2" xfId="2" xr:uid="{00000000-0005-0000-0000-000000000000}"/>
    <cellStyle name="Hyperlink" xfId="3" builtinId="8"/>
    <cellStyle name="Normal" xfId="0" builtinId="0"/>
    <cellStyle name="Normal 2" xfId="1" xr:uid="{00000000-0005-0000-0000-000003000000}"/>
  </cellStyles>
  <dxfs count="4"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colors>
    <mruColors>
      <color rgb="FFFDE959"/>
      <color rgb="FFFEF3A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266194</xdr:rowOff>
    </xdr:from>
    <xdr:to>
      <xdr:col>4</xdr:col>
      <xdr:colOff>1089660</xdr:colOff>
      <xdr:row>0</xdr:row>
      <xdr:rowOff>1230439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825" y="266194"/>
          <a:ext cx="6795135" cy="9642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GrantsManagement\Contacts%20Title%20Programs%20I%20II%20III\Supt,%20I,%20II,%20III,%20Treasurer%20Contact%20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acts"/>
      <sheetName val="NonPub Contacts"/>
      <sheetName val="Public School Contacts"/>
      <sheetName val="HH%"/>
      <sheetName val="ICR%FY19"/>
    </sheetNames>
    <sheetDataSet>
      <sheetData sheetId="0"/>
      <sheetData sheetId="1"/>
      <sheetData sheetId="2"/>
      <sheetData sheetId="3"/>
      <sheetData sheetId="4">
        <row r="2">
          <cell r="A2" t="str">
            <v>0015</v>
          </cell>
          <cell r="B2" t="str">
            <v>Adams Central Community Schools</v>
          </cell>
          <cell r="C2">
            <v>1.2200000000000001E-2</v>
          </cell>
        </row>
        <row r="3">
          <cell r="A3" t="str">
            <v>5265</v>
          </cell>
          <cell r="B3" t="str">
            <v>Alexandria Com School Corp</v>
          </cell>
          <cell r="C3">
            <v>1.2500000000000001E-2</v>
          </cell>
        </row>
        <row r="4">
          <cell r="A4" t="str">
            <v>5275</v>
          </cell>
          <cell r="B4" t="str">
            <v>Anderson Community School Corp</v>
          </cell>
          <cell r="C4">
            <v>3.1699999999999999E-2</v>
          </cell>
        </row>
        <row r="5">
          <cell r="A5" t="str">
            <v>9750</v>
          </cell>
          <cell r="B5" t="str">
            <v>Anderson Excel Center</v>
          </cell>
          <cell r="C5">
            <v>1E-4</v>
          </cell>
        </row>
        <row r="6">
          <cell r="A6" t="str">
            <v>9615</v>
          </cell>
          <cell r="B6" t="str">
            <v>Andrew J Brown Academy</v>
          </cell>
          <cell r="C6">
            <v>1.14E-2</v>
          </cell>
        </row>
        <row r="7">
          <cell r="A7" t="str">
            <v>9685</v>
          </cell>
          <cell r="B7" t="str">
            <v>Aspire Charter Academy</v>
          </cell>
          <cell r="C7">
            <v>1.46E-2</v>
          </cell>
        </row>
        <row r="8">
          <cell r="A8" t="str">
            <v>3315</v>
          </cell>
          <cell r="B8" t="str">
            <v>Avon Community School Corp</v>
          </cell>
          <cell r="C8">
            <v>1.6400000000000001E-2</v>
          </cell>
        </row>
        <row r="9">
          <cell r="A9" t="str">
            <v>0365</v>
          </cell>
          <cell r="B9" t="str">
            <v>Bartholomew Con School Corp</v>
          </cell>
          <cell r="C9">
            <v>1.29E-2</v>
          </cell>
        </row>
        <row r="10">
          <cell r="A10" t="str">
            <v>6895</v>
          </cell>
          <cell r="B10" t="str">
            <v>Batesville Community Sch Corp</v>
          </cell>
          <cell r="C10">
            <v>7.9000000000000008E-3</v>
          </cell>
        </row>
        <row r="11">
          <cell r="A11" t="str">
            <v>2260</v>
          </cell>
          <cell r="B11" t="str">
            <v>Baugo Community Schools</v>
          </cell>
          <cell r="C11">
            <v>1.7000000000000001E-2</v>
          </cell>
        </row>
        <row r="12">
          <cell r="A12" t="str">
            <v>5380</v>
          </cell>
          <cell r="B12" t="str">
            <v>Beech Grove City Schools</v>
          </cell>
          <cell r="C12">
            <v>8.3999999999999995E-3</v>
          </cell>
        </row>
        <row r="13">
          <cell r="A13" t="str">
            <v>0395</v>
          </cell>
          <cell r="B13" t="str">
            <v>Benton Community School Corp</v>
          </cell>
          <cell r="C13">
            <v>2.7300000000000001E-2</v>
          </cell>
        </row>
        <row r="14">
          <cell r="A14" t="str">
            <v>0515</v>
          </cell>
          <cell r="B14" t="str">
            <v>Blackford County Schools</v>
          </cell>
          <cell r="C14">
            <v>2.29E-2</v>
          </cell>
        </row>
        <row r="15">
          <cell r="A15" t="str">
            <v>3305</v>
          </cell>
          <cell r="B15" t="str">
            <v>Brownsburg Community Sch Corp</v>
          </cell>
          <cell r="C15">
            <v>1.46E-2</v>
          </cell>
        </row>
        <row r="16">
          <cell r="A16" t="str">
            <v>3455</v>
          </cell>
          <cell r="B16" t="str">
            <v>C A Beard Memorial School Corp</v>
          </cell>
          <cell r="C16">
            <v>3.27E-2</v>
          </cell>
        </row>
        <row r="17">
          <cell r="A17" t="str">
            <v>0750</v>
          </cell>
          <cell r="B17" t="str">
            <v>Carroll Consolidated Sch Corp</v>
          </cell>
          <cell r="C17">
            <v>1.7000000000000001E-2</v>
          </cell>
        </row>
        <row r="18">
          <cell r="A18" t="str">
            <v>4205</v>
          </cell>
          <cell r="B18" t="str">
            <v>Center Grove Com Sch Corp</v>
          </cell>
          <cell r="C18">
            <v>2.2200000000000001E-2</v>
          </cell>
        </row>
        <row r="19">
          <cell r="A19" t="str">
            <v>8825</v>
          </cell>
          <cell r="B19" t="str">
            <v>Charter School USA Donnan</v>
          </cell>
          <cell r="C19">
            <v>0</v>
          </cell>
        </row>
        <row r="20">
          <cell r="A20" t="str">
            <v>8810</v>
          </cell>
          <cell r="B20" t="str">
            <v>Charter School USA Howe</v>
          </cell>
          <cell r="C20">
            <v>9.4000000000000004E-3</v>
          </cell>
        </row>
        <row r="21">
          <cell r="A21" t="str">
            <v>8815</v>
          </cell>
          <cell r="B21" t="str">
            <v>Charter School USA Manual</v>
          </cell>
          <cell r="C21">
            <v>1.0699999999999999E-2</v>
          </cell>
        </row>
        <row r="22">
          <cell r="A22" t="str">
            <v>9380</v>
          </cell>
          <cell r="B22" t="str">
            <v>Christel House Academy</v>
          </cell>
          <cell r="C22">
            <v>1.7000000000000001E-2</v>
          </cell>
        </row>
        <row r="23">
          <cell r="A23" t="str">
            <v>9395</v>
          </cell>
          <cell r="B23" t="str">
            <v>Christel House Academy West</v>
          </cell>
          <cell r="C23">
            <v>3.2599999999999997E-2</v>
          </cell>
        </row>
        <row r="24">
          <cell r="A24" t="str">
            <v>9385</v>
          </cell>
          <cell r="B24" t="str">
            <v>Christel House DORS</v>
          </cell>
          <cell r="C24">
            <v>1.7000000000000001E-2</v>
          </cell>
        </row>
        <row r="25">
          <cell r="A25" t="str">
            <v>4145</v>
          </cell>
          <cell r="B25" t="str">
            <v>Clark-Pleasant Com School Corp</v>
          </cell>
          <cell r="C25">
            <v>1.7000000000000001E-2</v>
          </cell>
        </row>
        <row r="26">
          <cell r="A26" t="str">
            <v>1170</v>
          </cell>
          <cell r="B26" t="str">
            <v>Community Schools of Frankfort</v>
          </cell>
          <cell r="C26">
            <v>2.46E-2</v>
          </cell>
        </row>
        <row r="27">
          <cell r="A27" t="str">
            <v>2270</v>
          </cell>
          <cell r="B27" t="str">
            <v>Concord Community Schools</v>
          </cell>
          <cell r="C27">
            <v>2.5000000000000001E-2</v>
          </cell>
        </row>
        <row r="28">
          <cell r="A28" t="str">
            <v>4660</v>
          </cell>
          <cell r="B28" t="str">
            <v>Crown Point Community Sch Corp</v>
          </cell>
          <cell r="C28">
            <v>1.9800000000000002E-2</v>
          </cell>
        </row>
        <row r="29">
          <cell r="A29" t="str">
            <v>9920</v>
          </cell>
          <cell r="B29" t="str">
            <v>Damar Charter Academy</v>
          </cell>
          <cell r="C29">
            <v>5.7000000000000002E-3</v>
          </cell>
        </row>
        <row r="30">
          <cell r="A30" t="str">
            <v>1835</v>
          </cell>
          <cell r="B30" t="str">
            <v>DeKalb Co Ctl United Sch Dist</v>
          </cell>
          <cell r="C30">
            <v>1.2800000000000001E-2</v>
          </cell>
        </row>
        <row r="31">
          <cell r="A31" t="str">
            <v>0755</v>
          </cell>
          <cell r="B31" t="str">
            <v>Delphi Community School Corp</v>
          </cell>
          <cell r="C31">
            <v>7.1000000000000004E-3</v>
          </cell>
        </row>
        <row r="32">
          <cell r="A32" t="str">
            <v>6470</v>
          </cell>
          <cell r="B32" t="str">
            <v>Duneland School Corporation</v>
          </cell>
          <cell r="C32">
            <v>5.4100000000000002E-2</v>
          </cell>
        </row>
        <row r="33">
          <cell r="A33" t="str">
            <v>0255</v>
          </cell>
          <cell r="B33" t="str">
            <v>East Allen County Schools</v>
          </cell>
          <cell r="C33">
            <v>2.76E-2</v>
          </cell>
        </row>
        <row r="34">
          <cell r="A34" t="str">
            <v>9595</v>
          </cell>
          <cell r="B34" t="str">
            <v>East Chicago Lighthouse Charter</v>
          </cell>
          <cell r="C34">
            <v>5.2699999999999997E-2</v>
          </cell>
        </row>
        <row r="35">
          <cell r="A35" t="str">
            <v>8215</v>
          </cell>
          <cell r="B35" t="str">
            <v>East Washington School Corp</v>
          </cell>
          <cell r="C35">
            <v>2.6800000000000001E-2</v>
          </cell>
        </row>
        <row r="36">
          <cell r="A36" t="str">
            <v>2815</v>
          </cell>
          <cell r="B36" t="str">
            <v>Eastbrook Community Sch Corp</v>
          </cell>
          <cell r="C36">
            <v>5.5599999999999997E-2</v>
          </cell>
        </row>
        <row r="37">
          <cell r="A37" t="str">
            <v>4215</v>
          </cell>
          <cell r="B37" t="str">
            <v>Edinburgh Community Sch Corp</v>
          </cell>
          <cell r="C37">
            <v>3.1899999999999998E-2</v>
          </cell>
        </row>
        <row r="38">
          <cell r="A38" t="str">
            <v>2305</v>
          </cell>
          <cell r="B38" t="str">
            <v>Elkhart Community Schools</v>
          </cell>
          <cell r="C38">
            <v>3.32E-2</v>
          </cell>
        </row>
        <row r="39">
          <cell r="A39" t="str">
            <v>7995</v>
          </cell>
          <cell r="B39" t="str">
            <v>Evansville Vanderburgh Sch Corp</v>
          </cell>
          <cell r="C39">
            <v>3.6400000000000002E-2</v>
          </cell>
        </row>
        <row r="40">
          <cell r="A40" t="str">
            <v>9355</v>
          </cell>
          <cell r="B40" t="str">
            <v>Excel Center - Kokomo</v>
          </cell>
          <cell r="C40">
            <v>2.9999999999999997E-4</v>
          </cell>
        </row>
        <row r="41">
          <cell r="A41" t="str">
            <v>9335</v>
          </cell>
          <cell r="B41" t="str">
            <v>Excel Center - Lafayette Sq</v>
          </cell>
          <cell r="C41">
            <v>4.0000000000000002E-4</v>
          </cell>
        </row>
        <row r="42">
          <cell r="A42" t="str">
            <v>9305</v>
          </cell>
          <cell r="B42" t="str">
            <v>Excel Center - Richmond</v>
          </cell>
          <cell r="C42">
            <v>0</v>
          </cell>
        </row>
        <row r="43">
          <cell r="A43" t="str">
            <v>9910</v>
          </cell>
          <cell r="B43" t="str">
            <v>Excel Center for Adult Learners</v>
          </cell>
          <cell r="C43">
            <v>2.0999999999999999E-3</v>
          </cell>
        </row>
        <row r="44">
          <cell r="A44" t="str">
            <v>9995</v>
          </cell>
          <cell r="B44" t="str">
            <v>Excel Center Shelbyville</v>
          </cell>
          <cell r="C44">
            <v>8.0000000000000004E-4</v>
          </cell>
        </row>
        <row r="45">
          <cell r="A45" t="str">
            <v>9840</v>
          </cell>
          <cell r="B45" t="str">
            <v>Excel Center University Heights</v>
          </cell>
          <cell r="C45">
            <v>5.9999999999999995E-4</v>
          </cell>
        </row>
        <row r="46">
          <cell r="A46" t="str">
            <v>2155</v>
          </cell>
          <cell r="B46" t="str">
            <v>Fairfield Community Schools</v>
          </cell>
          <cell r="C46">
            <v>7.3000000000000001E-3</v>
          </cell>
        </row>
        <row r="47">
          <cell r="A47" t="str">
            <v>2395</v>
          </cell>
          <cell r="B47" t="str">
            <v>Fayette County School Corp</v>
          </cell>
          <cell r="C47">
            <v>4.19E-2</v>
          </cell>
        </row>
        <row r="48">
          <cell r="A48" t="str">
            <v>0235</v>
          </cell>
          <cell r="B48" t="str">
            <v>Fort Wayne Community Schools</v>
          </cell>
          <cell r="C48">
            <v>4.36E-2</v>
          </cell>
        </row>
        <row r="49">
          <cell r="A49" t="str">
            <v>4225</v>
          </cell>
          <cell r="B49" t="str">
            <v>Franklin Community School Corp</v>
          </cell>
          <cell r="C49">
            <v>2.1399999999999999E-2</v>
          </cell>
        </row>
        <row r="50">
          <cell r="A50" t="str">
            <v>5310</v>
          </cell>
          <cell r="B50" t="str">
            <v>Franklin Township Com Sch Corp</v>
          </cell>
          <cell r="C50">
            <v>1.46E-2</v>
          </cell>
        </row>
        <row r="51">
          <cell r="A51" t="str">
            <v>4690</v>
          </cell>
          <cell r="B51" t="str">
            <v>Gary Community School Corp</v>
          </cell>
          <cell r="C51">
            <v>5.4100000000000002E-2</v>
          </cell>
        </row>
        <row r="52">
          <cell r="A52" t="str">
            <v>9535</v>
          </cell>
          <cell r="B52" t="str">
            <v>Gary Lighthouse Charter School</v>
          </cell>
          <cell r="C52">
            <v>3.9899999999999998E-2</v>
          </cell>
        </row>
        <row r="53">
          <cell r="A53" t="str">
            <v>2315</v>
          </cell>
          <cell r="B53" t="str">
            <v>Goshen Community Schools</v>
          </cell>
          <cell r="C53">
            <v>3.0700000000000002E-2</v>
          </cell>
        </row>
        <row r="54">
          <cell r="A54" t="str">
            <v>2120</v>
          </cell>
          <cell r="B54" t="str">
            <v>Greater Jasper Con Schs</v>
          </cell>
          <cell r="C54">
            <v>8.6999999999999994E-3</v>
          </cell>
        </row>
        <row r="55">
          <cell r="A55" t="str">
            <v>3025</v>
          </cell>
          <cell r="B55" t="str">
            <v>Hamilton Heights School Corp</v>
          </cell>
          <cell r="C55">
            <v>2.4199999999999999E-2</v>
          </cell>
        </row>
        <row r="56">
          <cell r="A56" t="str">
            <v>3625</v>
          </cell>
          <cell r="B56" t="str">
            <v>Huntington Co Com Sch Corp</v>
          </cell>
          <cell r="C56">
            <v>2.0299999999999999E-2</v>
          </cell>
        </row>
        <row r="57">
          <cell r="A57" t="str">
            <v>9855</v>
          </cell>
          <cell r="B57" t="str">
            <v>Imagine Bridge Academy</v>
          </cell>
          <cell r="C57">
            <v>2.5700000000000001E-2</v>
          </cell>
        </row>
        <row r="58">
          <cell r="A58" t="str">
            <v>9785</v>
          </cell>
          <cell r="B58" t="str">
            <v>Indiana Math and Science Academy</v>
          </cell>
          <cell r="C58">
            <v>1.7100000000000001E-2</v>
          </cell>
        </row>
        <row r="59">
          <cell r="A59" t="str">
            <v>9895</v>
          </cell>
          <cell r="B59" t="str">
            <v>Indiana Math Science Academy</v>
          </cell>
          <cell r="C59">
            <v>1.6000000000000001E-3</v>
          </cell>
        </row>
        <row r="60">
          <cell r="A60" t="str">
            <v>9780</v>
          </cell>
          <cell r="B60" t="str">
            <v>Indianapolis Acad of Excel -Chlng Fnd Aca</v>
          </cell>
          <cell r="C60">
            <v>8.7300000000000003E-2</v>
          </cell>
        </row>
        <row r="61">
          <cell r="A61" t="str">
            <v>9770</v>
          </cell>
          <cell r="B61" t="str">
            <v>Indianapolis Lighthouse East</v>
          </cell>
          <cell r="C61">
            <v>1.7000000000000001E-2</v>
          </cell>
        </row>
        <row r="62">
          <cell r="A62" t="str">
            <v>5385</v>
          </cell>
          <cell r="B62" t="str">
            <v>Indianapolis Public Schools</v>
          </cell>
          <cell r="C62">
            <v>2.9600000000000001E-2</v>
          </cell>
        </row>
        <row r="63">
          <cell r="A63" t="str">
            <v>9575</v>
          </cell>
          <cell r="B63" t="str">
            <v>Indpls Lighthouse Charter School</v>
          </cell>
          <cell r="C63">
            <v>4.0399999999999998E-2</v>
          </cell>
        </row>
        <row r="64">
          <cell r="A64" t="str">
            <v>6900</v>
          </cell>
          <cell r="B64" t="str">
            <v>Jac-Cen-Del Community Sch Corp</v>
          </cell>
          <cell r="C64">
            <v>1.5900000000000001E-2</v>
          </cell>
        </row>
        <row r="65">
          <cell r="A65" t="str">
            <v>4015</v>
          </cell>
          <cell r="B65" t="str">
            <v>Jennings County Schools</v>
          </cell>
          <cell r="C65">
            <v>1.2999999999999999E-3</v>
          </cell>
        </row>
        <row r="66">
          <cell r="A66" t="str">
            <v>7150</v>
          </cell>
          <cell r="B66" t="str">
            <v>John Glenn School Corporation</v>
          </cell>
          <cell r="C66">
            <v>1.52E-2</v>
          </cell>
        </row>
        <row r="67">
          <cell r="A67" t="str">
            <v>3500</v>
          </cell>
          <cell r="B67" t="str">
            <v>Kokomo-Center Twp Con Sch Corp</v>
          </cell>
          <cell r="C67">
            <v>2.1100000000000001E-2</v>
          </cell>
        </row>
        <row r="68">
          <cell r="A68" t="str">
            <v>9345</v>
          </cell>
          <cell r="B68" t="str">
            <v>Lafayette Excel Center</v>
          </cell>
          <cell r="C68">
            <v>0</v>
          </cell>
        </row>
        <row r="69">
          <cell r="A69" t="str">
            <v>7855</v>
          </cell>
          <cell r="B69" t="str">
            <v>Lafayette School Corporation</v>
          </cell>
          <cell r="C69">
            <v>2.06E-2</v>
          </cell>
        </row>
        <row r="70">
          <cell r="A70" t="str">
            <v>4535</v>
          </cell>
          <cell r="B70" t="str">
            <v>Lakeland School Corporation</v>
          </cell>
          <cell r="C70">
            <v>3.9E-2</v>
          </cell>
        </row>
        <row r="71">
          <cell r="A71" t="str">
            <v>0815</v>
          </cell>
          <cell r="B71" t="str">
            <v>Lew Cass School Corp</v>
          </cell>
          <cell r="C71">
            <v>8.9999999999999993E-3</v>
          </cell>
        </row>
        <row r="72">
          <cell r="A72" t="str">
            <v>0875</v>
          </cell>
          <cell r="B72" t="str">
            <v>Logansport Community Sch Corp</v>
          </cell>
          <cell r="C72">
            <v>9.7999999999999997E-3</v>
          </cell>
        </row>
        <row r="73">
          <cell r="A73" t="str">
            <v>5300</v>
          </cell>
          <cell r="B73" t="str">
            <v>M S D Decatur Township</v>
          </cell>
          <cell r="C73">
            <v>1.7000000000000001E-2</v>
          </cell>
        </row>
        <row r="74">
          <cell r="A74" t="str">
            <v>5330</v>
          </cell>
          <cell r="B74" t="str">
            <v>M S D Lawrence Township</v>
          </cell>
          <cell r="C74">
            <v>6.0000000000000001E-3</v>
          </cell>
        </row>
        <row r="75">
          <cell r="A75" t="str">
            <v>5925</v>
          </cell>
          <cell r="B75" t="str">
            <v>M S D Martinsville Schools</v>
          </cell>
          <cell r="C75">
            <v>0.02</v>
          </cell>
        </row>
        <row r="76">
          <cell r="A76" t="str">
            <v>6590</v>
          </cell>
          <cell r="B76" t="str">
            <v>M S D Mount Vernon</v>
          </cell>
          <cell r="C76">
            <v>1.2999999999999999E-2</v>
          </cell>
        </row>
        <row r="77">
          <cell r="A77" t="str">
            <v>4860</v>
          </cell>
          <cell r="B77" t="str">
            <v>M S D of New Durham Township</v>
          </cell>
          <cell r="C77">
            <v>2.7400000000000001E-2</v>
          </cell>
        </row>
        <row r="78">
          <cell r="A78" t="str">
            <v>5350</v>
          </cell>
          <cell r="B78" t="str">
            <v>M S D Pike Township</v>
          </cell>
          <cell r="C78">
            <v>3.1800000000000002E-2</v>
          </cell>
        </row>
        <row r="79">
          <cell r="A79" t="str">
            <v>8050</v>
          </cell>
          <cell r="B79" t="str">
            <v>M S D Wabash County Schools</v>
          </cell>
          <cell r="C79">
            <v>3.73E-2</v>
          </cell>
        </row>
        <row r="80">
          <cell r="A80" t="str">
            <v>8115</v>
          </cell>
          <cell r="B80" t="str">
            <v>M S D Warren County</v>
          </cell>
          <cell r="C80">
            <v>6.4999999999999997E-3</v>
          </cell>
        </row>
        <row r="81">
          <cell r="A81" t="str">
            <v>5360</v>
          </cell>
          <cell r="B81" t="str">
            <v>M S D Warren Township</v>
          </cell>
          <cell r="C81">
            <v>6.3E-2</v>
          </cell>
        </row>
        <row r="82">
          <cell r="A82" t="str">
            <v>5370</v>
          </cell>
          <cell r="B82" t="str">
            <v>M S D Washington Township</v>
          </cell>
          <cell r="C82">
            <v>1.8700000000000001E-2</v>
          </cell>
        </row>
        <row r="83">
          <cell r="A83" t="str">
            <v>5375</v>
          </cell>
          <cell r="B83" t="str">
            <v>M S D Wayne Township</v>
          </cell>
          <cell r="C83">
            <v>8.9599999999999999E-2</v>
          </cell>
        </row>
        <row r="84">
          <cell r="A84" t="str">
            <v>4005</v>
          </cell>
          <cell r="B84" t="str">
            <v>Madison Area Ed Spec Srv Unit</v>
          </cell>
          <cell r="C84">
            <v>1.7000000000000001E-2</v>
          </cell>
        </row>
        <row r="85">
          <cell r="A85" t="str">
            <v>3995</v>
          </cell>
          <cell r="B85" t="str">
            <v>Madison Consolidated Schools</v>
          </cell>
          <cell r="C85">
            <v>5.96E-2</v>
          </cell>
        </row>
        <row r="86">
          <cell r="A86" t="str">
            <v>2825</v>
          </cell>
          <cell r="B86" t="str">
            <v>Madison-Grant United Sch Corp</v>
          </cell>
          <cell r="C86">
            <v>7.0900000000000005E-2</v>
          </cell>
        </row>
        <row r="87">
          <cell r="A87" t="str">
            <v>8045</v>
          </cell>
          <cell r="B87" t="str">
            <v>Manchester Community Schools</v>
          </cell>
          <cell r="C87">
            <v>4.5199999999999997E-2</v>
          </cell>
        </row>
        <row r="88">
          <cell r="A88" t="str">
            <v>9955</v>
          </cell>
          <cell r="B88" t="str">
            <v>Mays Community Academy</v>
          </cell>
          <cell r="C88">
            <v>3.8300000000000001E-2</v>
          </cell>
        </row>
        <row r="89">
          <cell r="A89" t="str">
            <v>3640</v>
          </cell>
          <cell r="B89" t="str">
            <v>Medora Community School Corp</v>
          </cell>
          <cell r="C89">
            <v>1.7000000000000001E-2</v>
          </cell>
        </row>
        <row r="90">
          <cell r="A90" t="str">
            <v>4925</v>
          </cell>
          <cell r="B90" t="str">
            <v>Michigan City Area Schools</v>
          </cell>
          <cell r="C90">
            <v>2.52E-2</v>
          </cell>
        </row>
        <row r="91">
          <cell r="A91" t="str">
            <v>2275</v>
          </cell>
          <cell r="B91" t="str">
            <v>Middlebury Community Schools</v>
          </cell>
          <cell r="C91">
            <v>1.09E-2</v>
          </cell>
        </row>
        <row r="92">
          <cell r="A92" t="str">
            <v>5740</v>
          </cell>
          <cell r="B92" t="str">
            <v>Monroe County Com Sch Corp</v>
          </cell>
          <cell r="C92">
            <v>4.1500000000000002E-2</v>
          </cell>
        </row>
        <row r="93">
          <cell r="A93" t="str">
            <v>5900</v>
          </cell>
          <cell r="B93" t="str">
            <v>Monroe-Gregg School District</v>
          </cell>
          <cell r="C93">
            <v>5.0000000000000001E-3</v>
          </cell>
        </row>
        <row r="94">
          <cell r="A94" t="str">
            <v>5930</v>
          </cell>
          <cell r="B94" t="str">
            <v>Mooresville Con School Corp</v>
          </cell>
          <cell r="C94">
            <v>1.66E-2</v>
          </cell>
        </row>
        <row r="95">
          <cell r="A95" t="str">
            <v>1970</v>
          </cell>
          <cell r="B95" t="str">
            <v>Muncie Community Schools</v>
          </cell>
          <cell r="C95">
            <v>1.3100000000000001E-2</v>
          </cell>
        </row>
        <row r="96">
          <cell r="A96" t="str">
            <v>2400</v>
          </cell>
          <cell r="B96" t="str">
            <v>New Albany-Floyd Co Con Sch</v>
          </cell>
          <cell r="C96">
            <v>1.0200000000000001E-2</v>
          </cell>
        </row>
        <row r="97">
          <cell r="A97" t="str">
            <v>3445</v>
          </cell>
          <cell r="B97" t="str">
            <v>New Castle Community Sch Corp</v>
          </cell>
          <cell r="C97">
            <v>9.1000000000000004E-3</v>
          </cell>
        </row>
        <row r="98">
          <cell r="A98" t="str">
            <v>4255</v>
          </cell>
          <cell r="B98" t="str">
            <v>Nineveh-Hensley-Jackson United</v>
          </cell>
          <cell r="C98">
            <v>6.4999999999999997E-3</v>
          </cell>
        </row>
        <row r="99">
          <cell r="A99" t="str">
            <v>0025</v>
          </cell>
          <cell r="B99" t="str">
            <v>North Adams Community Schools</v>
          </cell>
          <cell r="C99">
            <v>5.8999999999999999E-3</v>
          </cell>
        </row>
        <row r="100">
          <cell r="A100" t="str">
            <v>1375</v>
          </cell>
          <cell r="B100" t="str">
            <v>North Daviess Com Schools</v>
          </cell>
          <cell r="C100">
            <v>5.7000000000000002E-3</v>
          </cell>
        </row>
        <row r="101">
          <cell r="A101" t="str">
            <v>5945</v>
          </cell>
          <cell r="B101" t="str">
            <v>North Newton School Corp</v>
          </cell>
          <cell r="C101">
            <v>1.2800000000000001E-2</v>
          </cell>
        </row>
        <row r="102">
          <cell r="A102" t="str">
            <v>7385</v>
          </cell>
          <cell r="B102" t="str">
            <v>North Spencer County Sch Corp</v>
          </cell>
          <cell r="C102">
            <v>3.0999999999999999E-3</v>
          </cell>
        </row>
        <row r="103">
          <cell r="A103" t="str">
            <v>8010</v>
          </cell>
          <cell r="B103" t="str">
            <v>North Vermillion Com Sch Corp</v>
          </cell>
          <cell r="C103">
            <v>4.7000000000000002E-3</v>
          </cell>
        </row>
        <row r="104">
          <cell r="A104" t="str">
            <v>9640</v>
          </cell>
          <cell r="B104" t="str">
            <v>Options Charter Sch - Noblesville</v>
          </cell>
          <cell r="C104">
            <v>4.0000000000000002E-4</v>
          </cell>
        </row>
        <row r="105">
          <cell r="A105" t="str">
            <v>9325</v>
          </cell>
          <cell r="B105" t="str">
            <v>Options Charter School - Carmel</v>
          </cell>
          <cell r="C105">
            <v>4.0000000000000002E-4</v>
          </cell>
        </row>
        <row r="106">
          <cell r="A106" t="str">
            <v>7495</v>
          </cell>
          <cell r="B106" t="str">
            <v>Oregon-Davis School Corp</v>
          </cell>
          <cell r="C106">
            <v>5.3800000000000001E-2</v>
          </cell>
        </row>
        <row r="107">
          <cell r="A107" t="str">
            <v>9060</v>
          </cell>
          <cell r="B107" t="str">
            <v>Paramount School of Excellence II</v>
          </cell>
          <cell r="C107">
            <v>1.7000000000000001E-2</v>
          </cell>
        </row>
        <row r="108">
          <cell r="A108" t="str">
            <v>9680</v>
          </cell>
          <cell r="B108" t="str">
            <v>Paramount School of Excellence Inc</v>
          </cell>
          <cell r="C108">
            <v>2.07E-2</v>
          </cell>
        </row>
        <row r="109">
          <cell r="A109" t="str">
            <v>7175</v>
          </cell>
          <cell r="B109" t="str">
            <v>Penn-Harris-Madison Sch Corp</v>
          </cell>
          <cell r="C109">
            <v>2.29E-2</v>
          </cell>
        </row>
        <row r="110">
          <cell r="A110" t="str">
            <v>6325</v>
          </cell>
          <cell r="B110" t="str">
            <v>Perry Central Com Schools Corp</v>
          </cell>
          <cell r="C110">
            <v>0</v>
          </cell>
        </row>
        <row r="111">
          <cell r="A111" t="str">
            <v>5340</v>
          </cell>
          <cell r="B111" t="str">
            <v>Perry Township Schools</v>
          </cell>
          <cell r="C111">
            <v>1.7000000000000001E-2</v>
          </cell>
        </row>
        <row r="112">
          <cell r="A112" t="str">
            <v>5635</v>
          </cell>
          <cell r="B112" t="str">
            <v>Peru Community Schools</v>
          </cell>
          <cell r="C112">
            <v>8.0699999999999994E-2</v>
          </cell>
        </row>
        <row r="113">
          <cell r="A113" t="str">
            <v>9085</v>
          </cell>
          <cell r="B113" t="str">
            <v>pilotED Schools</v>
          </cell>
          <cell r="C113">
            <v>1.7000000000000001E-2</v>
          </cell>
        </row>
        <row r="114">
          <cell r="A114" t="str">
            <v>3330</v>
          </cell>
          <cell r="B114" t="str">
            <v>Plainfield Community Sch Corp</v>
          </cell>
          <cell r="C114">
            <v>8.8000000000000005E-3</v>
          </cell>
        </row>
        <row r="115">
          <cell r="A115" t="str">
            <v>5485</v>
          </cell>
          <cell r="B115" t="str">
            <v>Plymouth Community School Corp</v>
          </cell>
          <cell r="C115">
            <v>8.3000000000000001E-3</v>
          </cell>
        </row>
        <row r="116">
          <cell r="A116" t="str">
            <v>6825</v>
          </cell>
          <cell r="B116" t="str">
            <v>Randolph Central School Corp</v>
          </cell>
          <cell r="C116">
            <v>1.06E-2</v>
          </cell>
        </row>
        <row r="117">
          <cell r="A117" t="str">
            <v>6805</v>
          </cell>
          <cell r="B117" t="str">
            <v>Randolph Southern School Corp</v>
          </cell>
          <cell r="C117">
            <v>1E-3</v>
          </cell>
        </row>
        <row r="118">
          <cell r="A118" t="str">
            <v>9560</v>
          </cell>
          <cell r="B118" t="str">
            <v>Region 8 Education Service Center</v>
          </cell>
          <cell r="C118">
            <v>1.7000000000000001E-2</v>
          </cell>
        </row>
        <row r="119">
          <cell r="A119" t="str">
            <v>3815</v>
          </cell>
          <cell r="B119" t="str">
            <v>Rensselaer Central School Corp</v>
          </cell>
          <cell r="C119">
            <v>1.4E-3</v>
          </cell>
        </row>
        <row r="120">
          <cell r="A120" t="str">
            <v>8385</v>
          </cell>
          <cell r="B120" t="str">
            <v>Richmond Community Schools</v>
          </cell>
          <cell r="C120">
            <v>1.3299999999999999E-2</v>
          </cell>
        </row>
        <row r="121">
          <cell r="A121" t="str">
            <v>2645</v>
          </cell>
          <cell r="B121" t="str">
            <v>Rochester Community Sch Corp</v>
          </cell>
          <cell r="C121">
            <v>4.7999999999999996E-3</v>
          </cell>
        </row>
        <row r="122">
          <cell r="A122" t="str">
            <v>6995</v>
          </cell>
          <cell r="B122" t="str">
            <v>Rush County Schools</v>
          </cell>
          <cell r="C122">
            <v>2.87E-2</v>
          </cell>
        </row>
        <row r="123">
          <cell r="A123" t="str">
            <v>4670</v>
          </cell>
          <cell r="B123" t="str">
            <v>School City of East Chicago</v>
          </cell>
          <cell r="C123">
            <v>0</v>
          </cell>
        </row>
        <row r="124">
          <cell r="A124" t="str">
            <v>4710</v>
          </cell>
          <cell r="B124" t="str">
            <v>School City of Hammond</v>
          </cell>
          <cell r="C124">
            <v>1.7000000000000001E-2</v>
          </cell>
        </row>
        <row r="125">
          <cell r="A125" t="str">
            <v>4730</v>
          </cell>
          <cell r="B125" t="str">
            <v>School City of Hobart</v>
          </cell>
          <cell r="C125">
            <v>2.86E-2</v>
          </cell>
        </row>
        <row r="126">
          <cell r="A126" t="str">
            <v>7200</v>
          </cell>
          <cell r="B126" t="str">
            <v>School City of Mishawaka</v>
          </cell>
          <cell r="C126">
            <v>1.84E-2</v>
          </cell>
        </row>
        <row r="127">
          <cell r="A127" t="str">
            <v>4740</v>
          </cell>
          <cell r="B127" t="str">
            <v>School Town of Munster</v>
          </cell>
          <cell r="C127">
            <v>4.4200000000000003E-2</v>
          </cell>
        </row>
        <row r="128">
          <cell r="A128" t="str">
            <v>9485</v>
          </cell>
          <cell r="B128" t="str">
            <v>SE Neighborhood Sch of Excellence</v>
          </cell>
          <cell r="C128">
            <v>3.3599999999999998E-2</v>
          </cell>
        </row>
        <row r="129">
          <cell r="A129" t="str">
            <v>7365</v>
          </cell>
          <cell r="B129" t="str">
            <v>Shelbyville Central Schools</v>
          </cell>
          <cell r="C129">
            <v>3.56994545842513E-3</v>
          </cell>
        </row>
        <row r="130">
          <cell r="A130" t="str">
            <v>3055</v>
          </cell>
          <cell r="B130" t="str">
            <v>Sheridan Community Schools</v>
          </cell>
          <cell r="C130">
            <v>3.3099999999999997E-2</v>
          </cell>
        </row>
        <row r="131">
          <cell r="A131" t="str">
            <v>7205</v>
          </cell>
          <cell r="B131" t="str">
            <v>South Bend Community Sch Corp</v>
          </cell>
          <cell r="C131">
            <v>1.7999999999999999E-2</v>
          </cell>
        </row>
        <row r="132">
          <cell r="A132" t="str">
            <v>1600</v>
          </cell>
          <cell r="B132" t="str">
            <v>South Dearborn Com School Corp</v>
          </cell>
          <cell r="C132">
            <v>2.75E-2</v>
          </cell>
        </row>
        <row r="133">
          <cell r="A133" t="str">
            <v>5995</v>
          </cell>
          <cell r="B133" t="str">
            <v>South Newton School Corp</v>
          </cell>
          <cell r="C133">
            <v>3.32E-2</v>
          </cell>
        </row>
        <row r="134">
          <cell r="A134" t="str">
            <v>6865</v>
          </cell>
          <cell r="B134" t="str">
            <v>South Ripley Com Sch Corp</v>
          </cell>
          <cell r="C134">
            <v>2.7E-2</v>
          </cell>
        </row>
        <row r="135">
          <cell r="A135" t="str">
            <v>2100</v>
          </cell>
          <cell r="B135" t="str">
            <v>Southeast Dubois Co Sch Corp</v>
          </cell>
          <cell r="C135">
            <v>0</v>
          </cell>
        </row>
        <row r="136">
          <cell r="A136" t="str">
            <v>2110</v>
          </cell>
          <cell r="B136" t="str">
            <v>Southwest Dubois Co Sch Corp</v>
          </cell>
          <cell r="C136">
            <v>1.2500000000000001E-2</v>
          </cell>
        </row>
        <row r="137">
          <cell r="A137" t="str">
            <v>1560</v>
          </cell>
          <cell r="B137" t="str">
            <v>Sunman-Dearborn Com Sch Corp</v>
          </cell>
          <cell r="C137">
            <v>4.7999999999999996E-3</v>
          </cell>
        </row>
        <row r="138">
          <cell r="A138" t="str">
            <v>3460</v>
          </cell>
          <cell r="B138" t="str">
            <v>Taylor Community School Corp</v>
          </cell>
          <cell r="C138">
            <v>2.8E-3</v>
          </cell>
        </row>
        <row r="139">
          <cell r="A139" t="str">
            <v>7865</v>
          </cell>
          <cell r="B139" t="str">
            <v>Tippecanoe School Corp</v>
          </cell>
          <cell r="C139">
            <v>1.3100000000000001E-2</v>
          </cell>
        </row>
        <row r="140">
          <cell r="A140" t="str">
            <v>4445</v>
          </cell>
          <cell r="B140" t="str">
            <v>Tippecanoe Valley School Corp</v>
          </cell>
          <cell r="C140">
            <v>1E-4</v>
          </cell>
        </row>
        <row r="141">
          <cell r="A141" t="str">
            <v>7935</v>
          </cell>
          <cell r="B141" t="str">
            <v>Tri-Central Community Schools</v>
          </cell>
          <cell r="C141">
            <v>1.8700000000000001E-2</v>
          </cell>
        </row>
        <row r="142">
          <cell r="A142" t="str">
            <v>5495</v>
          </cell>
          <cell r="B142" t="str">
            <v>Triton School Corporation</v>
          </cell>
          <cell r="C142">
            <v>1.4E-3</v>
          </cell>
        </row>
        <row r="143">
          <cell r="A143" t="str">
            <v>8565</v>
          </cell>
          <cell r="B143" t="str">
            <v>Twin Lakes School Corp</v>
          </cell>
          <cell r="C143">
            <v>2.0000000000000001E-4</v>
          </cell>
        </row>
        <row r="144">
          <cell r="A144" t="str">
            <v>6530</v>
          </cell>
          <cell r="B144" t="str">
            <v>Union Township School Corp</v>
          </cell>
          <cell r="C144">
            <v>0.03</v>
          </cell>
        </row>
        <row r="145">
          <cell r="A145" t="str">
            <v>7215</v>
          </cell>
          <cell r="B145" t="str">
            <v>Union-North United School Corp</v>
          </cell>
          <cell r="C145">
            <v>0</v>
          </cell>
        </row>
        <row r="146">
          <cell r="A146" t="str">
            <v>8030</v>
          </cell>
          <cell r="B146" t="str">
            <v>Vigo County School Corp</v>
          </cell>
          <cell r="C146">
            <v>2.64E-2</v>
          </cell>
        </row>
        <row r="147">
          <cell r="A147" t="str">
            <v>8060</v>
          </cell>
          <cell r="B147" t="str">
            <v>Wabash City Schools</v>
          </cell>
          <cell r="C147">
            <v>1.12E-2</v>
          </cell>
        </row>
        <row r="148">
          <cell r="A148" t="str">
            <v>2285</v>
          </cell>
          <cell r="B148" t="str">
            <v>Wa-Nee Community Schools</v>
          </cell>
          <cell r="C148">
            <v>2.5100000000000001E-2</v>
          </cell>
        </row>
        <row r="149">
          <cell r="A149" t="str">
            <v>4415</v>
          </cell>
          <cell r="B149" t="str">
            <v>Warsaw Community Schools</v>
          </cell>
          <cell r="C149">
            <v>2.93E-2</v>
          </cell>
        </row>
        <row r="150">
          <cell r="A150" t="str">
            <v>4345</v>
          </cell>
          <cell r="B150" t="str">
            <v>Wawasee Community School Corp</v>
          </cell>
          <cell r="C150">
            <v>5.1499999999999997E-2</v>
          </cell>
        </row>
        <row r="151">
          <cell r="A151" t="str">
            <v>7875</v>
          </cell>
          <cell r="B151" t="str">
            <v>West Lafayette Com School Corp</v>
          </cell>
          <cell r="C151">
            <v>0</v>
          </cell>
        </row>
        <row r="152">
          <cell r="A152" t="str">
            <v>3490</v>
          </cell>
          <cell r="B152" t="str">
            <v>Western School Corp</v>
          </cell>
          <cell r="C152">
            <v>5.7599999999999998E-2</v>
          </cell>
        </row>
        <row r="153">
          <cell r="A153" t="str">
            <v>3030</v>
          </cell>
          <cell r="B153" t="str">
            <v>Westfield-Washington Schools</v>
          </cell>
          <cell r="C153">
            <v>2.8000000000000001E-2</v>
          </cell>
        </row>
        <row r="154">
          <cell r="A154" t="str">
            <v>4760</v>
          </cell>
          <cell r="B154" t="str">
            <v>Whiting School City</v>
          </cell>
          <cell r="C154">
            <v>7.22E-2</v>
          </cell>
        </row>
        <row r="155">
          <cell r="A155" t="str">
            <v>4455</v>
          </cell>
          <cell r="B155" t="str">
            <v>Whitko Community School Corp</v>
          </cell>
          <cell r="C155">
            <v>7.3000000000000001E-3</v>
          </cell>
        </row>
        <row r="156">
          <cell r="A156" t="str">
            <v>8665</v>
          </cell>
          <cell r="B156" t="str">
            <v>Whitley Co Cons Schools</v>
          </cell>
          <cell r="C156">
            <v>2.1700000000000001E-2</v>
          </cell>
        </row>
        <row r="157">
          <cell r="A157" t="str">
            <v>1910</v>
          </cell>
          <cell r="B157" t="str">
            <v>Yorktown Community Schools</v>
          </cell>
          <cell r="C157">
            <v>8.5000000000000006E-3</v>
          </cell>
        </row>
        <row r="158">
          <cell r="A158" t="str">
            <v>0630</v>
          </cell>
          <cell r="B158" t="str">
            <v>Zionsville Community Schools</v>
          </cell>
          <cell r="C158">
            <v>1.9E-2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M9Acs0C2qMH39NS4OgknpKvJR8pfBlHw/view?usp=sharing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drive.google.com/file/d/1M9Acs0C2qMH39NS4OgknpKvJR8pfBlHw/view?usp=sharing" TargetMode="External"/><Relationship Id="rId1" Type="http://schemas.openxmlformats.org/officeDocument/2006/relationships/hyperlink" Target="https://drive.google.com/file/d/1mNKtRkrGgIdmkVjs7eyU9fE1CIl7IMmy/view?usp=sharing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tabColor theme="7" tint="-0.499984740745262"/>
  </sheetPr>
  <dimension ref="A1:G100"/>
  <sheetViews>
    <sheetView topLeftCell="A4" workbookViewId="0">
      <selection activeCell="H26" sqref="H26"/>
    </sheetView>
  </sheetViews>
  <sheetFormatPr defaultRowHeight="12.75" x14ac:dyDescent="0.2"/>
  <cols>
    <col min="1" max="1" width="35.1640625" customWidth="1"/>
    <col min="2" max="2" width="19.1640625" bestFit="1" customWidth="1"/>
    <col min="3" max="3" width="14.83203125" bestFit="1" customWidth="1"/>
    <col min="4" max="4" width="25.5" customWidth="1"/>
    <col min="5" max="5" width="47" bestFit="1" customWidth="1"/>
    <col min="6" max="6" width="20" customWidth="1"/>
  </cols>
  <sheetData>
    <row r="1" spans="1:7" ht="18.75" x14ac:dyDescent="0.3">
      <c r="A1" s="152" t="s">
        <v>1314</v>
      </c>
      <c r="B1" s="153"/>
      <c r="C1" s="153"/>
      <c r="D1" s="154"/>
      <c r="E1" s="154"/>
      <c r="F1" s="154"/>
      <c r="G1" s="16"/>
    </row>
    <row r="2" spans="1:7" ht="18.75" x14ac:dyDescent="0.3">
      <c r="A2" s="105" t="s">
        <v>106</v>
      </c>
      <c r="B2" s="155" t="str">
        <f>'ARP-HCY I Budget Summary'!B9</f>
        <v>-Select LEA-</v>
      </c>
      <c r="C2" s="155"/>
      <c r="D2" s="155"/>
      <c r="E2" s="155"/>
      <c r="F2" s="156"/>
      <c r="G2" s="17"/>
    </row>
    <row r="3" spans="1:7" ht="41.45" customHeight="1" x14ac:dyDescent="0.2">
      <c r="A3" s="150" t="s">
        <v>116</v>
      </c>
      <c r="B3" s="150"/>
      <c r="C3" s="150"/>
      <c r="D3" s="151"/>
      <c r="E3" s="151"/>
      <c r="F3" s="151"/>
      <c r="G3" s="18"/>
    </row>
    <row r="4" spans="1:7" x14ac:dyDescent="0.2">
      <c r="A4" s="2"/>
      <c r="B4" s="3"/>
      <c r="C4" s="3"/>
      <c r="D4" s="3"/>
      <c r="E4" s="3"/>
      <c r="F4" s="3"/>
      <c r="G4" s="14"/>
    </row>
    <row r="5" spans="1:7" ht="56.25" x14ac:dyDescent="0.2">
      <c r="A5" s="34" t="s">
        <v>3</v>
      </c>
      <c r="B5" s="34" t="s">
        <v>88</v>
      </c>
      <c r="C5" s="34" t="s">
        <v>4</v>
      </c>
      <c r="D5" s="35" t="s">
        <v>89</v>
      </c>
      <c r="E5" s="58" t="s">
        <v>43</v>
      </c>
      <c r="F5" s="34" t="s">
        <v>1</v>
      </c>
      <c r="G5" s="15"/>
    </row>
    <row r="6" spans="1:7" x14ac:dyDescent="0.2">
      <c r="A6" s="64" t="s">
        <v>117</v>
      </c>
      <c r="B6" s="65" t="s">
        <v>127</v>
      </c>
      <c r="C6" s="64" t="s">
        <v>127</v>
      </c>
      <c r="D6" s="64" t="s">
        <v>127</v>
      </c>
      <c r="E6" s="12" t="s">
        <v>117</v>
      </c>
      <c r="F6" s="7"/>
      <c r="G6" s="15"/>
    </row>
    <row r="7" spans="1:7" x14ac:dyDescent="0.2">
      <c r="A7" s="64" t="s">
        <v>1308</v>
      </c>
      <c r="B7" s="65" t="s">
        <v>127</v>
      </c>
      <c r="C7" s="64" t="s">
        <v>127</v>
      </c>
      <c r="D7" s="64" t="s">
        <v>127</v>
      </c>
      <c r="E7" s="12" t="s">
        <v>86</v>
      </c>
      <c r="F7" s="7"/>
      <c r="G7" s="15"/>
    </row>
    <row r="8" spans="1:7" x14ac:dyDescent="0.2">
      <c r="A8" s="63"/>
      <c r="B8" s="7"/>
      <c r="C8" s="113"/>
      <c r="D8" s="5"/>
      <c r="E8" s="6"/>
      <c r="F8" s="11">
        <f t="shared" ref="F8:F31" si="0">B8*C8</f>
        <v>0</v>
      </c>
      <c r="G8" s="15"/>
    </row>
    <row r="9" spans="1:7" x14ac:dyDescent="0.2">
      <c r="A9" s="63"/>
      <c r="B9" s="7"/>
      <c r="C9" s="113"/>
      <c r="D9" s="5"/>
      <c r="E9" s="6"/>
      <c r="F9" s="11">
        <f>B9*C9</f>
        <v>0</v>
      </c>
      <c r="G9" s="15"/>
    </row>
    <row r="10" spans="1:7" x14ac:dyDescent="0.2">
      <c r="A10" s="63"/>
      <c r="B10" s="7"/>
      <c r="C10" s="113"/>
      <c r="D10" s="5"/>
      <c r="E10" s="6"/>
      <c r="F10" s="11">
        <f t="shared" si="0"/>
        <v>0</v>
      </c>
      <c r="G10" s="15"/>
    </row>
    <row r="11" spans="1:7" x14ac:dyDescent="0.2">
      <c r="A11" s="5"/>
      <c r="B11" s="7"/>
      <c r="C11" s="113"/>
      <c r="D11" s="5"/>
      <c r="E11" s="6"/>
      <c r="F11" s="11">
        <f t="shared" si="0"/>
        <v>0</v>
      </c>
      <c r="G11" s="15"/>
    </row>
    <row r="12" spans="1:7" x14ac:dyDescent="0.2">
      <c r="A12" s="5"/>
      <c r="B12" s="7"/>
      <c r="C12" s="113"/>
      <c r="D12" s="5"/>
      <c r="E12" s="6"/>
      <c r="F12" s="11">
        <f t="shared" si="0"/>
        <v>0</v>
      </c>
      <c r="G12" s="15"/>
    </row>
    <row r="13" spans="1:7" x14ac:dyDescent="0.2">
      <c r="A13" s="5"/>
      <c r="B13" s="7"/>
      <c r="C13" s="113"/>
      <c r="D13" s="5"/>
      <c r="E13" s="6"/>
      <c r="F13" s="11">
        <f t="shared" si="0"/>
        <v>0</v>
      </c>
      <c r="G13" s="15"/>
    </row>
    <row r="14" spans="1:7" x14ac:dyDescent="0.2">
      <c r="A14" s="5"/>
      <c r="B14" s="7"/>
      <c r="C14" s="113"/>
      <c r="D14" s="5"/>
      <c r="E14" s="6"/>
      <c r="F14" s="11">
        <f t="shared" si="0"/>
        <v>0</v>
      </c>
      <c r="G14" s="15"/>
    </row>
    <row r="15" spans="1:7" x14ac:dyDescent="0.2">
      <c r="A15" s="5"/>
      <c r="B15" s="7"/>
      <c r="C15" s="113"/>
      <c r="D15" s="5"/>
      <c r="E15" s="6"/>
      <c r="F15" s="11">
        <f t="shared" si="0"/>
        <v>0</v>
      </c>
      <c r="G15" s="15"/>
    </row>
    <row r="16" spans="1:7" x14ac:dyDescent="0.2">
      <c r="A16" s="5"/>
      <c r="B16" s="7"/>
      <c r="C16" s="113"/>
      <c r="D16" s="5"/>
      <c r="E16" s="6"/>
      <c r="F16" s="11">
        <f t="shared" si="0"/>
        <v>0</v>
      </c>
      <c r="G16" s="15"/>
    </row>
    <row r="17" spans="1:7" x14ac:dyDescent="0.2">
      <c r="A17" s="5"/>
      <c r="B17" s="7"/>
      <c r="C17" s="113"/>
      <c r="D17" s="5"/>
      <c r="E17" s="6"/>
      <c r="F17" s="11">
        <f t="shared" si="0"/>
        <v>0</v>
      </c>
      <c r="G17" s="15"/>
    </row>
    <row r="18" spans="1:7" x14ac:dyDescent="0.2">
      <c r="A18" s="5"/>
      <c r="B18" s="7"/>
      <c r="C18" s="113"/>
      <c r="D18" s="5"/>
      <c r="E18" s="6"/>
      <c r="F18" s="11">
        <f t="shared" si="0"/>
        <v>0</v>
      </c>
      <c r="G18" s="15"/>
    </row>
    <row r="19" spans="1:7" x14ac:dyDescent="0.2">
      <c r="A19" s="5"/>
      <c r="B19" s="7"/>
      <c r="C19" s="113"/>
      <c r="D19" s="5"/>
      <c r="E19" s="6"/>
      <c r="F19" s="11">
        <f t="shared" si="0"/>
        <v>0</v>
      </c>
      <c r="G19" s="15"/>
    </row>
    <row r="20" spans="1:7" x14ac:dyDescent="0.2">
      <c r="A20" s="5"/>
      <c r="B20" s="7"/>
      <c r="C20" s="113"/>
      <c r="D20" s="5"/>
      <c r="E20" s="6"/>
      <c r="F20" s="11">
        <f t="shared" si="0"/>
        <v>0</v>
      </c>
      <c r="G20" s="15"/>
    </row>
    <row r="21" spans="1:7" x14ac:dyDescent="0.2">
      <c r="A21" s="5"/>
      <c r="B21" s="7"/>
      <c r="C21" s="113"/>
      <c r="D21" s="5"/>
      <c r="E21" s="6"/>
      <c r="F21" s="11">
        <f t="shared" si="0"/>
        <v>0</v>
      </c>
      <c r="G21" s="15"/>
    </row>
    <row r="22" spans="1:7" x14ac:dyDescent="0.2">
      <c r="A22" s="5"/>
      <c r="B22" s="7"/>
      <c r="C22" s="113"/>
      <c r="D22" s="5"/>
      <c r="E22" s="6"/>
      <c r="F22" s="11">
        <f t="shared" si="0"/>
        <v>0</v>
      </c>
      <c r="G22" s="15"/>
    </row>
    <row r="23" spans="1:7" x14ac:dyDescent="0.2">
      <c r="A23" s="5"/>
      <c r="B23" s="7"/>
      <c r="C23" s="113"/>
      <c r="D23" s="5"/>
      <c r="E23" s="6"/>
      <c r="F23" s="11">
        <f t="shared" si="0"/>
        <v>0</v>
      </c>
      <c r="G23" s="15"/>
    </row>
    <row r="24" spans="1:7" x14ac:dyDescent="0.2">
      <c r="A24" s="5"/>
      <c r="B24" s="7"/>
      <c r="C24" s="113"/>
      <c r="D24" s="5"/>
      <c r="E24" s="6"/>
      <c r="F24" s="11">
        <f t="shared" si="0"/>
        <v>0</v>
      </c>
      <c r="G24" s="15"/>
    </row>
    <row r="25" spans="1:7" x14ac:dyDescent="0.2">
      <c r="A25" s="5"/>
      <c r="B25" s="7"/>
      <c r="C25" s="113"/>
      <c r="D25" s="5"/>
      <c r="E25" s="6"/>
      <c r="F25" s="11">
        <f t="shared" si="0"/>
        <v>0</v>
      </c>
      <c r="G25" s="15"/>
    </row>
    <row r="26" spans="1:7" x14ac:dyDescent="0.2">
      <c r="A26" s="5"/>
      <c r="B26" s="7"/>
      <c r="C26" s="113"/>
      <c r="D26" s="5"/>
      <c r="E26" s="6"/>
      <c r="F26" s="11">
        <f t="shared" si="0"/>
        <v>0</v>
      </c>
      <c r="G26" s="15"/>
    </row>
    <row r="27" spans="1:7" x14ac:dyDescent="0.2">
      <c r="A27" s="5"/>
      <c r="B27" s="7"/>
      <c r="C27" s="113"/>
      <c r="D27" s="5"/>
      <c r="E27" s="6"/>
      <c r="F27" s="11">
        <f t="shared" si="0"/>
        <v>0</v>
      </c>
      <c r="G27" s="15"/>
    </row>
    <row r="28" spans="1:7" x14ac:dyDescent="0.2">
      <c r="A28" s="5"/>
      <c r="B28" s="7"/>
      <c r="C28" s="113"/>
      <c r="D28" s="5"/>
      <c r="E28" s="6"/>
      <c r="F28" s="11">
        <f t="shared" si="0"/>
        <v>0</v>
      </c>
      <c r="G28" s="15"/>
    </row>
    <row r="29" spans="1:7" x14ac:dyDescent="0.2">
      <c r="A29" s="5"/>
      <c r="B29" s="7"/>
      <c r="C29" s="113"/>
      <c r="D29" s="5"/>
      <c r="E29" s="6"/>
      <c r="F29" s="170"/>
      <c r="G29" s="15"/>
    </row>
    <row r="30" spans="1:7" x14ac:dyDescent="0.2">
      <c r="A30" s="5"/>
      <c r="B30" s="7"/>
      <c r="C30" s="113"/>
      <c r="D30" s="5"/>
      <c r="E30" s="6"/>
      <c r="F30" s="11">
        <f t="shared" si="0"/>
        <v>0</v>
      </c>
      <c r="G30" s="15"/>
    </row>
    <row r="31" spans="1:7" x14ac:dyDescent="0.2">
      <c r="A31" s="128" t="s">
        <v>1312</v>
      </c>
      <c r="B31" s="129"/>
      <c r="C31" s="130"/>
      <c r="D31" s="131"/>
      <c r="E31" s="132"/>
      <c r="F31" s="133">
        <f t="shared" si="0"/>
        <v>0</v>
      </c>
      <c r="G31" s="15"/>
    </row>
    <row r="32" spans="1:7" x14ac:dyDescent="0.2">
      <c r="A32" s="4"/>
      <c r="B32" s="4"/>
      <c r="C32" s="4"/>
      <c r="D32" s="4"/>
      <c r="E32" s="4"/>
      <c r="F32" s="4"/>
      <c r="G32" s="15"/>
    </row>
    <row r="33" spans="1:7" ht="18.75" x14ac:dyDescent="0.3">
      <c r="A33" s="8"/>
      <c r="B33" s="8"/>
      <c r="C33" s="8"/>
      <c r="D33" s="8"/>
      <c r="E33" s="36" t="s">
        <v>43</v>
      </c>
      <c r="F33" s="37" t="s">
        <v>1</v>
      </c>
      <c r="G33" s="15"/>
    </row>
    <row r="34" spans="1:7" ht="15" x14ac:dyDescent="0.25">
      <c r="A34" s="9"/>
      <c r="B34" s="9"/>
      <c r="C34" s="9"/>
      <c r="D34" s="9"/>
      <c r="E34" s="10" t="s">
        <v>90</v>
      </c>
      <c r="F34" s="19">
        <f>SUMIF($E$6:$E$31,"Instruction: Salary ", $F$6:$F$31)</f>
        <v>0</v>
      </c>
      <c r="G34" s="15"/>
    </row>
    <row r="35" spans="1:7" ht="15" x14ac:dyDescent="0.25">
      <c r="A35" s="9"/>
      <c r="B35" s="9"/>
      <c r="C35" s="9"/>
      <c r="D35" s="9"/>
      <c r="E35" s="10" t="s">
        <v>91</v>
      </c>
      <c r="F35" s="19">
        <f>SUMIF($E$6:$E$31,"Instruction: Benefits ", $F$6:$F$31)</f>
        <v>0</v>
      </c>
      <c r="G35" s="15"/>
    </row>
    <row r="36" spans="1:7" x14ac:dyDescent="0.2">
      <c r="A36" s="9"/>
      <c r="B36" s="9"/>
      <c r="C36" s="9"/>
      <c r="D36" s="9"/>
      <c r="E36" s="106" t="s">
        <v>44</v>
      </c>
      <c r="F36" s="19">
        <f>SUMIF($E$6:$E$31,"Instruction: Professional Services", $F$6:$F$31)</f>
        <v>0</v>
      </c>
      <c r="G36" s="15"/>
    </row>
    <row r="37" spans="1:7" x14ac:dyDescent="0.2">
      <c r="A37" s="9"/>
      <c r="B37" s="9"/>
      <c r="C37" s="9"/>
      <c r="D37" s="9"/>
      <c r="E37" s="106" t="s">
        <v>45</v>
      </c>
      <c r="F37" s="19">
        <f>SUMIF($E$6:$E$31,"Instruction: Rentals", $F$6:$F$31)</f>
        <v>0</v>
      </c>
      <c r="G37" s="15"/>
    </row>
    <row r="38" spans="1:7" x14ac:dyDescent="0.2">
      <c r="A38" s="9"/>
      <c r="B38" s="9"/>
      <c r="C38" s="9"/>
      <c r="D38" s="9"/>
      <c r="E38" s="106" t="s">
        <v>46</v>
      </c>
      <c r="F38" s="19">
        <f>SUMIF($E$6:$E$31,"Instruction: Other Purchased Services", $F$6:$F$31)</f>
        <v>0</v>
      </c>
      <c r="G38" s="15"/>
    </row>
    <row r="39" spans="1:7" x14ac:dyDescent="0.2">
      <c r="A39" s="9"/>
      <c r="B39" s="9"/>
      <c r="C39" s="9"/>
      <c r="D39" s="9"/>
      <c r="E39" s="106" t="s">
        <v>47</v>
      </c>
      <c r="F39" s="19">
        <f>SUMIF($E$6:$E$31,"Instruction: General Supplies", $F$6:$F$31)</f>
        <v>0</v>
      </c>
      <c r="G39" s="15"/>
    </row>
    <row r="40" spans="1:7" x14ac:dyDescent="0.2">
      <c r="A40" s="9"/>
      <c r="B40" s="9"/>
      <c r="C40" s="9"/>
      <c r="D40" s="9"/>
      <c r="E40" s="106" t="s">
        <v>48</v>
      </c>
      <c r="F40" s="19">
        <f>SUMIF($E$6:$E$31,"Instruction: Property", $F$6:$F$31)</f>
        <v>0</v>
      </c>
      <c r="G40" s="15"/>
    </row>
    <row r="41" spans="1:7" x14ac:dyDescent="0.2">
      <c r="A41" s="9"/>
      <c r="B41" s="9"/>
      <c r="C41" s="9"/>
      <c r="D41" s="9"/>
      <c r="E41" s="106" t="s">
        <v>113</v>
      </c>
      <c r="F41" s="19">
        <f>SUMIF($E$6:$E$31,"Instruction: Other ", $F$6:$F$31)</f>
        <v>0</v>
      </c>
      <c r="G41" s="15"/>
    </row>
    <row r="42" spans="1:7" x14ac:dyDescent="0.2">
      <c r="A42" s="4"/>
      <c r="B42" s="4"/>
      <c r="C42" s="4"/>
      <c r="D42" s="4"/>
      <c r="E42" s="20" t="s">
        <v>49</v>
      </c>
      <c r="F42" s="19">
        <f>SUMIF($E$6:$E$31,"Instruction: Transfer", $F$6:$F$31)</f>
        <v>0</v>
      </c>
      <c r="G42" s="15"/>
    </row>
    <row r="43" spans="1:7" ht="15" x14ac:dyDescent="0.25">
      <c r="A43" s="4"/>
      <c r="B43" s="4"/>
      <c r="C43" s="4"/>
      <c r="D43" s="4"/>
      <c r="E43" s="10" t="s">
        <v>103</v>
      </c>
      <c r="F43" s="19">
        <f>SUMIF($E$6:$E$31,"Support Services (Student): Salary ", $F$6:$F$31)</f>
        <v>0</v>
      </c>
      <c r="G43" s="15"/>
    </row>
    <row r="44" spans="1:7" ht="15" x14ac:dyDescent="0.25">
      <c r="A44" s="4"/>
      <c r="B44" s="4"/>
      <c r="C44" s="4"/>
      <c r="D44" s="4"/>
      <c r="E44" s="10" t="s">
        <v>102</v>
      </c>
      <c r="F44" s="19">
        <f>SUMIF($E$6:$E$31,"Support Services (Student): Benefits ", $F$6:$F$31)</f>
        <v>0</v>
      </c>
      <c r="G44" s="15"/>
    </row>
    <row r="45" spans="1:7" x14ac:dyDescent="0.2">
      <c r="A45" s="4"/>
      <c r="B45" s="4"/>
      <c r="C45" s="4"/>
      <c r="D45" s="4"/>
      <c r="E45" s="20" t="s">
        <v>50</v>
      </c>
      <c r="F45" s="19">
        <f>SUMIF($E$6:$E$31,"Support Services (Student): Professional Services", $F$6:$F$31)</f>
        <v>0</v>
      </c>
      <c r="G45" s="15"/>
    </row>
    <row r="46" spans="1:7" x14ac:dyDescent="0.2">
      <c r="A46" s="4"/>
      <c r="B46" s="4"/>
      <c r="C46" s="4"/>
      <c r="D46" s="4"/>
      <c r="E46" s="20" t="s">
        <v>51</v>
      </c>
      <c r="F46" s="19">
        <f>SUMIF($E$6:$E$31,"Support Services (Student): Rentals", $F$6:$F$31)</f>
        <v>0</v>
      </c>
      <c r="G46" s="15"/>
    </row>
    <row r="47" spans="1:7" x14ac:dyDescent="0.2">
      <c r="A47" s="4"/>
      <c r="B47" s="4"/>
      <c r="C47" s="4"/>
      <c r="D47" s="4"/>
      <c r="E47" s="20" t="s">
        <v>52</v>
      </c>
      <c r="F47" s="19">
        <f>SUMIF($E$6:$E$31,"Support Services (Student): Other Purchased Services", $F$6:$F$31)</f>
        <v>0</v>
      </c>
      <c r="G47" s="15"/>
    </row>
    <row r="48" spans="1:7" x14ac:dyDescent="0.2">
      <c r="A48" s="4"/>
      <c r="B48" s="4"/>
      <c r="C48" s="4"/>
      <c r="D48" s="4"/>
      <c r="E48" s="20" t="s">
        <v>53</v>
      </c>
      <c r="F48" s="19">
        <f>SUMIF($E$6:$E$31,"Support Services (Student): General Supplies", $F$6:$F$31)</f>
        <v>0</v>
      </c>
      <c r="G48" s="15"/>
    </row>
    <row r="49" spans="1:7" x14ac:dyDescent="0.2">
      <c r="A49" s="4"/>
      <c r="B49" s="4"/>
      <c r="C49" s="4"/>
      <c r="D49" s="4"/>
      <c r="E49" s="20" t="s">
        <v>54</v>
      </c>
      <c r="F49" s="19">
        <f>SUMIF($E$6:$E$31,"Support Services (Student): Property", $F$6:$F$31)</f>
        <v>0</v>
      </c>
      <c r="G49" s="15"/>
    </row>
    <row r="50" spans="1:7" x14ac:dyDescent="0.2">
      <c r="A50" s="4"/>
      <c r="B50" s="4"/>
      <c r="C50" s="4"/>
      <c r="D50" s="4"/>
      <c r="E50" s="20" t="s">
        <v>107</v>
      </c>
      <c r="F50" s="19">
        <f>SUMIF($E$6:$E$31,"Support Services (Student): Other ", $F$6:$F$31)</f>
        <v>0</v>
      </c>
      <c r="G50" s="15"/>
    </row>
    <row r="51" spans="1:7" x14ac:dyDescent="0.2">
      <c r="A51" s="4"/>
      <c r="B51" s="4"/>
      <c r="C51" s="4"/>
      <c r="D51" s="4"/>
      <c r="E51" s="20" t="s">
        <v>55</v>
      </c>
      <c r="F51" s="19">
        <f>SUMIF($E$6:$E$31,"Support Services (Student): Transfer", $F$6:$F$31)</f>
        <v>0</v>
      </c>
      <c r="G51" s="15"/>
    </row>
    <row r="52" spans="1:7" ht="15" x14ac:dyDescent="0.25">
      <c r="A52" s="4"/>
      <c r="B52" s="4"/>
      <c r="C52" s="4"/>
      <c r="D52" s="4"/>
      <c r="E52" s="10" t="s">
        <v>101</v>
      </c>
      <c r="F52" s="19">
        <f>SUMIF($E$6:$E$31,"Improvement of Instruction: Salary ", $F$6:$F$31)</f>
        <v>0</v>
      </c>
      <c r="G52" s="15"/>
    </row>
    <row r="53" spans="1:7" ht="15" x14ac:dyDescent="0.25">
      <c r="A53" s="4"/>
      <c r="B53" s="4"/>
      <c r="C53" s="4"/>
      <c r="D53" s="4"/>
      <c r="E53" s="10" t="s">
        <v>100</v>
      </c>
      <c r="F53" s="19">
        <f>SUMIF($E$6:$E$31,"Improvement of Instruction: Benefits ", $F$6:$F$31)</f>
        <v>0</v>
      </c>
      <c r="G53" s="15"/>
    </row>
    <row r="54" spans="1:7" x14ac:dyDescent="0.2">
      <c r="A54" s="4"/>
      <c r="B54" s="4"/>
      <c r="C54" s="4"/>
      <c r="D54" s="4"/>
      <c r="E54" s="20" t="s">
        <v>56</v>
      </c>
      <c r="F54" s="19">
        <f>SUMIF($E$6:$E$31,"Improvement of Instruction: Professional Services", $F$6:$F$31)</f>
        <v>0</v>
      </c>
      <c r="G54" s="15"/>
    </row>
    <row r="55" spans="1:7" x14ac:dyDescent="0.2">
      <c r="A55" s="4"/>
      <c r="B55" s="4"/>
      <c r="C55" s="4"/>
      <c r="D55" s="4"/>
      <c r="E55" s="20" t="s">
        <v>57</v>
      </c>
      <c r="F55" s="19">
        <f>SUMIF($E$6:$E$31,"Improvement of Instruction: Rentals", $F$6:$F$31)</f>
        <v>0</v>
      </c>
      <c r="G55" s="15"/>
    </row>
    <row r="56" spans="1:7" x14ac:dyDescent="0.2">
      <c r="A56" s="4"/>
      <c r="B56" s="4"/>
      <c r="C56" s="4"/>
      <c r="D56" s="4"/>
      <c r="E56" s="20" t="s">
        <v>58</v>
      </c>
      <c r="F56" s="19">
        <f>SUMIF($E$6:$E$31,"Improvement of Instruction: Other Purchased Services", $F$6:$F$31)</f>
        <v>0</v>
      </c>
      <c r="G56" s="15"/>
    </row>
    <row r="57" spans="1:7" x14ac:dyDescent="0.2">
      <c r="A57" s="4"/>
      <c r="B57" s="4"/>
      <c r="C57" s="4"/>
      <c r="D57" s="4"/>
      <c r="E57" s="20" t="s">
        <v>59</v>
      </c>
      <c r="F57" s="19">
        <f>SUMIF($E$6:$E$31,"Improvement of Instruction: General Supplies", $F$6:$F$31)</f>
        <v>0</v>
      </c>
      <c r="G57" s="15"/>
    </row>
    <row r="58" spans="1:7" x14ac:dyDescent="0.2">
      <c r="A58" s="4"/>
      <c r="B58" s="4"/>
      <c r="C58" s="4"/>
      <c r="D58" s="4"/>
      <c r="E58" s="20" t="s">
        <v>60</v>
      </c>
      <c r="F58" s="19">
        <f>SUMIF($E$6:$E$31,"Improvement of Instruction: Property", $F$6:$F$31)</f>
        <v>0</v>
      </c>
      <c r="G58" s="15"/>
    </row>
    <row r="59" spans="1:7" x14ac:dyDescent="0.2">
      <c r="A59" s="4"/>
      <c r="B59" s="4"/>
      <c r="C59" s="4"/>
      <c r="D59" s="4"/>
      <c r="E59" s="20" t="s">
        <v>108</v>
      </c>
      <c r="F59" s="19">
        <f>SUMIF($E$6:$E$31,"Improvement of Instruction: Other  ", $F$6:$F$31)</f>
        <v>0</v>
      </c>
      <c r="G59" s="15"/>
    </row>
    <row r="60" spans="1:7" x14ac:dyDescent="0.2">
      <c r="A60" s="4"/>
      <c r="B60" s="4"/>
      <c r="C60" s="4"/>
      <c r="D60" s="4"/>
      <c r="E60" s="20" t="s">
        <v>61</v>
      </c>
      <c r="F60" s="19">
        <f>SUMIF($E$6:$E$31,"Improvement of Instruction: Transfer", $F$6:$F$31)</f>
        <v>0</v>
      </c>
      <c r="G60" s="15"/>
    </row>
    <row r="61" spans="1:7" ht="15" x14ac:dyDescent="0.25">
      <c r="A61" s="4"/>
      <c r="B61" s="4"/>
      <c r="C61" s="4"/>
      <c r="D61" s="4"/>
      <c r="E61" s="10" t="s">
        <v>99</v>
      </c>
      <c r="F61" s="19">
        <f>SUMIF($E$6:$E$31,"Other Support Services: Salary ", $F$6:$F$31)</f>
        <v>0</v>
      </c>
      <c r="G61" s="15"/>
    </row>
    <row r="62" spans="1:7" ht="15" x14ac:dyDescent="0.25">
      <c r="A62" s="4"/>
      <c r="B62" s="4"/>
      <c r="C62" s="4"/>
      <c r="D62" s="4"/>
      <c r="E62" s="10" t="s">
        <v>98</v>
      </c>
      <c r="F62" s="19">
        <f>SUMIF($E$6:$E$31,"Other Support Services: Benefits ", $F$6:$F$31)</f>
        <v>0</v>
      </c>
      <c r="G62" s="15"/>
    </row>
    <row r="63" spans="1:7" x14ac:dyDescent="0.2">
      <c r="A63" s="4"/>
      <c r="B63" s="4"/>
      <c r="C63" s="4"/>
      <c r="D63" s="4"/>
      <c r="E63" s="20" t="s">
        <v>62</v>
      </c>
      <c r="F63" s="19">
        <f>SUMIF($E$6:$E$31,"Other Support Services: Professional Services", $F$6:$F$31)</f>
        <v>0</v>
      </c>
      <c r="G63" s="15"/>
    </row>
    <row r="64" spans="1:7" x14ac:dyDescent="0.2">
      <c r="A64" s="4"/>
      <c r="B64" s="4"/>
      <c r="C64" s="4"/>
      <c r="D64" s="4"/>
      <c r="E64" s="20" t="s">
        <v>63</v>
      </c>
      <c r="F64" s="19">
        <f>SUMIF($E$6:$E$31,"Other Support Services: Rentals", $F$6:$F$31)</f>
        <v>0</v>
      </c>
      <c r="G64" s="15"/>
    </row>
    <row r="65" spans="1:7" x14ac:dyDescent="0.2">
      <c r="A65" s="4"/>
      <c r="B65" s="4"/>
      <c r="C65" s="4"/>
      <c r="D65" s="4"/>
      <c r="E65" s="20" t="s">
        <v>64</v>
      </c>
      <c r="F65" s="19">
        <f>SUMIF($E$6:$E$31,"Other Support Services: Other Purchased Services", $F$6:$F$31)</f>
        <v>0</v>
      </c>
      <c r="G65" s="15"/>
    </row>
    <row r="66" spans="1:7" x14ac:dyDescent="0.2">
      <c r="A66" s="4"/>
      <c r="B66" s="4"/>
      <c r="C66" s="4"/>
      <c r="D66" s="4"/>
      <c r="E66" s="20" t="s">
        <v>65</v>
      </c>
      <c r="F66" s="19">
        <f>SUMIF($E$6:$E$31,"Other Support Services: General Supplies", $F$6:$F$31)</f>
        <v>0</v>
      </c>
      <c r="G66" s="15"/>
    </row>
    <row r="67" spans="1:7" x14ac:dyDescent="0.2">
      <c r="A67" s="4"/>
      <c r="B67" s="4"/>
      <c r="C67" s="4"/>
      <c r="D67" s="4"/>
      <c r="E67" s="20" t="s">
        <v>66</v>
      </c>
      <c r="F67" s="19">
        <f>SUMIF($E$6:$E$31,"Other Support Services: Property", $F$6:$F$31)</f>
        <v>0</v>
      </c>
      <c r="G67" s="15"/>
    </row>
    <row r="68" spans="1:7" x14ac:dyDescent="0.2">
      <c r="A68" s="4"/>
      <c r="B68" s="4"/>
      <c r="C68" s="4"/>
      <c r="D68" s="4"/>
      <c r="E68" s="20" t="s">
        <v>109</v>
      </c>
      <c r="F68" s="19">
        <f>SUMIF($E$6:$E$31,"Other Support Services: Other ", $F$6:$F$31)</f>
        <v>0</v>
      </c>
      <c r="G68" s="15"/>
    </row>
    <row r="69" spans="1:7" x14ac:dyDescent="0.2">
      <c r="A69" s="4"/>
      <c r="B69" s="4"/>
      <c r="C69" s="4"/>
      <c r="D69" s="4"/>
      <c r="E69" s="20" t="s">
        <v>67</v>
      </c>
      <c r="F69" s="19">
        <f>SUMIF($E$6:$E$31,"Other Support Services: Transfer", $F$6:$F$31)</f>
        <v>0</v>
      </c>
      <c r="G69" s="15"/>
    </row>
    <row r="70" spans="1:7" ht="15" x14ac:dyDescent="0.25">
      <c r="A70" s="4"/>
      <c r="B70" s="4"/>
      <c r="C70" s="4"/>
      <c r="D70" s="4"/>
      <c r="E70" s="10" t="s">
        <v>97</v>
      </c>
      <c r="F70" s="19">
        <f>SUMIF($E$6:$E$31,"Operations and Maintenance: Salary ", $F$6:$F$31)</f>
        <v>0</v>
      </c>
      <c r="G70" s="15"/>
    </row>
    <row r="71" spans="1:7" ht="15" x14ac:dyDescent="0.25">
      <c r="A71" s="4"/>
      <c r="B71" s="4"/>
      <c r="C71" s="4"/>
      <c r="D71" s="4"/>
      <c r="E71" s="10" t="s">
        <v>96</v>
      </c>
      <c r="F71" s="19">
        <f>SUMIF($E$6:$E$31,"Operations and Maintenance: Benefits ", $F$6:$F$31)</f>
        <v>0</v>
      </c>
      <c r="G71" s="15"/>
    </row>
    <row r="72" spans="1:7" x14ac:dyDescent="0.2">
      <c r="A72" s="4"/>
      <c r="B72" s="4"/>
      <c r="C72" s="4"/>
      <c r="D72" s="4"/>
      <c r="E72" s="20" t="s">
        <v>68</v>
      </c>
      <c r="F72" s="19">
        <f>SUMIF($E$6:$E$31,"Operations and Maintenance: Professional Services", $F$6:$F$31)</f>
        <v>0</v>
      </c>
      <c r="G72" s="15"/>
    </row>
    <row r="73" spans="1:7" x14ac:dyDescent="0.2">
      <c r="A73" s="4"/>
      <c r="B73" s="4"/>
      <c r="C73" s="4"/>
      <c r="D73" s="4"/>
      <c r="E73" s="20" t="s">
        <v>69</v>
      </c>
      <c r="F73" s="19">
        <f>SUMIF($E$6:$E$31,"Operations and Maintenance: Rentals", $F$6:$F$31)</f>
        <v>0</v>
      </c>
      <c r="G73" s="15"/>
    </row>
    <row r="74" spans="1:7" x14ac:dyDescent="0.2">
      <c r="A74" s="4"/>
      <c r="B74" s="4"/>
      <c r="C74" s="4"/>
      <c r="D74" s="4"/>
      <c r="E74" s="20" t="s">
        <v>70</v>
      </c>
      <c r="F74" s="19">
        <f>SUMIF($E$6:$E$31,"Operations and Maintenance: Other Purchased Services", $F$6:$F$31)</f>
        <v>0</v>
      </c>
      <c r="G74" s="15"/>
    </row>
    <row r="75" spans="1:7" x14ac:dyDescent="0.2">
      <c r="A75" s="4"/>
      <c r="B75" s="4"/>
      <c r="C75" s="4"/>
      <c r="D75" s="4"/>
      <c r="E75" s="20" t="s">
        <v>71</v>
      </c>
      <c r="F75" s="19">
        <f>SUMIF($E$6:$E$31,"Operations and Maintenance: General Supplies", $F$6:$F$31)</f>
        <v>0</v>
      </c>
      <c r="G75" s="15"/>
    </row>
    <row r="76" spans="1:7" x14ac:dyDescent="0.2">
      <c r="A76" s="4"/>
      <c r="B76" s="4"/>
      <c r="C76" s="4"/>
      <c r="D76" s="4"/>
      <c r="E76" s="20" t="s">
        <v>72</v>
      </c>
      <c r="F76" s="19">
        <f>SUMIF($E$6:$E$31,"Operations and Maintenance: Property", $F$6:$F$31)</f>
        <v>0</v>
      </c>
      <c r="G76" s="15"/>
    </row>
    <row r="77" spans="1:7" x14ac:dyDescent="0.2">
      <c r="A77" s="4"/>
      <c r="B77" s="4"/>
      <c r="C77" s="4"/>
      <c r="D77" s="4"/>
      <c r="E77" s="20" t="s">
        <v>110</v>
      </c>
      <c r="F77" s="19">
        <f>SUMIF($E$6:$E$31,"Operations and Maintenance: Other ", $F$6:$F$31)</f>
        <v>0</v>
      </c>
      <c r="G77" s="15"/>
    </row>
    <row r="78" spans="1:7" x14ac:dyDescent="0.2">
      <c r="A78" s="4"/>
      <c r="B78" s="4"/>
      <c r="C78" s="4"/>
      <c r="D78" s="4"/>
      <c r="E78" s="20" t="s">
        <v>73</v>
      </c>
      <c r="F78" s="19">
        <f>SUMIF($E$6:$E$31,"Operations and Maintenance: Transfer", $F$6:$F$31)</f>
        <v>0</v>
      </c>
      <c r="G78" s="15"/>
    </row>
    <row r="79" spans="1:7" ht="15" x14ac:dyDescent="0.25">
      <c r="A79" s="4"/>
      <c r="B79" s="4"/>
      <c r="C79" s="4"/>
      <c r="D79" s="4"/>
      <c r="E79" s="10" t="s">
        <v>95</v>
      </c>
      <c r="F79" s="19">
        <f>SUMIF($E$6:$E$31,"Transportation: Salary ", $F$6:$F$31)</f>
        <v>0</v>
      </c>
      <c r="G79" s="15"/>
    </row>
    <row r="80" spans="1:7" ht="15" x14ac:dyDescent="0.25">
      <c r="A80" s="4"/>
      <c r="B80" s="4"/>
      <c r="C80" s="4"/>
      <c r="D80" s="4"/>
      <c r="E80" s="10" t="s">
        <v>94</v>
      </c>
      <c r="F80" s="19">
        <f>SUMIF($E$6:$E$31,"Transportation: Benefits ", $F$6:$F$31)</f>
        <v>0</v>
      </c>
      <c r="G80" s="15"/>
    </row>
    <row r="81" spans="1:7" x14ac:dyDescent="0.2">
      <c r="A81" s="4"/>
      <c r="B81" s="4"/>
      <c r="C81" s="4"/>
      <c r="D81" s="4"/>
      <c r="E81" s="20" t="s">
        <v>74</v>
      </c>
      <c r="F81" s="19">
        <f>SUMIF($E$6:$E$31,"Transportation: Professional Services", $F$6:$F$31)</f>
        <v>0</v>
      </c>
      <c r="G81" s="15"/>
    </row>
    <row r="82" spans="1:7" x14ac:dyDescent="0.2">
      <c r="A82" s="4"/>
      <c r="B82" s="4"/>
      <c r="C82" s="4"/>
      <c r="D82" s="4"/>
      <c r="E82" s="20" t="s">
        <v>75</v>
      </c>
      <c r="F82" s="19">
        <f>SUMIF($E$6:$E$31,"Transportation: Rentals", $F$6:$F$31)</f>
        <v>0</v>
      </c>
      <c r="G82" s="15"/>
    </row>
    <row r="83" spans="1:7" x14ac:dyDescent="0.2">
      <c r="A83" s="4"/>
      <c r="B83" s="4"/>
      <c r="C83" s="4"/>
      <c r="D83" s="4"/>
      <c r="E83" s="20" t="s">
        <v>76</v>
      </c>
      <c r="F83" s="19">
        <f>SUMIF($E$6:$E$31,"Transportation: Other Purchased Services", $F$6:$F$31)</f>
        <v>0</v>
      </c>
      <c r="G83" s="15"/>
    </row>
    <row r="84" spans="1:7" x14ac:dyDescent="0.2">
      <c r="A84" s="4"/>
      <c r="B84" s="4"/>
      <c r="C84" s="4"/>
      <c r="D84" s="4"/>
      <c r="E84" s="20" t="s">
        <v>77</v>
      </c>
      <c r="F84" s="19">
        <f>SUMIF($E$6:$E$31,"Transportation: General Supplies", $F$6:$F$31)</f>
        <v>0</v>
      </c>
      <c r="G84" s="15"/>
    </row>
    <row r="85" spans="1:7" x14ac:dyDescent="0.2">
      <c r="A85" s="4"/>
      <c r="B85" s="4"/>
      <c r="C85" s="4"/>
      <c r="D85" s="4"/>
      <c r="E85" s="20" t="s">
        <v>78</v>
      </c>
      <c r="F85" s="19">
        <f>SUMIF($E$6:$E$31,"Transportation: Property", $F$6:$F$31)</f>
        <v>0</v>
      </c>
      <c r="G85" s="15"/>
    </row>
    <row r="86" spans="1:7" x14ac:dyDescent="0.2">
      <c r="A86" s="4"/>
      <c r="B86" s="4"/>
      <c r="C86" s="4"/>
      <c r="D86" s="4"/>
      <c r="E86" s="20" t="s">
        <v>111</v>
      </c>
      <c r="F86" s="19">
        <f>SUMIF($E$6:$E$31,"Transportation: Other ", $F$6:$F$31)</f>
        <v>0</v>
      </c>
      <c r="G86" s="15"/>
    </row>
    <row r="87" spans="1:7" x14ac:dyDescent="0.2">
      <c r="A87" s="4"/>
      <c r="B87" s="4"/>
      <c r="C87" s="4"/>
      <c r="D87" s="4"/>
      <c r="E87" s="20" t="s">
        <v>79</v>
      </c>
      <c r="F87" s="19">
        <f>SUMIF($E$6:$E$31,"Transportation: Transfer", $F$6:$F$31)</f>
        <v>0</v>
      </c>
      <c r="G87" s="15"/>
    </row>
    <row r="88" spans="1:7" ht="15" x14ac:dyDescent="0.25">
      <c r="A88" s="4"/>
      <c r="B88" s="4"/>
      <c r="C88" s="4"/>
      <c r="D88" s="4"/>
      <c r="E88" s="10" t="s">
        <v>92</v>
      </c>
      <c r="F88" s="19">
        <f>SUMIF($E$6:$E$31,"Community Services Operations: Salary ", $F$6:$F$31)</f>
        <v>0</v>
      </c>
      <c r="G88" s="15"/>
    </row>
    <row r="89" spans="1:7" ht="15" x14ac:dyDescent="0.25">
      <c r="A89" s="4"/>
      <c r="B89" s="4"/>
      <c r="C89" s="4"/>
      <c r="D89" s="4"/>
      <c r="E89" s="10" t="s">
        <v>93</v>
      </c>
      <c r="F89" s="19">
        <f>SUMIF($E$6:$E$31,"Community Services Operations: Benefits ", $F$6:$F$31)</f>
        <v>0</v>
      </c>
      <c r="G89" s="15"/>
    </row>
    <row r="90" spans="1:7" x14ac:dyDescent="0.2">
      <c r="A90" s="4"/>
      <c r="B90" s="4"/>
      <c r="C90" s="4"/>
      <c r="D90" s="4"/>
      <c r="E90" s="20" t="s">
        <v>80</v>
      </c>
      <c r="F90" s="19">
        <f>SUMIF($E$6:$E$31,"Community Services Operations: Professional Services", $F$6:$F$31)</f>
        <v>0</v>
      </c>
      <c r="G90" s="15"/>
    </row>
    <row r="91" spans="1:7" x14ac:dyDescent="0.2">
      <c r="A91" s="4"/>
      <c r="B91" s="4"/>
      <c r="C91" s="4"/>
      <c r="D91" s="4"/>
      <c r="E91" s="20" t="s">
        <v>81</v>
      </c>
      <c r="F91" s="19">
        <f>SUMIF($E$6:$E$31,"Community Services Operations: Rentals", $F$6:$F$31)</f>
        <v>0</v>
      </c>
      <c r="G91" s="15"/>
    </row>
    <row r="92" spans="1:7" x14ac:dyDescent="0.2">
      <c r="A92" s="4"/>
      <c r="B92" s="4"/>
      <c r="C92" s="4"/>
      <c r="D92" s="4"/>
      <c r="E92" s="20" t="s">
        <v>82</v>
      </c>
      <c r="F92" s="19">
        <f>SUMIF($E$6:$E$31,"Community Services Operations: Other Purchased Services", $F$6:$F$31)</f>
        <v>0</v>
      </c>
      <c r="G92" s="15"/>
    </row>
    <row r="93" spans="1:7" x14ac:dyDescent="0.2">
      <c r="A93" s="4"/>
      <c r="B93" s="4"/>
      <c r="C93" s="4"/>
      <c r="D93" s="4"/>
      <c r="E93" s="20" t="s">
        <v>83</v>
      </c>
      <c r="F93" s="19">
        <f>SUMIF($E$6:$E$31,"Community Services Operations: General Supplies", $F$6:$F$31)</f>
        <v>0</v>
      </c>
      <c r="G93" s="15"/>
    </row>
    <row r="94" spans="1:7" x14ac:dyDescent="0.2">
      <c r="A94" s="4"/>
      <c r="B94" s="4"/>
      <c r="C94" s="4"/>
      <c r="D94" s="4"/>
      <c r="E94" s="20" t="s">
        <v>84</v>
      </c>
      <c r="F94" s="19">
        <f>SUMIF($E$6:$E$31,"Community Services Operations: Property", $F$6:$F$31)</f>
        <v>0</v>
      </c>
      <c r="G94" s="15"/>
    </row>
    <row r="95" spans="1:7" x14ac:dyDescent="0.2">
      <c r="A95" s="4"/>
      <c r="B95" s="4"/>
      <c r="C95" s="4"/>
      <c r="D95" s="4"/>
      <c r="E95" s="20" t="s">
        <v>112</v>
      </c>
      <c r="F95" s="19">
        <f>SUMIF($E$6:$E$31,"Community Services Operations: Other ", $F$6:$F$31)</f>
        <v>0</v>
      </c>
      <c r="G95" s="15"/>
    </row>
    <row r="96" spans="1:7" x14ac:dyDescent="0.2">
      <c r="A96" s="4"/>
      <c r="B96" s="4"/>
      <c r="C96" s="4"/>
      <c r="D96" s="4"/>
      <c r="E96" s="20" t="s">
        <v>85</v>
      </c>
      <c r="F96" s="19">
        <f>SUMIF($E$6:$E$31,"Community Services Operations: Transfer", $F$6:$F$31)</f>
        <v>0</v>
      </c>
      <c r="G96" s="15"/>
    </row>
    <row r="97" spans="1:7" x14ac:dyDescent="0.2">
      <c r="A97" s="4"/>
      <c r="B97" s="4"/>
      <c r="C97" s="4"/>
      <c r="D97" s="4"/>
      <c r="E97" s="61" t="s">
        <v>117</v>
      </c>
      <c r="F97" s="19">
        <f>SUMIF($E$6:$E$31,"Title I, Part A Homeless Set-Aside", $F$6:$F$31)</f>
        <v>0</v>
      </c>
      <c r="G97" s="15"/>
    </row>
    <row r="98" spans="1:7" x14ac:dyDescent="0.2">
      <c r="A98" s="4"/>
      <c r="B98" s="4"/>
      <c r="C98" s="4"/>
      <c r="D98" s="4"/>
      <c r="E98" s="60" t="s">
        <v>86</v>
      </c>
      <c r="F98" s="19">
        <f>SUMIF($E$6:$E$31,"Indirect Cost Used", $F$6:$F$31)</f>
        <v>0</v>
      </c>
      <c r="G98" s="15"/>
    </row>
    <row r="99" spans="1:7" ht="15" x14ac:dyDescent="0.25">
      <c r="A99" s="4"/>
      <c r="B99" s="4"/>
      <c r="C99" s="4"/>
      <c r="D99" s="4"/>
      <c r="E99" s="38" t="s">
        <v>87</v>
      </c>
      <c r="F99" s="13">
        <f>(SUM(F6:F31))-F97</f>
        <v>0</v>
      </c>
      <c r="G99" s="15"/>
    </row>
    <row r="100" spans="1:7" x14ac:dyDescent="0.2">
      <c r="A100" s="4"/>
      <c r="B100" s="4"/>
      <c r="C100" s="4"/>
      <c r="D100" s="4"/>
      <c r="E100" s="4"/>
      <c r="F100" s="4"/>
      <c r="G100" s="15"/>
    </row>
  </sheetData>
  <sheetProtection formatCells="0" formatColumns="0" formatRows="0" insertRows="0" insertHyperlinks="0"/>
  <mergeCells count="3">
    <mergeCell ref="A3:F3"/>
    <mergeCell ref="A1:F1"/>
    <mergeCell ref="B2:F2"/>
  </mergeCells>
  <conditionalFormatting sqref="E34:F98 A6:F31">
    <cfRule type="expression" dxfId="3" priority="2">
      <formula>MOD(ROW(),2)=0</formula>
    </cfRule>
  </conditionalFormatting>
  <dataValidations count="3">
    <dataValidation type="list" allowBlank="1" showInputMessage="1" showErrorMessage="1" sqref="E6:E31" xr:uid="{00000000-0002-0000-0100-000000000000}">
      <formula1>Category</formula1>
    </dataValidation>
    <dataValidation allowBlank="1" showInputMessage="1" showErrorMessage="1" prompt="Click link to view Budget Cheat Sheet " sqref="E5" xr:uid="{00000000-0002-0000-0100-000001000000}"/>
    <dataValidation allowBlank="1" showInputMessage="1" showErrorMessage="1" prompt="Enter Title I, Part A Homeless Set-Aside Total" sqref="F6" xr:uid="{00000000-0002-0000-0100-000002000000}"/>
  </dataValidations>
  <hyperlinks>
    <hyperlink ref="E5" r:id="rId1" xr:uid="{00000000-0004-0000-0100-000000000000}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A1:G33"/>
  <sheetViews>
    <sheetView topLeftCell="A10" workbookViewId="0">
      <selection activeCell="B9" sqref="B9:E9"/>
    </sheetView>
  </sheetViews>
  <sheetFormatPr defaultColWidth="8.83203125" defaultRowHeight="21.95" customHeight="1" x14ac:dyDescent="0.2"/>
  <cols>
    <col min="1" max="1" width="48.83203125" style="21" bestFit="1" customWidth="1"/>
    <col min="2" max="4" width="20.83203125" style="21" customWidth="1"/>
    <col min="5" max="5" width="22.5" style="21" customWidth="1"/>
    <col min="6" max="16384" width="8.83203125" style="21"/>
  </cols>
  <sheetData>
    <row r="1" spans="1:7" ht="117" customHeight="1" x14ac:dyDescent="0.2">
      <c r="A1" s="146"/>
      <c r="B1" s="146"/>
      <c r="C1" s="146"/>
      <c r="D1" s="146"/>
      <c r="E1" s="146"/>
    </row>
    <row r="2" spans="1:7" ht="20.25" customHeight="1" x14ac:dyDescent="0.3">
      <c r="A2" s="143" t="s">
        <v>1315</v>
      </c>
      <c r="B2" s="144"/>
      <c r="C2" s="144"/>
      <c r="D2" s="144"/>
      <c r="E2" s="144"/>
    </row>
    <row r="3" spans="1:7" ht="21.75" customHeight="1" x14ac:dyDescent="0.2">
      <c r="A3" s="145" t="s">
        <v>2</v>
      </c>
      <c r="B3" s="145"/>
      <c r="C3" s="145"/>
      <c r="D3" s="145"/>
      <c r="E3" s="145"/>
    </row>
    <row r="4" spans="1:7" ht="39.75" customHeight="1" x14ac:dyDescent="0.25">
      <c r="A4" s="56" t="s">
        <v>7</v>
      </c>
      <c r="B4" s="147" t="s">
        <v>1316</v>
      </c>
      <c r="C4" s="148"/>
      <c r="D4" s="148"/>
      <c r="E4" s="148"/>
    </row>
    <row r="5" spans="1:7" ht="15" customHeight="1" x14ac:dyDescent="0.25">
      <c r="A5" s="56" t="s">
        <v>8</v>
      </c>
      <c r="B5" s="149" t="s">
        <v>115</v>
      </c>
      <c r="C5" s="149"/>
      <c r="D5" s="149"/>
      <c r="E5" s="149"/>
    </row>
    <row r="6" spans="1:7" ht="15.75" customHeight="1" x14ac:dyDescent="0.25">
      <c r="A6" s="56" t="s">
        <v>9</v>
      </c>
      <c r="B6" s="149" t="s">
        <v>1313</v>
      </c>
      <c r="C6" s="149"/>
      <c r="D6" s="149"/>
      <c r="E6" s="149"/>
      <c r="G6" s="33"/>
    </row>
    <row r="7" spans="1:7" ht="15.75" customHeight="1" x14ac:dyDescent="0.25">
      <c r="A7" s="56" t="s">
        <v>10</v>
      </c>
      <c r="B7" s="138"/>
      <c r="C7" s="138"/>
      <c r="D7" s="57" t="s">
        <v>13</v>
      </c>
      <c r="E7" s="66"/>
      <c r="G7" s="33"/>
    </row>
    <row r="8" spans="1:7" ht="15.75" customHeight="1" x14ac:dyDescent="0.25">
      <c r="A8" s="56" t="s">
        <v>11</v>
      </c>
      <c r="B8" s="138"/>
      <c r="C8" s="138"/>
      <c r="D8" s="57" t="s">
        <v>12</v>
      </c>
      <c r="E8" s="67"/>
      <c r="G8" s="33"/>
    </row>
    <row r="9" spans="1:7" ht="15.75" customHeight="1" x14ac:dyDescent="0.25">
      <c r="A9" s="56" t="s">
        <v>1303</v>
      </c>
      <c r="B9" s="139" t="s">
        <v>1305</v>
      </c>
      <c r="C9" s="140"/>
      <c r="D9" s="140"/>
      <c r="E9" s="141"/>
      <c r="G9" s="33"/>
    </row>
    <row r="10" spans="1:7" ht="15.75" customHeight="1" x14ac:dyDescent="0.25">
      <c r="A10" s="56" t="s">
        <v>1304</v>
      </c>
      <c r="B10" s="142"/>
      <c r="C10" s="142"/>
      <c r="D10" s="142"/>
      <c r="E10" s="142"/>
      <c r="G10" s="33"/>
    </row>
    <row r="11" spans="1:7" ht="25.5" customHeight="1" x14ac:dyDescent="0.2">
      <c r="A11" s="44" t="s">
        <v>0</v>
      </c>
      <c r="B11" s="45" t="s">
        <v>1</v>
      </c>
      <c r="C11" s="107"/>
      <c r="D11" s="107"/>
      <c r="E11" s="108"/>
    </row>
    <row r="12" spans="1:7" ht="36" customHeight="1" x14ac:dyDescent="0.2">
      <c r="A12" s="134" t="s">
        <v>118</v>
      </c>
      <c r="B12" s="42">
        <f>'ARP-HCY I Budget Table'!C13</f>
        <v>0</v>
      </c>
      <c r="C12" s="109"/>
      <c r="D12" s="109"/>
      <c r="E12" s="110"/>
    </row>
    <row r="13" spans="1:7" ht="36" customHeight="1" x14ac:dyDescent="0.2">
      <c r="A13" s="135" t="s">
        <v>119</v>
      </c>
      <c r="B13" s="43">
        <f>'ARP-HCY I Budget Table'!D13</f>
        <v>0</v>
      </c>
      <c r="C13" s="109"/>
      <c r="D13" s="109"/>
      <c r="E13" s="110"/>
    </row>
    <row r="14" spans="1:7" ht="36" customHeight="1" x14ac:dyDescent="0.2">
      <c r="A14" s="134" t="s">
        <v>120</v>
      </c>
      <c r="B14" s="42">
        <f>'ARP-HCY I Budget Table'!E13</f>
        <v>0</v>
      </c>
      <c r="C14" s="109"/>
      <c r="D14" s="109"/>
      <c r="E14" s="110"/>
    </row>
    <row r="15" spans="1:7" ht="36" customHeight="1" x14ac:dyDescent="0.2">
      <c r="A15" s="135" t="s">
        <v>126</v>
      </c>
      <c r="B15" s="43">
        <f>'ARP-HCY I Budget Table'!F13</f>
        <v>0</v>
      </c>
      <c r="C15" s="109"/>
      <c r="D15" s="109"/>
      <c r="E15" s="110"/>
    </row>
    <row r="16" spans="1:7" ht="36" customHeight="1" x14ac:dyDescent="0.2">
      <c r="A16" s="134" t="s">
        <v>121</v>
      </c>
      <c r="B16" s="42">
        <f>'ARP-HCY I Budget Table'!G13</f>
        <v>0</v>
      </c>
      <c r="C16" s="109"/>
      <c r="D16" s="109"/>
      <c r="E16" s="110"/>
    </row>
    <row r="17" spans="1:5" ht="36" customHeight="1" x14ac:dyDescent="0.2">
      <c r="A17" s="135" t="s">
        <v>122</v>
      </c>
      <c r="B17" s="43">
        <f>'ARP-HCY I Budget Table'!H13</f>
        <v>0</v>
      </c>
      <c r="C17" s="109"/>
      <c r="D17" s="109"/>
      <c r="E17" s="110"/>
    </row>
    <row r="18" spans="1:5" ht="36" customHeight="1" x14ac:dyDescent="0.2">
      <c r="A18" s="134" t="s">
        <v>123</v>
      </c>
      <c r="B18" s="42">
        <f>'ARP-HCY I Budget Table'!I13</f>
        <v>0</v>
      </c>
      <c r="C18" s="109"/>
      <c r="D18" s="109"/>
      <c r="E18" s="110"/>
    </row>
    <row r="19" spans="1:5" ht="36" customHeight="1" x14ac:dyDescent="0.2">
      <c r="A19" s="135" t="s">
        <v>124</v>
      </c>
      <c r="B19" s="43">
        <f>'ARP-HCY I Budget Table'!J13</f>
        <v>0</v>
      </c>
      <c r="C19" s="109"/>
      <c r="D19" s="109"/>
      <c r="E19" s="110"/>
    </row>
    <row r="20" spans="1:5" ht="36" customHeight="1" x14ac:dyDescent="0.2">
      <c r="A20" s="134" t="s">
        <v>125</v>
      </c>
      <c r="B20" s="42">
        <f>'ARP-HCY I Budget Table'!K13</f>
        <v>0</v>
      </c>
      <c r="C20" s="109"/>
      <c r="D20" s="109"/>
      <c r="E20" s="110"/>
    </row>
    <row r="21" spans="1:5" ht="36" customHeight="1" x14ac:dyDescent="0.2">
      <c r="A21" s="136" t="s">
        <v>1307</v>
      </c>
      <c r="B21" s="43">
        <f>SUM(B12:B20)</f>
        <v>0</v>
      </c>
      <c r="C21" s="109"/>
      <c r="D21" s="109"/>
      <c r="E21" s="110"/>
    </row>
    <row r="22" spans="1:5" ht="36" customHeight="1" x14ac:dyDescent="0.2">
      <c r="A22" s="134" t="s">
        <v>1309</v>
      </c>
      <c r="B22" s="42">
        <f>'ARP-HCY I Budget Table'!L17</f>
        <v>0</v>
      </c>
      <c r="C22" s="109"/>
      <c r="D22" s="109"/>
      <c r="E22" s="110"/>
    </row>
    <row r="23" spans="1:5" ht="36" customHeight="1" x14ac:dyDescent="0.2">
      <c r="A23" s="137" t="s">
        <v>1310</v>
      </c>
      <c r="B23" s="111">
        <f>SUM(B21:B22)</f>
        <v>0</v>
      </c>
      <c r="C23" s="109"/>
      <c r="D23" s="109"/>
      <c r="E23" s="110"/>
    </row>
    <row r="24" spans="1:5" ht="18.75" x14ac:dyDescent="0.2">
      <c r="A24" s="127"/>
      <c r="B24" s="110"/>
      <c r="C24" s="109"/>
      <c r="D24" s="109"/>
      <c r="E24" s="110"/>
    </row>
    <row r="25" spans="1:5" ht="21.95" customHeight="1" x14ac:dyDescent="0.2">
      <c r="A25" s="1"/>
      <c r="B25" s="1"/>
      <c r="C25" s="1"/>
      <c r="D25" s="1"/>
      <c r="E25" s="1"/>
    </row>
    <row r="26" spans="1:5" ht="21.95" customHeight="1" x14ac:dyDescent="0.2">
      <c r="A26" s="1"/>
      <c r="B26" s="1"/>
      <c r="C26" s="1"/>
      <c r="D26" s="1"/>
      <c r="E26" s="1"/>
    </row>
    <row r="27" spans="1:5" ht="20.25" customHeight="1" x14ac:dyDescent="0.2">
      <c r="A27" s="1"/>
      <c r="B27" s="1"/>
      <c r="C27" s="1"/>
      <c r="D27" s="1"/>
      <c r="E27" s="1"/>
    </row>
    <row r="28" spans="1:5" ht="21.95" customHeight="1" x14ac:dyDescent="0.2">
      <c r="A28" s="1"/>
      <c r="B28" s="1"/>
      <c r="C28" s="1"/>
      <c r="D28" s="1"/>
      <c r="E28" s="1"/>
    </row>
    <row r="29" spans="1:5" ht="21.95" customHeight="1" x14ac:dyDescent="0.2">
      <c r="A29" s="1"/>
      <c r="B29" s="1"/>
      <c r="C29" s="1"/>
      <c r="D29" s="1"/>
      <c r="E29" s="1"/>
    </row>
    <row r="30" spans="1:5" ht="21.95" customHeight="1" x14ac:dyDescent="0.2">
      <c r="A30" s="1"/>
      <c r="B30" s="1"/>
      <c r="C30" s="1"/>
      <c r="D30" s="1"/>
      <c r="E30" s="1"/>
    </row>
    <row r="31" spans="1:5" ht="21.95" customHeight="1" x14ac:dyDescent="0.2">
      <c r="A31" s="1"/>
      <c r="B31" s="1"/>
      <c r="C31" s="1"/>
      <c r="D31" s="1"/>
      <c r="E31" s="1"/>
    </row>
    <row r="32" spans="1:5" ht="21.95" customHeight="1" x14ac:dyDescent="0.2">
      <c r="A32" s="1"/>
      <c r="B32" s="1"/>
      <c r="C32" s="1"/>
      <c r="D32" s="1"/>
      <c r="E32" s="1"/>
    </row>
    <row r="33" spans="1:5" ht="21.95" customHeight="1" x14ac:dyDescent="0.2">
      <c r="A33" s="1"/>
      <c r="B33" s="1"/>
      <c r="C33" s="1"/>
      <c r="D33" s="1"/>
      <c r="E33" s="1"/>
    </row>
  </sheetData>
  <sheetProtection selectLockedCells="1"/>
  <mergeCells count="10">
    <mergeCell ref="A1:E1"/>
    <mergeCell ref="B4:E4"/>
    <mergeCell ref="B5:E5"/>
    <mergeCell ref="B6:E6"/>
    <mergeCell ref="B7:C7"/>
    <mergeCell ref="B8:C8"/>
    <mergeCell ref="B9:E9"/>
    <mergeCell ref="B10:E10"/>
    <mergeCell ref="A2:E2"/>
    <mergeCell ref="A3:E3"/>
  </mergeCells>
  <pageMargins left="0.45" right="0.45" top="0.5" bottom="0.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Sheet4!$C$1:$C$408</xm:f>
          </x14:formula1>
          <xm:sqref>B9:E9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E611"/>
  <sheetViews>
    <sheetView workbookViewId="0">
      <selection sqref="A1:B1048576"/>
    </sheetView>
  </sheetViews>
  <sheetFormatPr defaultRowHeight="15" x14ac:dyDescent="0.25"/>
  <cols>
    <col min="1" max="1" width="6" style="83" customWidth="1"/>
    <col min="2" max="2" width="55.33203125" style="84" bestFit="1" customWidth="1"/>
    <col min="3" max="3" width="55.33203125" style="84" customWidth="1"/>
    <col min="4" max="4" width="11.33203125" style="86" customWidth="1"/>
    <col min="5" max="5" width="13.33203125" style="103" customWidth="1"/>
  </cols>
  <sheetData>
    <row r="1" spans="1:5" ht="15.75" thickBot="1" x14ac:dyDescent="0.3">
      <c r="A1" s="68" t="s">
        <v>128</v>
      </c>
      <c r="B1" s="87" t="s">
        <v>129</v>
      </c>
      <c r="C1" s="87" t="s">
        <v>1305</v>
      </c>
      <c r="D1" s="69" t="s">
        <v>130</v>
      </c>
      <c r="E1" s="99" t="s">
        <v>131</v>
      </c>
    </row>
    <row r="2" spans="1:5" ht="12.75" x14ac:dyDescent="0.2">
      <c r="A2" s="72" t="s">
        <v>132</v>
      </c>
      <c r="B2" s="90" t="s">
        <v>133</v>
      </c>
      <c r="C2" s="104" t="str">
        <f t="shared" ref="C2:C65" si="0">A2&amp;" "&amp;B2&amp;"|"&amp;" "&amp;"(DUNS#)"&amp;"  "&amp;E2</f>
        <v>0015 Adams Central Community Schools | (DUNS#)  092039999</v>
      </c>
      <c r="D2" s="71">
        <f t="shared" ref="D2:D65" si="1">VLOOKUP(A2,ICR,3,FALSE)</f>
        <v>1.2200000000000001E-2</v>
      </c>
      <c r="E2" s="72" t="s">
        <v>134</v>
      </c>
    </row>
    <row r="3" spans="1:5" ht="12.75" x14ac:dyDescent="0.2">
      <c r="A3" s="72" t="s">
        <v>135</v>
      </c>
      <c r="B3" s="89" t="s">
        <v>136</v>
      </c>
      <c r="C3" s="104" t="str">
        <f t="shared" si="0"/>
        <v>0025 North Adams Community Schools | (DUNS#)  088744172</v>
      </c>
      <c r="D3" s="71">
        <f t="shared" si="1"/>
        <v>5.8999999999999999E-3</v>
      </c>
      <c r="E3" s="72" t="s">
        <v>137</v>
      </c>
    </row>
    <row r="4" spans="1:5" ht="12.75" x14ac:dyDescent="0.2">
      <c r="A4" s="72" t="s">
        <v>138</v>
      </c>
      <c r="B4" s="89" t="s">
        <v>139</v>
      </c>
      <c r="C4" s="104" t="str">
        <f t="shared" si="0"/>
        <v>0035 South Adams Schools           | (DUNS#)  086775111</v>
      </c>
      <c r="D4" s="71" t="e">
        <f t="shared" si="1"/>
        <v>#N/A</v>
      </c>
      <c r="E4" s="72" t="s">
        <v>140</v>
      </c>
    </row>
    <row r="5" spans="1:5" ht="14.45" customHeight="1" x14ac:dyDescent="0.2">
      <c r="A5" s="72" t="s">
        <v>141</v>
      </c>
      <c r="B5" s="89" t="s">
        <v>142</v>
      </c>
      <c r="C5" s="104" t="str">
        <f t="shared" si="0"/>
        <v>0125 M S D Southwest Allen County  | (DUNS#)  100021062</v>
      </c>
      <c r="D5" s="71" t="e">
        <f t="shared" si="1"/>
        <v>#N/A</v>
      </c>
      <c r="E5" s="72" t="s">
        <v>1272</v>
      </c>
    </row>
    <row r="6" spans="1:5" ht="12.75" x14ac:dyDescent="0.2">
      <c r="A6" s="72" t="s">
        <v>143</v>
      </c>
      <c r="B6" s="89" t="s">
        <v>144</v>
      </c>
      <c r="C6" s="104" t="str">
        <f t="shared" si="0"/>
        <v>0225 Northwest Allen County Schools| (DUNS#)  086772571</v>
      </c>
      <c r="D6" s="71" t="e">
        <f t="shared" si="1"/>
        <v>#N/A</v>
      </c>
      <c r="E6" s="72" t="s">
        <v>145</v>
      </c>
    </row>
    <row r="7" spans="1:5" ht="12.75" x14ac:dyDescent="0.2">
      <c r="A7" s="72" t="s">
        <v>146</v>
      </c>
      <c r="B7" s="89" t="s">
        <v>147</v>
      </c>
      <c r="C7" s="104" t="str">
        <f t="shared" si="0"/>
        <v>0235 Fort Wayne Community Schools  | (DUNS#)  74307463</v>
      </c>
      <c r="D7" s="71">
        <f t="shared" si="1"/>
        <v>4.36E-2</v>
      </c>
      <c r="E7" s="72" t="s">
        <v>1260</v>
      </c>
    </row>
    <row r="8" spans="1:5" ht="12.75" x14ac:dyDescent="0.2">
      <c r="A8" s="72" t="s">
        <v>148</v>
      </c>
      <c r="B8" s="89" t="s">
        <v>149</v>
      </c>
      <c r="C8" s="104" t="str">
        <f t="shared" si="0"/>
        <v>0255 East Allen County Schools     | (DUNS#)  70980388</v>
      </c>
      <c r="D8" s="71">
        <f t="shared" si="1"/>
        <v>2.76E-2</v>
      </c>
      <c r="E8" s="72" t="s">
        <v>1254</v>
      </c>
    </row>
    <row r="9" spans="1:5" ht="12.75" x14ac:dyDescent="0.2">
      <c r="A9" s="72" t="s">
        <v>150</v>
      </c>
      <c r="B9" s="89" t="s">
        <v>151</v>
      </c>
      <c r="C9" s="104" t="str">
        <f t="shared" si="0"/>
        <v>0365 Bartholomew Con School Corp   | (DUNS#)  072067846</v>
      </c>
      <c r="D9" s="71">
        <f t="shared" si="1"/>
        <v>1.29E-2</v>
      </c>
      <c r="E9" s="72" t="s">
        <v>152</v>
      </c>
    </row>
    <row r="10" spans="1:5" ht="12.75" x14ac:dyDescent="0.2">
      <c r="A10" s="72" t="s">
        <v>153</v>
      </c>
      <c r="B10" s="89" t="s">
        <v>154</v>
      </c>
      <c r="C10" s="104" t="str">
        <f t="shared" si="0"/>
        <v>0370 Flat Rock-Hawcreek School Corp| (DUNS#)  050430644</v>
      </c>
      <c r="D10" s="71" t="e">
        <f t="shared" si="1"/>
        <v>#N/A</v>
      </c>
      <c r="E10" s="72" t="s">
        <v>155</v>
      </c>
    </row>
    <row r="11" spans="1:5" ht="12.75" x14ac:dyDescent="0.2">
      <c r="A11" s="72" t="s">
        <v>156</v>
      </c>
      <c r="B11" s="89" t="s">
        <v>157</v>
      </c>
      <c r="C11" s="104" t="str">
        <f t="shared" si="0"/>
        <v>0395 Benton Community School Corp  | (DUNS#)  075981969</v>
      </c>
      <c r="D11" s="71">
        <f t="shared" si="1"/>
        <v>2.7300000000000001E-2</v>
      </c>
      <c r="E11" s="72" t="s">
        <v>158</v>
      </c>
    </row>
    <row r="12" spans="1:5" ht="12.75" x14ac:dyDescent="0.2">
      <c r="A12" s="72" t="s">
        <v>159</v>
      </c>
      <c r="B12" s="89" t="s">
        <v>160</v>
      </c>
      <c r="C12" s="104" t="str">
        <f t="shared" si="0"/>
        <v>0515 Blackford County Schools      | (DUNS#)  133501312</v>
      </c>
      <c r="D12" s="71">
        <f t="shared" si="1"/>
        <v>2.29E-2</v>
      </c>
      <c r="E12" s="72" t="s">
        <v>161</v>
      </c>
    </row>
    <row r="13" spans="1:5" ht="12.75" x14ac:dyDescent="0.2">
      <c r="A13" s="72" t="s">
        <v>162</v>
      </c>
      <c r="B13" s="89" t="s">
        <v>163</v>
      </c>
      <c r="C13" s="104" t="str">
        <f t="shared" si="0"/>
        <v>0615 Western Boone Co Com Sch Dist | (DUNS#)  100744200</v>
      </c>
      <c r="D13" s="71" t="e">
        <f t="shared" si="1"/>
        <v>#N/A</v>
      </c>
      <c r="E13" s="72" t="s">
        <v>164</v>
      </c>
    </row>
    <row r="14" spans="1:5" ht="12.75" x14ac:dyDescent="0.2">
      <c r="A14" s="72" t="s">
        <v>165</v>
      </c>
      <c r="B14" s="89" t="s">
        <v>166</v>
      </c>
      <c r="C14" s="104" t="str">
        <f t="shared" si="0"/>
        <v>0630 Zionsville Community Schools| (DUNS#)  072057698</v>
      </c>
      <c r="D14" s="71">
        <f t="shared" si="1"/>
        <v>1.9E-2</v>
      </c>
      <c r="E14" s="72" t="s">
        <v>167</v>
      </c>
    </row>
    <row r="15" spans="1:5" ht="12.75" x14ac:dyDescent="0.2">
      <c r="A15" s="72" t="s">
        <v>168</v>
      </c>
      <c r="B15" s="89" t="s">
        <v>169</v>
      </c>
      <c r="C15" s="104" t="str">
        <f t="shared" si="0"/>
        <v>0665 Lebanon Community School Corp | (DUNS#)  072061054</v>
      </c>
      <c r="D15" s="71" t="e">
        <f t="shared" si="1"/>
        <v>#N/A</v>
      </c>
      <c r="E15" s="72" t="s">
        <v>170</v>
      </c>
    </row>
    <row r="16" spans="1:5" ht="12.75" x14ac:dyDescent="0.2">
      <c r="A16" s="72" t="s">
        <v>171</v>
      </c>
      <c r="B16" s="89" t="s">
        <v>172</v>
      </c>
      <c r="C16" s="104" t="str">
        <f t="shared" si="0"/>
        <v>0670 County School Corp Of Brown Co| (DUNS#)  117336206</v>
      </c>
      <c r="D16" s="71" t="e">
        <f t="shared" si="1"/>
        <v>#N/A</v>
      </c>
      <c r="E16" s="72" t="s">
        <v>173</v>
      </c>
    </row>
    <row r="17" spans="1:5" ht="12.75" x14ac:dyDescent="0.2">
      <c r="A17" s="72" t="s">
        <v>174</v>
      </c>
      <c r="B17" s="89" t="s">
        <v>175</v>
      </c>
      <c r="C17" s="104" t="str">
        <f t="shared" si="0"/>
        <v>0750 Carroll Consolidated Sch Corp | (DUNS#)  072055221</v>
      </c>
      <c r="D17" s="71">
        <f t="shared" si="1"/>
        <v>1.7000000000000001E-2</v>
      </c>
      <c r="E17" s="72" t="s">
        <v>176</v>
      </c>
    </row>
    <row r="18" spans="1:5" ht="12.75" x14ac:dyDescent="0.2">
      <c r="A18" s="72" t="s">
        <v>177</v>
      </c>
      <c r="B18" s="89" t="s">
        <v>178</v>
      </c>
      <c r="C18" s="104" t="str">
        <f t="shared" si="0"/>
        <v>0755 Delphi Community School Corp  | (DUNS#)  098146673</v>
      </c>
      <c r="D18" s="71">
        <f t="shared" si="1"/>
        <v>7.1000000000000004E-3</v>
      </c>
      <c r="E18" s="72" t="s">
        <v>179</v>
      </c>
    </row>
    <row r="19" spans="1:5" ht="12.75" x14ac:dyDescent="0.2">
      <c r="A19" s="72" t="s">
        <v>180</v>
      </c>
      <c r="B19" s="89" t="s">
        <v>181</v>
      </c>
      <c r="C19" s="104" t="str">
        <f t="shared" si="0"/>
        <v>0775 Pioneer Regional School Corp  | (DUNS#)  040283236</v>
      </c>
      <c r="D19" s="71" t="e">
        <f t="shared" si="1"/>
        <v>#N/A</v>
      </c>
      <c r="E19" s="72" t="s">
        <v>182</v>
      </c>
    </row>
    <row r="20" spans="1:5" ht="12.75" x14ac:dyDescent="0.2">
      <c r="A20" s="72" t="s">
        <v>183</v>
      </c>
      <c r="B20" s="89" t="s">
        <v>184</v>
      </c>
      <c r="C20" s="104" t="str">
        <f t="shared" si="0"/>
        <v>0815 Lewis Cass Schools | (DUNS#)  094563053</v>
      </c>
      <c r="D20" s="71">
        <f t="shared" si="1"/>
        <v>8.9999999999999993E-3</v>
      </c>
      <c r="E20" s="72" t="s">
        <v>185</v>
      </c>
    </row>
    <row r="21" spans="1:5" ht="12.75" x14ac:dyDescent="0.2">
      <c r="A21" s="72" t="s">
        <v>186</v>
      </c>
      <c r="B21" s="89" t="s">
        <v>187</v>
      </c>
      <c r="C21" s="104" t="str">
        <f t="shared" si="0"/>
        <v>0875 Logansport Community Sch Corp | (DUNS#)  78907540</v>
      </c>
      <c r="D21" s="71">
        <f t="shared" si="1"/>
        <v>9.7999999999999997E-3</v>
      </c>
      <c r="E21" s="72" t="s">
        <v>1270</v>
      </c>
    </row>
    <row r="22" spans="1:5" ht="12.75" x14ac:dyDescent="0.2">
      <c r="A22" s="72" t="s">
        <v>188</v>
      </c>
      <c r="B22" s="89" t="s">
        <v>189</v>
      </c>
      <c r="C22" s="104" t="str">
        <f t="shared" si="0"/>
        <v>0940 West Clark Community Schools  | (DUNS#)  077851129</v>
      </c>
      <c r="D22" s="71" t="e">
        <f t="shared" si="1"/>
        <v>#N/A</v>
      </c>
      <c r="E22" s="72" t="s">
        <v>190</v>
      </c>
    </row>
    <row r="23" spans="1:5" ht="12.75" x14ac:dyDescent="0.2">
      <c r="A23" s="72" t="s">
        <v>191</v>
      </c>
      <c r="B23" s="89" t="s">
        <v>192</v>
      </c>
      <c r="C23" s="104" t="str">
        <f t="shared" si="0"/>
        <v>1000 Clarksville Com School Corp   | (DUNS#)  012274262</v>
      </c>
      <c r="D23" s="71" t="e">
        <f t="shared" si="1"/>
        <v>#N/A</v>
      </c>
      <c r="E23" s="72" t="s">
        <v>193</v>
      </c>
    </row>
    <row r="24" spans="1:5" ht="12.75" x14ac:dyDescent="0.2">
      <c r="A24" s="72" t="s">
        <v>194</v>
      </c>
      <c r="B24" s="89" t="s">
        <v>195</v>
      </c>
      <c r="C24" s="104" t="str">
        <f t="shared" si="0"/>
        <v>1010 Greater Clark County Schools  | (DUNS#)  71329338</v>
      </c>
      <c r="D24" s="71" t="e">
        <f t="shared" si="1"/>
        <v>#N/A</v>
      </c>
      <c r="E24" s="72" t="s">
        <v>1262</v>
      </c>
    </row>
    <row r="25" spans="1:5" ht="12.75" x14ac:dyDescent="0.2">
      <c r="A25" s="72" t="s">
        <v>196</v>
      </c>
      <c r="B25" s="89" t="s">
        <v>197</v>
      </c>
      <c r="C25" s="104" t="str">
        <f t="shared" si="0"/>
        <v>1125 Clay Community Schools        | (DUNS#)  079583597</v>
      </c>
      <c r="D25" s="71" t="e">
        <f t="shared" si="1"/>
        <v>#N/A</v>
      </c>
      <c r="E25" s="72" t="s">
        <v>198</v>
      </c>
    </row>
    <row r="26" spans="1:5" ht="12.75" x14ac:dyDescent="0.2">
      <c r="A26" s="72" t="s">
        <v>199</v>
      </c>
      <c r="B26" s="89" t="s">
        <v>200</v>
      </c>
      <c r="C26" s="104" t="str">
        <f t="shared" si="0"/>
        <v>1150 Clinton Central School Corp   | (DUNS#)  050445774</v>
      </c>
      <c r="D26" s="71" t="e">
        <f t="shared" si="1"/>
        <v>#N/A</v>
      </c>
      <c r="E26" s="72" t="s">
        <v>201</v>
      </c>
    </row>
    <row r="27" spans="1:5" ht="12.75" x14ac:dyDescent="0.2">
      <c r="A27" s="72" t="s">
        <v>202</v>
      </c>
      <c r="B27" s="89" t="s">
        <v>203</v>
      </c>
      <c r="C27" s="104" t="str">
        <f t="shared" si="0"/>
        <v>1160 Clinton Prairie School Corp   | (DUNS#)  050447325</v>
      </c>
      <c r="D27" s="71" t="e">
        <f t="shared" si="1"/>
        <v>#N/A</v>
      </c>
      <c r="E27" s="72" t="s">
        <v>204</v>
      </c>
    </row>
    <row r="28" spans="1:5" ht="12.75" x14ac:dyDescent="0.2">
      <c r="A28" s="72" t="s">
        <v>205</v>
      </c>
      <c r="B28" s="89" t="s">
        <v>206</v>
      </c>
      <c r="C28" s="104" t="str">
        <f t="shared" si="0"/>
        <v>1170 Community Schools Of Frankfort| (DUNS#)  183978436</v>
      </c>
      <c r="D28" s="71">
        <f t="shared" si="1"/>
        <v>2.46E-2</v>
      </c>
      <c r="E28" s="72" t="s">
        <v>1251</v>
      </c>
    </row>
    <row r="29" spans="1:5" ht="12.75" x14ac:dyDescent="0.2">
      <c r="A29" s="72" t="s">
        <v>207</v>
      </c>
      <c r="B29" s="89" t="s">
        <v>208</v>
      </c>
      <c r="C29" s="104" t="str">
        <f t="shared" si="0"/>
        <v>1180 Rossville Con School District | (DUNS#)  050454834</v>
      </c>
      <c r="D29" s="71" t="e">
        <f t="shared" si="1"/>
        <v>#N/A</v>
      </c>
      <c r="E29" s="72" t="s">
        <v>209</v>
      </c>
    </row>
    <row r="30" spans="1:5" ht="12.75" x14ac:dyDescent="0.2">
      <c r="A30" s="72" t="s">
        <v>210</v>
      </c>
      <c r="B30" s="89" t="s">
        <v>211</v>
      </c>
      <c r="C30" s="104" t="str">
        <f t="shared" si="0"/>
        <v>1300 Crawford Co Com School Corp   | (DUNS#)  193220894</v>
      </c>
      <c r="D30" s="71" t="e">
        <f t="shared" si="1"/>
        <v>#N/A</v>
      </c>
      <c r="E30" s="72" t="s">
        <v>212</v>
      </c>
    </row>
    <row r="31" spans="1:5" ht="12.75" x14ac:dyDescent="0.2">
      <c r="A31" s="72" t="s">
        <v>213</v>
      </c>
      <c r="B31" s="89" t="s">
        <v>214</v>
      </c>
      <c r="C31" s="104" t="str">
        <f t="shared" si="0"/>
        <v>1315 Barr-Reeve Com Schools Inc    | (DUNS#)  172153579</v>
      </c>
      <c r="D31" s="71" t="e">
        <f t="shared" si="1"/>
        <v>#N/A</v>
      </c>
      <c r="E31" s="72" t="s">
        <v>215</v>
      </c>
    </row>
    <row r="32" spans="1:5" ht="12.75" x14ac:dyDescent="0.2">
      <c r="A32" s="72" t="s">
        <v>216</v>
      </c>
      <c r="B32" s="89" t="s">
        <v>217</v>
      </c>
      <c r="C32" s="104" t="str">
        <f t="shared" si="0"/>
        <v>1375 North Daviess Com Schools  | (DUNS#)  179323910</v>
      </c>
      <c r="D32" s="71">
        <f t="shared" si="1"/>
        <v>5.7000000000000002E-3</v>
      </c>
      <c r="E32" s="72" t="s">
        <v>218</v>
      </c>
    </row>
    <row r="33" spans="1:5" ht="12.75" x14ac:dyDescent="0.2">
      <c r="A33" s="72" t="s">
        <v>219</v>
      </c>
      <c r="B33" s="89" t="s">
        <v>220</v>
      </c>
      <c r="C33" s="104" t="str">
        <f t="shared" si="0"/>
        <v>1405 Washington Com Schools Inc    | (DUNS#)  100224864</v>
      </c>
      <c r="D33" s="71" t="e">
        <f t="shared" si="1"/>
        <v>#N/A</v>
      </c>
      <c r="E33" s="72" t="s">
        <v>221</v>
      </c>
    </row>
    <row r="34" spans="1:5" ht="12.75" x14ac:dyDescent="0.2">
      <c r="A34" s="72" t="s">
        <v>222</v>
      </c>
      <c r="B34" s="89" t="s">
        <v>223</v>
      </c>
      <c r="C34" s="104" t="str">
        <f t="shared" si="0"/>
        <v>1560 Sunman-Dearborn Com Sch Corp  | (DUNS#)  092824929</v>
      </c>
      <c r="D34" s="71">
        <f t="shared" si="1"/>
        <v>4.7999999999999996E-3</v>
      </c>
      <c r="E34" s="72" t="s">
        <v>224</v>
      </c>
    </row>
    <row r="35" spans="1:5" ht="14.45" customHeight="1" x14ac:dyDescent="0.2">
      <c r="A35" s="72" t="s">
        <v>225</v>
      </c>
      <c r="B35" s="89" t="s">
        <v>226</v>
      </c>
      <c r="C35" s="104" t="str">
        <f t="shared" si="0"/>
        <v>1600 South Dearborn Com School Corp| (DUNS#)  060908993</v>
      </c>
      <c r="D35" s="71">
        <f t="shared" si="1"/>
        <v>2.75E-2</v>
      </c>
      <c r="E35" s="72" t="s">
        <v>227</v>
      </c>
    </row>
    <row r="36" spans="1:5" ht="12.75" x14ac:dyDescent="0.2">
      <c r="A36" s="72" t="s">
        <v>228</v>
      </c>
      <c r="B36" s="89" t="s">
        <v>229</v>
      </c>
      <c r="C36" s="104" t="str">
        <f t="shared" si="0"/>
        <v>1620 Lawrenceburg Com School Corp  | (DUNS#)  039748264</v>
      </c>
      <c r="D36" s="71" t="e">
        <f t="shared" si="1"/>
        <v>#N/A</v>
      </c>
      <c r="E36" s="72" t="s">
        <v>230</v>
      </c>
    </row>
    <row r="37" spans="1:5" ht="12.75" x14ac:dyDescent="0.2">
      <c r="A37" s="72" t="s">
        <v>231</v>
      </c>
      <c r="B37" s="89" t="s">
        <v>232</v>
      </c>
      <c r="C37" s="104" t="str">
        <f t="shared" si="0"/>
        <v>1655 Decatur County Com Schools    | (DUNS#)  087041513</v>
      </c>
      <c r="D37" s="71" t="e">
        <f t="shared" si="1"/>
        <v>#N/A</v>
      </c>
      <c r="E37" s="72" t="s">
        <v>233</v>
      </c>
    </row>
    <row r="38" spans="1:5" ht="12.75" x14ac:dyDescent="0.2">
      <c r="A38" s="72" t="s">
        <v>234</v>
      </c>
      <c r="B38" s="89" t="s">
        <v>235</v>
      </c>
      <c r="C38" s="104" t="str">
        <f t="shared" si="0"/>
        <v>1730 Greensburg Community Schools  | (DUNS#)  072056856</v>
      </c>
      <c r="D38" s="71" t="e">
        <f t="shared" si="1"/>
        <v>#N/A</v>
      </c>
      <c r="E38" s="72" t="s">
        <v>236</v>
      </c>
    </row>
    <row r="39" spans="1:5" ht="12.75" x14ac:dyDescent="0.2">
      <c r="A39" s="72" t="s">
        <v>237</v>
      </c>
      <c r="B39" s="89" t="s">
        <v>238</v>
      </c>
      <c r="C39" s="104" t="str">
        <f t="shared" si="0"/>
        <v>1805 Dekalb Co Eastern Com Sch Dist| (DUNS#)  078918307</v>
      </c>
      <c r="D39" s="71" t="e">
        <f t="shared" si="1"/>
        <v>#N/A</v>
      </c>
      <c r="E39" s="72" t="s">
        <v>239</v>
      </c>
    </row>
    <row r="40" spans="1:5" ht="12.75" x14ac:dyDescent="0.2">
      <c r="A40" s="72" t="s">
        <v>240</v>
      </c>
      <c r="B40" s="89" t="s">
        <v>241</v>
      </c>
      <c r="C40" s="104" t="str">
        <f t="shared" si="0"/>
        <v>1820 Garrett-Keyser-Butler Com     | (DUNS#)  049600596</v>
      </c>
      <c r="D40" s="71" t="e">
        <f t="shared" si="1"/>
        <v>#N/A</v>
      </c>
      <c r="E40" s="72" t="s">
        <v>242</v>
      </c>
    </row>
    <row r="41" spans="1:5" ht="12.75" x14ac:dyDescent="0.2">
      <c r="A41" s="72" t="s">
        <v>243</v>
      </c>
      <c r="B41" s="89" t="s">
        <v>244</v>
      </c>
      <c r="C41" s="104" t="str">
        <f t="shared" si="0"/>
        <v>1835 Dekalb Co Ctl United Sch Dist | (DUNS#)  050462191</v>
      </c>
      <c r="D41" s="71">
        <f t="shared" si="1"/>
        <v>1.2800000000000001E-2</v>
      </c>
      <c r="E41" s="72" t="s">
        <v>245</v>
      </c>
    </row>
    <row r="42" spans="1:5" ht="12.75" x14ac:dyDescent="0.2">
      <c r="A42" s="72" t="s">
        <v>246</v>
      </c>
      <c r="B42" s="89" t="s">
        <v>247</v>
      </c>
      <c r="C42" s="104" t="str">
        <f t="shared" si="0"/>
        <v>1875 Delaware Community School Corp| (DUNS#)  050463074</v>
      </c>
      <c r="D42" s="71" t="e">
        <f t="shared" si="1"/>
        <v>#N/A</v>
      </c>
      <c r="E42" s="72" t="s">
        <v>248</v>
      </c>
    </row>
    <row r="43" spans="1:5" ht="12.75" x14ac:dyDescent="0.2">
      <c r="A43" s="72" t="s">
        <v>249</v>
      </c>
      <c r="B43" s="89" t="s">
        <v>250</v>
      </c>
      <c r="C43" s="104" t="str">
        <f t="shared" si="0"/>
        <v>1885 Wes-Del Community Schools| (DUNS#)  193091881</v>
      </c>
      <c r="D43" s="71" t="e">
        <f t="shared" si="1"/>
        <v>#N/A</v>
      </c>
      <c r="E43" s="72" t="s">
        <v>1298</v>
      </c>
    </row>
    <row r="44" spans="1:5" ht="12.75" x14ac:dyDescent="0.2">
      <c r="A44" s="72" t="s">
        <v>251</v>
      </c>
      <c r="B44" s="89" t="s">
        <v>252</v>
      </c>
      <c r="C44" s="104" t="str">
        <f t="shared" si="0"/>
        <v>1895 Liberty-Perry Com School Corp | (DUNS#)  049602246</v>
      </c>
      <c r="D44" s="71" t="e">
        <f t="shared" si="1"/>
        <v>#N/A</v>
      </c>
      <c r="E44" s="72" t="s">
        <v>253</v>
      </c>
    </row>
    <row r="45" spans="1:5" ht="12.75" x14ac:dyDescent="0.2">
      <c r="A45" s="72" t="s">
        <v>254</v>
      </c>
      <c r="B45" s="89" t="s">
        <v>255</v>
      </c>
      <c r="C45" s="104" t="str">
        <f t="shared" si="0"/>
        <v>1900 Cowan Community School Corp   | (DUNS#)  100741552</v>
      </c>
      <c r="D45" s="71" t="e">
        <f t="shared" si="1"/>
        <v>#N/A</v>
      </c>
      <c r="E45" s="72" t="s">
        <v>256</v>
      </c>
    </row>
    <row r="46" spans="1:5" ht="14.45" customHeight="1" x14ac:dyDescent="0.2">
      <c r="A46" s="72" t="s">
        <v>257</v>
      </c>
      <c r="B46" s="89" t="s">
        <v>258</v>
      </c>
      <c r="C46" s="104" t="str">
        <f t="shared" si="0"/>
        <v>1910 Yorktown Community Schools| (DUNS#)  100648161</v>
      </c>
      <c r="D46" s="71">
        <f t="shared" si="1"/>
        <v>8.5000000000000006E-3</v>
      </c>
      <c r="E46" s="72" t="s">
        <v>259</v>
      </c>
    </row>
    <row r="47" spans="1:5" ht="14.45" customHeight="1" x14ac:dyDescent="0.2">
      <c r="A47" s="72" t="s">
        <v>260</v>
      </c>
      <c r="B47" s="89" t="s">
        <v>261</v>
      </c>
      <c r="C47" s="104" t="str">
        <f t="shared" si="0"/>
        <v>1940 Daleville Community Schools   | (DUNS#)  050466358</v>
      </c>
      <c r="D47" s="71" t="e">
        <f t="shared" si="1"/>
        <v>#N/A</v>
      </c>
      <c r="E47" s="72" t="s">
        <v>262</v>
      </c>
    </row>
    <row r="48" spans="1:5" ht="12.75" x14ac:dyDescent="0.2">
      <c r="A48" s="72" t="s">
        <v>263</v>
      </c>
      <c r="B48" s="89" t="s">
        <v>264</v>
      </c>
      <c r="C48" s="104" t="str">
        <f t="shared" si="0"/>
        <v>1970 Muncie Community Schools      | (DUNS#)  072061641</v>
      </c>
      <c r="D48" s="71">
        <f t="shared" si="1"/>
        <v>1.3100000000000001E-2</v>
      </c>
      <c r="E48" s="72" t="s">
        <v>265</v>
      </c>
    </row>
    <row r="49" spans="1:5" ht="12.75" x14ac:dyDescent="0.2">
      <c r="A49" s="72" t="s">
        <v>266</v>
      </c>
      <c r="B49" s="89" t="s">
        <v>267</v>
      </c>
      <c r="C49" s="104" t="str">
        <f t="shared" si="0"/>
        <v>2040 Northeast Dubois Co Sch Corp  | (DUNS#)  050469485</v>
      </c>
      <c r="D49" s="71" t="e">
        <f t="shared" si="1"/>
        <v>#N/A</v>
      </c>
      <c r="E49" s="72" t="s">
        <v>268</v>
      </c>
    </row>
    <row r="50" spans="1:5" ht="12.75" x14ac:dyDescent="0.2">
      <c r="A50" s="72" t="s">
        <v>269</v>
      </c>
      <c r="B50" s="89" t="s">
        <v>270</v>
      </c>
      <c r="C50" s="104" t="str">
        <f t="shared" si="0"/>
        <v>2100 Southeast Dubois Co Sch Corp| (DUNS#)  082318619</v>
      </c>
      <c r="D50" s="71">
        <f t="shared" si="1"/>
        <v>0</v>
      </c>
      <c r="E50" s="72" t="s">
        <v>271</v>
      </c>
    </row>
    <row r="51" spans="1:5" ht="12.75" x14ac:dyDescent="0.2">
      <c r="A51" s="72" t="s">
        <v>272</v>
      </c>
      <c r="B51" s="89" t="s">
        <v>273</v>
      </c>
      <c r="C51" s="104" t="str">
        <f t="shared" si="0"/>
        <v>2110 Southwest Dubois Co Sch Corp  | (DUNS#)  100021955</v>
      </c>
      <c r="D51" s="71">
        <f t="shared" si="1"/>
        <v>1.2500000000000001E-2</v>
      </c>
      <c r="E51" s="72" t="s">
        <v>274</v>
      </c>
    </row>
    <row r="52" spans="1:5" ht="12.75" x14ac:dyDescent="0.2">
      <c r="A52" s="72" t="s">
        <v>275</v>
      </c>
      <c r="B52" s="89" t="s">
        <v>276</v>
      </c>
      <c r="C52" s="104" t="str">
        <f t="shared" si="0"/>
        <v>2120 Greater Jasper Con Schs       | (DUNS#)  054471610</v>
      </c>
      <c r="D52" s="71">
        <f t="shared" si="1"/>
        <v>8.6999999999999994E-3</v>
      </c>
      <c r="E52" s="72" t="s">
        <v>277</v>
      </c>
    </row>
    <row r="53" spans="1:5" ht="12.75" x14ac:dyDescent="0.2">
      <c r="A53" s="72" t="s">
        <v>278</v>
      </c>
      <c r="B53" s="89" t="s">
        <v>279</v>
      </c>
      <c r="C53" s="104" t="str">
        <f t="shared" si="0"/>
        <v>2155 Fairfield Community Schools   | (DUNS#)  100021336</v>
      </c>
      <c r="D53" s="71">
        <f t="shared" si="1"/>
        <v>7.3000000000000001E-3</v>
      </c>
      <c r="E53" s="72" t="s">
        <v>280</v>
      </c>
    </row>
    <row r="54" spans="1:5" ht="12.75" x14ac:dyDescent="0.2">
      <c r="A54" s="72" t="s">
        <v>281</v>
      </c>
      <c r="B54" s="89" t="s">
        <v>282</v>
      </c>
      <c r="C54" s="104" t="str">
        <f t="shared" si="0"/>
        <v>2260 Baugo Community Schools       | (DUNS#)  835813825</v>
      </c>
      <c r="D54" s="71">
        <f t="shared" si="1"/>
        <v>1.7000000000000001E-2</v>
      </c>
      <c r="E54" s="72" t="s">
        <v>283</v>
      </c>
    </row>
    <row r="55" spans="1:5" ht="12.75" x14ac:dyDescent="0.2">
      <c r="A55" s="72" t="s">
        <v>284</v>
      </c>
      <c r="B55" s="89" t="s">
        <v>285</v>
      </c>
      <c r="C55" s="104" t="str">
        <f t="shared" si="0"/>
        <v>2270 Concord Community Schools     | (DUNS#)  21644778</v>
      </c>
      <c r="D55" s="71">
        <f t="shared" si="1"/>
        <v>2.5000000000000001E-2</v>
      </c>
      <c r="E55" s="72" t="s">
        <v>1252</v>
      </c>
    </row>
    <row r="56" spans="1:5" ht="12.75" x14ac:dyDescent="0.2">
      <c r="A56" s="72" t="s">
        <v>286</v>
      </c>
      <c r="B56" s="89" t="s">
        <v>287</v>
      </c>
      <c r="C56" s="104" t="str">
        <f t="shared" si="0"/>
        <v>2275 Middlebury Community Schools  | (DUNS#)  074299710</v>
      </c>
      <c r="D56" s="71">
        <f t="shared" si="1"/>
        <v>1.09E-2</v>
      </c>
      <c r="E56" s="72" t="s">
        <v>288</v>
      </c>
    </row>
    <row r="57" spans="1:5" ht="12.75" x14ac:dyDescent="0.2">
      <c r="A57" s="72" t="s">
        <v>289</v>
      </c>
      <c r="B57" s="89" t="s">
        <v>290</v>
      </c>
      <c r="C57" s="104" t="str">
        <f t="shared" si="0"/>
        <v>2285 Wa-Nee Community Schools      | (DUNS#)  050474857</v>
      </c>
      <c r="D57" s="71">
        <f t="shared" si="1"/>
        <v>2.5100000000000001E-2</v>
      </c>
      <c r="E57" s="72" t="s">
        <v>291</v>
      </c>
    </row>
    <row r="58" spans="1:5" ht="12.75" x14ac:dyDescent="0.2">
      <c r="A58" s="72" t="s">
        <v>292</v>
      </c>
      <c r="B58" s="89" t="s">
        <v>293</v>
      </c>
      <c r="C58" s="104" t="str">
        <f t="shared" si="0"/>
        <v>2305 Elkhart Community Schools     | (DUNS#)  74306465</v>
      </c>
      <c r="D58" s="71">
        <f t="shared" si="1"/>
        <v>3.32E-2</v>
      </c>
      <c r="E58" s="72" t="s">
        <v>1258</v>
      </c>
    </row>
    <row r="59" spans="1:5" ht="12.75" x14ac:dyDescent="0.2">
      <c r="A59" s="72" t="s">
        <v>294</v>
      </c>
      <c r="B59" s="89" t="s">
        <v>295</v>
      </c>
      <c r="C59" s="104" t="str">
        <f t="shared" si="0"/>
        <v>2315 Goshen Community Schools      | (DUNS#)  074332388</v>
      </c>
      <c r="D59" s="71">
        <f t="shared" si="1"/>
        <v>3.0700000000000002E-2</v>
      </c>
      <c r="E59" s="72" t="s">
        <v>296</v>
      </c>
    </row>
    <row r="60" spans="1:5" ht="12.75" x14ac:dyDescent="0.2">
      <c r="A60" s="72" t="s">
        <v>297</v>
      </c>
      <c r="B60" s="89" t="s">
        <v>298</v>
      </c>
      <c r="C60" s="104" t="str">
        <f t="shared" si="0"/>
        <v>2395 Fayette County School Corp    | (DUNS#)  081522815</v>
      </c>
      <c r="D60" s="71">
        <f t="shared" si="1"/>
        <v>4.19E-2</v>
      </c>
      <c r="E60" s="72" t="s">
        <v>299</v>
      </c>
    </row>
    <row r="61" spans="1:5" ht="12.75" x14ac:dyDescent="0.2">
      <c r="A61" s="72" t="s">
        <v>300</v>
      </c>
      <c r="B61" s="89" t="s">
        <v>301</v>
      </c>
      <c r="C61" s="104" t="str">
        <f t="shared" si="0"/>
        <v>2400 New Albany-Floyd Co Con Sch   | (DUNS#)  074065061</v>
      </c>
      <c r="D61" s="71">
        <f t="shared" si="1"/>
        <v>1.0200000000000001E-2</v>
      </c>
      <c r="E61" s="72" t="s">
        <v>302</v>
      </c>
    </row>
    <row r="62" spans="1:5" ht="12.75" x14ac:dyDescent="0.2">
      <c r="A62" s="72" t="s">
        <v>303</v>
      </c>
      <c r="B62" s="89" t="s">
        <v>304</v>
      </c>
      <c r="C62" s="104" t="str">
        <f t="shared" si="0"/>
        <v>2435 Attica Consolidated Sch Corp  | (DUNS#)  835813742</v>
      </c>
      <c r="D62" s="71" t="e">
        <f t="shared" si="1"/>
        <v>#N/A</v>
      </c>
      <c r="E62" s="72" t="s">
        <v>305</v>
      </c>
    </row>
    <row r="63" spans="1:5" ht="12.75" x14ac:dyDescent="0.2">
      <c r="A63" s="72" t="s">
        <v>306</v>
      </c>
      <c r="B63" s="89" t="s">
        <v>307</v>
      </c>
      <c r="C63" s="104" t="str">
        <f t="shared" si="0"/>
        <v>2440 Covington Community Sch Corp  | (DUNS#)  089274880</v>
      </c>
      <c r="D63" s="71" t="e">
        <f t="shared" si="1"/>
        <v>#N/A</v>
      </c>
      <c r="E63" s="72" t="s">
        <v>308</v>
      </c>
    </row>
    <row r="64" spans="1:5" ht="12.75" x14ac:dyDescent="0.2">
      <c r="A64" s="72" t="s">
        <v>309</v>
      </c>
      <c r="B64" s="89" t="s">
        <v>310</v>
      </c>
      <c r="C64" s="104" t="str">
        <f t="shared" si="0"/>
        <v>2455 Southeast Fountain School Corp| (DUNS#)  049611130</v>
      </c>
      <c r="D64" s="71" t="e">
        <f t="shared" si="1"/>
        <v>#N/A</v>
      </c>
      <c r="E64" s="72" t="s">
        <v>311</v>
      </c>
    </row>
    <row r="65" spans="1:5" ht="12.75" x14ac:dyDescent="0.2">
      <c r="A65" s="72" t="s">
        <v>312</v>
      </c>
      <c r="B65" s="89" t="s">
        <v>313</v>
      </c>
      <c r="C65" s="104" t="str">
        <f t="shared" si="0"/>
        <v>2475 Franklin County Com Sch Corp  | (DUNS#)  193091501</v>
      </c>
      <c r="D65" s="71" t="e">
        <f t="shared" si="1"/>
        <v>#N/A</v>
      </c>
      <c r="E65" s="72" t="s">
        <v>314</v>
      </c>
    </row>
    <row r="66" spans="1:5" ht="12.75" x14ac:dyDescent="0.2">
      <c r="A66" s="72" t="s">
        <v>315</v>
      </c>
      <c r="B66" s="89" t="s">
        <v>316</v>
      </c>
      <c r="C66" s="104" t="str">
        <f t="shared" ref="C66:C129" si="2">A66&amp;" "&amp;B66&amp;"|"&amp;" "&amp;"(DUNS#)"&amp;"  "&amp;E66</f>
        <v>2645 Rochester Community Sch Corp  | (DUNS#)  789186038</v>
      </c>
      <c r="D66" s="71">
        <f t="shared" ref="D66:D129" si="3">VLOOKUP(A66,ICR,3,FALSE)</f>
        <v>4.7999999999999996E-3</v>
      </c>
      <c r="E66" s="72" t="s">
        <v>317</v>
      </c>
    </row>
    <row r="67" spans="1:5" ht="12.75" x14ac:dyDescent="0.2">
      <c r="A67" s="72" t="s">
        <v>318</v>
      </c>
      <c r="B67" s="89" t="s">
        <v>319</v>
      </c>
      <c r="C67" s="104" t="str">
        <f t="shared" si="2"/>
        <v>2650 Caston School Corporation     | (DUNS#)  086780178</v>
      </c>
      <c r="D67" s="71" t="e">
        <f t="shared" si="3"/>
        <v>#N/A</v>
      </c>
      <c r="E67" s="72" t="s">
        <v>320</v>
      </c>
    </row>
    <row r="68" spans="1:5" ht="12.75" x14ac:dyDescent="0.2">
      <c r="A68" s="72" t="s">
        <v>321</v>
      </c>
      <c r="B68" s="89" t="s">
        <v>322</v>
      </c>
      <c r="C68" s="104" t="str">
        <f t="shared" si="2"/>
        <v>2725 East Gibson School Corporation| (DUNS#)  840606339</v>
      </c>
      <c r="D68" s="71" t="e">
        <f t="shared" si="3"/>
        <v>#N/A</v>
      </c>
      <c r="E68" s="72" t="s">
        <v>323</v>
      </c>
    </row>
    <row r="69" spans="1:5" ht="12.75" x14ac:dyDescent="0.2">
      <c r="A69" s="72" t="s">
        <v>324</v>
      </c>
      <c r="B69" s="89" t="s">
        <v>325</v>
      </c>
      <c r="C69" s="104" t="str">
        <f t="shared" si="2"/>
        <v>2735 North Gibson School Corp      | (DUNS#)  149361151</v>
      </c>
      <c r="D69" s="71" t="e">
        <f t="shared" si="3"/>
        <v>#N/A</v>
      </c>
      <c r="E69" s="72" t="s">
        <v>326</v>
      </c>
    </row>
    <row r="70" spans="1:5" ht="12.75" x14ac:dyDescent="0.2">
      <c r="A70" s="72" t="s">
        <v>327</v>
      </c>
      <c r="B70" s="89" t="s">
        <v>328</v>
      </c>
      <c r="C70" s="104" t="str">
        <f t="shared" si="2"/>
        <v>2765 South Gibson School Corp      | (DUNS#)  050480722</v>
      </c>
      <c r="D70" s="71" t="e">
        <f t="shared" si="3"/>
        <v>#N/A</v>
      </c>
      <c r="E70" s="72" t="s">
        <v>329</v>
      </c>
    </row>
    <row r="71" spans="1:5" ht="12.75" x14ac:dyDescent="0.2">
      <c r="A71" s="72" t="s">
        <v>330</v>
      </c>
      <c r="B71" s="89" t="s">
        <v>331</v>
      </c>
      <c r="C71" s="104" t="str">
        <f t="shared" si="2"/>
        <v>2815 Eastbrook Community Sch Corp  | (DUNS#)  040311284</v>
      </c>
      <c r="D71" s="71">
        <f t="shared" si="3"/>
        <v>5.5599999999999997E-2</v>
      </c>
      <c r="E71" s="72" t="s">
        <v>332</v>
      </c>
    </row>
    <row r="72" spans="1:5" ht="12.75" x14ac:dyDescent="0.2">
      <c r="A72" s="72" t="s">
        <v>333</v>
      </c>
      <c r="B72" s="89" t="s">
        <v>334</v>
      </c>
      <c r="C72" s="104" t="str">
        <f t="shared" si="2"/>
        <v>2825 Madison-Grant United Sch Corp | (DUNS#)  072059751</v>
      </c>
      <c r="D72" s="71">
        <f t="shared" si="3"/>
        <v>7.0900000000000005E-2</v>
      </c>
      <c r="E72" s="72" t="s">
        <v>335</v>
      </c>
    </row>
    <row r="73" spans="1:5" ht="12.75" x14ac:dyDescent="0.2">
      <c r="A73" s="72" t="s">
        <v>336</v>
      </c>
      <c r="B73" s="89" t="s">
        <v>337</v>
      </c>
      <c r="C73" s="104" t="str">
        <f t="shared" si="2"/>
        <v>2855 Mississinewa Com Schools Corp | (DUNS#)  072076664</v>
      </c>
      <c r="D73" s="71" t="e">
        <f t="shared" si="3"/>
        <v>#N/A</v>
      </c>
      <c r="E73" s="72" t="s">
        <v>338</v>
      </c>
    </row>
    <row r="74" spans="1:5" ht="12.75" x14ac:dyDescent="0.2">
      <c r="A74" s="72" t="s">
        <v>339</v>
      </c>
      <c r="B74" s="89" t="s">
        <v>340</v>
      </c>
      <c r="C74" s="104" t="str">
        <f t="shared" si="2"/>
        <v>2865 Marion Community Schools      | (DUNS#)  050481118</v>
      </c>
      <c r="D74" s="71" t="e">
        <f t="shared" si="3"/>
        <v>#N/A</v>
      </c>
      <c r="E74" s="72" t="s">
        <v>341</v>
      </c>
    </row>
    <row r="75" spans="1:5" ht="12.75" x14ac:dyDescent="0.2">
      <c r="A75" s="72" t="s">
        <v>342</v>
      </c>
      <c r="B75" s="89" t="s">
        <v>343</v>
      </c>
      <c r="C75" s="104" t="str">
        <f t="shared" si="2"/>
        <v>2920 Bloomfield School District    | (DUNS#)  100021088</v>
      </c>
      <c r="D75" s="71" t="e">
        <f t="shared" si="3"/>
        <v>#N/A</v>
      </c>
      <c r="E75" s="72" t="s">
        <v>344</v>
      </c>
    </row>
    <row r="76" spans="1:5" ht="12.75" x14ac:dyDescent="0.2">
      <c r="A76" s="72" t="s">
        <v>345</v>
      </c>
      <c r="B76" s="89" t="s">
        <v>346</v>
      </c>
      <c r="C76" s="104" t="str">
        <f t="shared" si="2"/>
        <v>2940 Eastern Sch Dist Of Greene Co | (DUNS#)  787587674</v>
      </c>
      <c r="D76" s="71" t="e">
        <f t="shared" si="3"/>
        <v>#N/A</v>
      </c>
      <c r="E76" s="72" t="s">
        <v>347</v>
      </c>
    </row>
    <row r="77" spans="1:5" ht="12.75" x14ac:dyDescent="0.2">
      <c r="A77" s="72" t="s">
        <v>348</v>
      </c>
      <c r="B77" s="89" t="s">
        <v>349</v>
      </c>
      <c r="C77" s="104" t="str">
        <f t="shared" si="2"/>
        <v>2950 Linton-Stockton School Corp   | (DUNS#)  100021526</v>
      </c>
      <c r="D77" s="71" t="e">
        <f t="shared" si="3"/>
        <v>#N/A</v>
      </c>
      <c r="E77" s="72" t="s">
        <v>350</v>
      </c>
    </row>
    <row r="78" spans="1:5" ht="12.75" x14ac:dyDescent="0.2">
      <c r="A78" s="72" t="s">
        <v>351</v>
      </c>
      <c r="B78" s="89" t="s">
        <v>352</v>
      </c>
      <c r="C78" s="104" t="str">
        <f t="shared" si="2"/>
        <v>2960 M S D Shakamak Schools        | (DUNS#)  797477630</v>
      </c>
      <c r="D78" s="71" t="e">
        <f t="shared" si="3"/>
        <v>#N/A</v>
      </c>
      <c r="E78" s="72" t="s">
        <v>353</v>
      </c>
    </row>
    <row r="79" spans="1:5" ht="12.75" x14ac:dyDescent="0.2">
      <c r="A79" s="72" t="s">
        <v>354</v>
      </c>
      <c r="B79" s="89" t="s">
        <v>355</v>
      </c>
      <c r="C79" s="104" t="str">
        <f t="shared" si="2"/>
        <v>2980 White River Valley Sch Dist   | (DUNS#)  050484146</v>
      </c>
      <c r="D79" s="71" t="e">
        <f t="shared" si="3"/>
        <v>#N/A</v>
      </c>
      <c r="E79" s="72" t="s">
        <v>356</v>
      </c>
    </row>
    <row r="80" spans="1:5" ht="12.75" x14ac:dyDescent="0.2">
      <c r="A80" s="72" t="s">
        <v>357</v>
      </c>
      <c r="B80" s="89" t="s">
        <v>358</v>
      </c>
      <c r="C80" s="104" t="str">
        <f t="shared" si="2"/>
        <v>3005 Hamilton Southeastern Schools | (DUNS#)  040310856</v>
      </c>
      <c r="D80" s="71" t="e">
        <f t="shared" si="3"/>
        <v>#N/A</v>
      </c>
      <c r="E80" s="72" t="s">
        <v>359</v>
      </c>
    </row>
    <row r="81" spans="1:5" ht="12.75" x14ac:dyDescent="0.2">
      <c r="A81" s="72" t="s">
        <v>360</v>
      </c>
      <c r="B81" s="89" t="s">
        <v>361</v>
      </c>
      <c r="C81" s="104" t="str">
        <f t="shared" si="2"/>
        <v>3025 Hamilton Heights School Corp  | (DUNS#)  089270003</v>
      </c>
      <c r="D81" s="71">
        <f t="shared" si="3"/>
        <v>2.4199999999999999E-2</v>
      </c>
      <c r="E81" s="72" t="s">
        <v>362</v>
      </c>
    </row>
    <row r="82" spans="1:5" ht="12.75" x14ac:dyDescent="0.2">
      <c r="A82" s="72" t="s">
        <v>363</v>
      </c>
      <c r="B82" s="89" t="s">
        <v>364</v>
      </c>
      <c r="C82" s="104" t="str">
        <f t="shared" si="2"/>
        <v>3030 Westfield-Washington Schools  | (DUNS#)  100225309</v>
      </c>
      <c r="D82" s="71">
        <f t="shared" si="3"/>
        <v>2.8000000000000001E-2</v>
      </c>
      <c r="E82" s="72" t="s">
        <v>1300</v>
      </c>
    </row>
    <row r="83" spans="1:5" ht="12.75" x14ac:dyDescent="0.2">
      <c r="A83" s="72" t="s">
        <v>365</v>
      </c>
      <c r="B83" s="89" t="s">
        <v>366</v>
      </c>
      <c r="C83" s="104" t="str">
        <f t="shared" si="2"/>
        <v>3055 Sheridan Community Schools| (DUNS#)  050488451</v>
      </c>
      <c r="D83" s="71">
        <f t="shared" si="3"/>
        <v>3.3099999999999997E-2</v>
      </c>
      <c r="E83" s="72" t="s">
        <v>367</v>
      </c>
    </row>
    <row r="84" spans="1:5" ht="12.75" x14ac:dyDescent="0.2">
      <c r="A84" s="72" t="s">
        <v>368</v>
      </c>
      <c r="B84" s="89" t="s">
        <v>369</v>
      </c>
      <c r="C84" s="104" t="str">
        <f t="shared" si="2"/>
        <v>3060 Carmel Clay Schools           | (DUNS#)  072036569</v>
      </c>
      <c r="D84" s="71" t="e">
        <f t="shared" si="3"/>
        <v>#N/A</v>
      </c>
      <c r="E84" s="72" t="s">
        <v>370</v>
      </c>
    </row>
    <row r="85" spans="1:5" ht="12.75" x14ac:dyDescent="0.2">
      <c r="A85" s="72" t="s">
        <v>371</v>
      </c>
      <c r="B85" s="89" t="s">
        <v>372</v>
      </c>
      <c r="C85" s="104" t="str">
        <f t="shared" si="2"/>
        <v>3070 Noblesville Schools           | (DUNS#)  038239430</v>
      </c>
      <c r="D85" s="71" t="e">
        <f t="shared" si="3"/>
        <v>#N/A</v>
      </c>
      <c r="E85" s="72" t="s">
        <v>373</v>
      </c>
    </row>
    <row r="86" spans="1:5" ht="12.75" x14ac:dyDescent="0.2">
      <c r="A86" s="72" t="s">
        <v>374</v>
      </c>
      <c r="B86" s="89" t="s">
        <v>375</v>
      </c>
      <c r="C86" s="104" t="str">
        <f t="shared" si="2"/>
        <v>3115 Southern Hancock Co Com Sch Co| (DUNS#)  081535189</v>
      </c>
      <c r="D86" s="71" t="e">
        <f t="shared" si="3"/>
        <v>#N/A</v>
      </c>
      <c r="E86" s="72" t="s">
        <v>376</v>
      </c>
    </row>
    <row r="87" spans="1:5" ht="12.75" x14ac:dyDescent="0.2">
      <c r="A87" s="72" t="s">
        <v>377</v>
      </c>
      <c r="B87" s="89" t="s">
        <v>378</v>
      </c>
      <c r="C87" s="104" t="str">
        <f t="shared" si="2"/>
        <v>3125 Greenfield-Central Com Schools| (DUNS#)  079574901</v>
      </c>
      <c r="D87" s="71" t="e">
        <f t="shared" si="3"/>
        <v>#N/A</v>
      </c>
      <c r="E87" s="72" t="s">
        <v>379</v>
      </c>
    </row>
    <row r="88" spans="1:5" ht="12.75" x14ac:dyDescent="0.2">
      <c r="A88" s="72" t="s">
        <v>380</v>
      </c>
      <c r="B88" s="89" t="s">
        <v>381</v>
      </c>
      <c r="C88" s="104" t="str">
        <f t="shared" si="2"/>
        <v>3135 Mt Vernon Community Sch Corp  | (DUNS#)  087041216</v>
      </c>
      <c r="D88" s="71" t="e">
        <f t="shared" si="3"/>
        <v>#N/A</v>
      </c>
      <c r="E88" s="72" t="s">
        <v>382</v>
      </c>
    </row>
    <row r="89" spans="1:5" ht="12.75" x14ac:dyDescent="0.2">
      <c r="A89" s="72" t="s">
        <v>383</v>
      </c>
      <c r="B89" s="89" t="s">
        <v>384</v>
      </c>
      <c r="C89" s="104" t="str">
        <f t="shared" si="2"/>
        <v>3145 Eastern Hancock Co Com Sch Cor| (DUNS#)  183978709</v>
      </c>
      <c r="D89" s="71" t="e">
        <f t="shared" si="3"/>
        <v>#N/A</v>
      </c>
      <c r="E89" s="72" t="s">
        <v>385</v>
      </c>
    </row>
    <row r="90" spans="1:5" ht="12.75" x14ac:dyDescent="0.2">
      <c r="A90" s="72" t="s">
        <v>386</v>
      </c>
      <c r="B90" s="89" t="s">
        <v>387</v>
      </c>
      <c r="C90" s="104" t="str">
        <f t="shared" si="2"/>
        <v>3160 Lanesville Community School Co| (DUNS#)  193090610</v>
      </c>
      <c r="D90" s="71" t="e">
        <f t="shared" si="3"/>
        <v>#N/A</v>
      </c>
      <c r="E90" s="72" t="s">
        <v>388</v>
      </c>
    </row>
    <row r="91" spans="1:5" ht="12.75" x14ac:dyDescent="0.2">
      <c r="A91" s="72" t="s">
        <v>389</v>
      </c>
      <c r="B91" s="89" t="s">
        <v>390</v>
      </c>
      <c r="C91" s="104" t="str">
        <f t="shared" si="2"/>
        <v>3180 North Harrison Com School Corp| (DUNS#)  193221116</v>
      </c>
      <c r="D91" s="71" t="e">
        <f t="shared" si="3"/>
        <v>#N/A</v>
      </c>
      <c r="E91" s="72" t="s">
        <v>391</v>
      </c>
    </row>
    <row r="92" spans="1:5" ht="12.75" x14ac:dyDescent="0.2">
      <c r="A92" s="72" t="s">
        <v>392</v>
      </c>
      <c r="B92" s="89" t="s">
        <v>393</v>
      </c>
      <c r="C92" s="104" t="str">
        <f t="shared" si="2"/>
        <v>3190 South Harrison Com Schools    | (DUNS#)  050499326</v>
      </c>
      <c r="D92" s="71" t="e">
        <f t="shared" si="3"/>
        <v>#N/A</v>
      </c>
      <c r="E92" s="72" t="s">
        <v>394</v>
      </c>
    </row>
    <row r="93" spans="1:5" ht="12.75" x14ac:dyDescent="0.2">
      <c r="A93" s="72" t="s">
        <v>395</v>
      </c>
      <c r="B93" s="89" t="s">
        <v>396</v>
      </c>
      <c r="C93" s="104" t="str">
        <f t="shared" si="2"/>
        <v>3295 North West Hendricks Schools| (DUNS#)  087032652</v>
      </c>
      <c r="D93" s="71" t="e">
        <f t="shared" si="3"/>
        <v>#N/A</v>
      </c>
      <c r="E93" s="72" t="s">
        <v>397</v>
      </c>
    </row>
    <row r="94" spans="1:5" ht="12.75" x14ac:dyDescent="0.2">
      <c r="A94" s="72" t="s">
        <v>398</v>
      </c>
      <c r="B94" s="89" t="s">
        <v>399</v>
      </c>
      <c r="C94" s="104" t="str">
        <f t="shared" si="2"/>
        <v>3305 Brownsburg Community Sch Corp | (DUNS#)  102230331</v>
      </c>
      <c r="D94" s="71">
        <f t="shared" si="3"/>
        <v>1.46E-2</v>
      </c>
      <c r="E94" s="72" t="s">
        <v>400</v>
      </c>
    </row>
    <row r="95" spans="1:5" ht="12.75" x14ac:dyDescent="0.2">
      <c r="A95" s="72" t="s">
        <v>401</v>
      </c>
      <c r="B95" s="89" t="s">
        <v>402</v>
      </c>
      <c r="C95" s="104" t="str">
        <f t="shared" si="2"/>
        <v>3315 Avon Community School Corp    | (DUNS#)  050506153</v>
      </c>
      <c r="D95" s="71">
        <f t="shared" si="3"/>
        <v>1.6400000000000001E-2</v>
      </c>
      <c r="E95" s="72" t="s">
        <v>403</v>
      </c>
    </row>
    <row r="96" spans="1:5" ht="12.75" x14ac:dyDescent="0.2">
      <c r="A96" s="72" t="s">
        <v>404</v>
      </c>
      <c r="B96" s="89" t="s">
        <v>405</v>
      </c>
      <c r="C96" s="104" t="str">
        <f t="shared" si="2"/>
        <v>3325 Danville Community School Corp| (DUNS#)  193221132</v>
      </c>
      <c r="D96" s="71" t="e">
        <f t="shared" si="3"/>
        <v>#N/A</v>
      </c>
      <c r="E96" s="72" t="s">
        <v>406</v>
      </c>
    </row>
    <row r="97" spans="1:5" ht="12.75" x14ac:dyDescent="0.2">
      <c r="A97" s="72" t="s">
        <v>407</v>
      </c>
      <c r="B97" s="89" t="s">
        <v>408</v>
      </c>
      <c r="C97" s="104" t="str">
        <f t="shared" si="2"/>
        <v>3330 Plainfield Community Sch Corp | (DUNS#)  050503994</v>
      </c>
      <c r="D97" s="71">
        <f t="shared" si="3"/>
        <v>8.8000000000000005E-3</v>
      </c>
      <c r="E97" s="72" t="s">
        <v>409</v>
      </c>
    </row>
    <row r="98" spans="1:5" ht="12.75" x14ac:dyDescent="0.2">
      <c r="A98" s="72" t="s">
        <v>410</v>
      </c>
      <c r="B98" s="89" t="s">
        <v>411</v>
      </c>
      <c r="C98" s="104" t="str">
        <f t="shared" si="2"/>
        <v>3335 Mill Creek Community Sch Corp | (DUNS#)  087041455</v>
      </c>
      <c r="D98" s="71" t="e">
        <f t="shared" si="3"/>
        <v>#N/A</v>
      </c>
      <c r="E98" s="72" t="s">
        <v>412</v>
      </c>
    </row>
    <row r="99" spans="1:5" ht="12.75" x14ac:dyDescent="0.2">
      <c r="A99" s="72" t="s">
        <v>413</v>
      </c>
      <c r="B99" s="89" t="s">
        <v>414</v>
      </c>
      <c r="C99" s="104" t="str">
        <f t="shared" si="2"/>
        <v>3405 Blue River Valley Schools     | (DUNS#)  100647965</v>
      </c>
      <c r="D99" s="71" t="e">
        <f t="shared" si="3"/>
        <v>#N/A</v>
      </c>
      <c r="E99" s="72" t="s">
        <v>415</v>
      </c>
    </row>
    <row r="100" spans="1:5" ht="12.75" x14ac:dyDescent="0.2">
      <c r="A100" s="72" t="s">
        <v>416</v>
      </c>
      <c r="B100" s="89" t="s">
        <v>417</v>
      </c>
      <c r="C100" s="104" t="str">
        <f t="shared" si="2"/>
        <v>3415 South Henry School Corp       | (DUNS#)  193221165</v>
      </c>
      <c r="D100" s="71" t="e">
        <f t="shared" si="3"/>
        <v>#N/A</v>
      </c>
      <c r="E100" s="72" t="s">
        <v>418</v>
      </c>
    </row>
    <row r="101" spans="1:5" ht="12.75" x14ac:dyDescent="0.2">
      <c r="A101" s="72" t="s">
        <v>419</v>
      </c>
      <c r="B101" s="89" t="s">
        <v>420</v>
      </c>
      <c r="C101" s="104" t="str">
        <f t="shared" si="2"/>
        <v>3435 Shenandoah School Corporation | (DUNS#)  103647285</v>
      </c>
      <c r="D101" s="71" t="e">
        <f t="shared" si="3"/>
        <v>#N/A</v>
      </c>
      <c r="E101" s="72" t="s">
        <v>421</v>
      </c>
    </row>
    <row r="102" spans="1:5" ht="12.75" x14ac:dyDescent="0.2">
      <c r="A102" s="72" t="s">
        <v>422</v>
      </c>
      <c r="B102" s="89" t="s">
        <v>423</v>
      </c>
      <c r="C102" s="104" t="str">
        <f t="shared" si="2"/>
        <v>3445 New Castle Community Sch Corp | (DUNS#)  072065287</v>
      </c>
      <c r="D102" s="71">
        <f t="shared" si="3"/>
        <v>9.1000000000000004E-3</v>
      </c>
      <c r="E102" s="72" t="s">
        <v>424</v>
      </c>
    </row>
    <row r="103" spans="1:5" ht="12.75" x14ac:dyDescent="0.2">
      <c r="A103" s="72" t="s">
        <v>425</v>
      </c>
      <c r="B103" s="89" t="s">
        <v>426</v>
      </c>
      <c r="C103" s="104" t="str">
        <f t="shared" si="2"/>
        <v>3455 C A Beard Memorial School Corp| (DUNS#)  132833989</v>
      </c>
      <c r="D103" s="71">
        <f t="shared" si="3"/>
        <v>3.27E-2</v>
      </c>
      <c r="E103" s="72" t="s">
        <v>427</v>
      </c>
    </row>
    <row r="104" spans="1:5" ht="12.75" x14ac:dyDescent="0.2">
      <c r="A104" s="72" t="s">
        <v>428</v>
      </c>
      <c r="B104" s="89" t="s">
        <v>429</v>
      </c>
      <c r="C104" s="104" t="str">
        <f t="shared" si="2"/>
        <v>3460 Taylor Community School Corp  | (DUNS#)  100223775</v>
      </c>
      <c r="D104" s="71">
        <f t="shared" si="3"/>
        <v>2.8E-3</v>
      </c>
      <c r="E104" s="72" t="s">
        <v>430</v>
      </c>
    </row>
    <row r="105" spans="1:5" ht="12.75" x14ac:dyDescent="0.2">
      <c r="A105" s="72" t="s">
        <v>431</v>
      </c>
      <c r="B105" s="89" t="s">
        <v>432</v>
      </c>
      <c r="C105" s="104" t="str">
        <f t="shared" si="2"/>
        <v>3470 Northwestern School Corp      | (DUNS#)  082288796</v>
      </c>
      <c r="D105" s="71" t="e">
        <f t="shared" si="3"/>
        <v>#N/A</v>
      </c>
      <c r="E105" s="72" t="s">
        <v>433</v>
      </c>
    </row>
    <row r="106" spans="1:5" ht="12.75" x14ac:dyDescent="0.2">
      <c r="A106" s="72" t="s">
        <v>434</v>
      </c>
      <c r="B106" s="89" t="s">
        <v>435</v>
      </c>
      <c r="C106" s="104" t="str">
        <f t="shared" si="2"/>
        <v>3480 Eastern-Howard School Corp    | (DUNS#)  050517952</v>
      </c>
      <c r="D106" s="71" t="e">
        <f t="shared" si="3"/>
        <v>#N/A</v>
      </c>
      <c r="E106" s="72" t="s">
        <v>436</v>
      </c>
    </row>
    <row r="107" spans="1:5" ht="12.75" x14ac:dyDescent="0.2">
      <c r="A107" s="72" t="s">
        <v>437</v>
      </c>
      <c r="B107" s="89" t="s">
        <v>438</v>
      </c>
      <c r="C107" s="104" t="str">
        <f t="shared" si="2"/>
        <v>3490 Western School Corp           | (DUNS#)  027064356</v>
      </c>
      <c r="D107" s="71">
        <f t="shared" si="3"/>
        <v>5.7599999999999998E-2</v>
      </c>
      <c r="E107" s="72" t="s">
        <v>439</v>
      </c>
    </row>
    <row r="108" spans="1:5" ht="12.75" x14ac:dyDescent="0.2">
      <c r="A108" s="72" t="s">
        <v>440</v>
      </c>
      <c r="B108" s="89" t="s">
        <v>441</v>
      </c>
      <c r="C108" s="104" t="str">
        <f t="shared" si="2"/>
        <v>3500 Kokomo Sch Corp| (DUNS#)  100648146</v>
      </c>
      <c r="D108" s="71">
        <f t="shared" si="3"/>
        <v>2.1100000000000001E-2</v>
      </c>
      <c r="E108" s="72" t="s">
        <v>442</v>
      </c>
    </row>
    <row r="109" spans="1:5" ht="12.75" x14ac:dyDescent="0.2">
      <c r="A109" s="72" t="s">
        <v>443</v>
      </c>
      <c r="B109" s="89" t="s">
        <v>444</v>
      </c>
      <c r="C109" s="104" t="str">
        <f t="shared" si="2"/>
        <v>3625 Huntington Co Com Sch Corp    | (DUNS#)  078915303</v>
      </c>
      <c r="D109" s="71">
        <f t="shared" si="3"/>
        <v>2.0299999999999999E-2</v>
      </c>
      <c r="E109" s="72" t="s">
        <v>445</v>
      </c>
    </row>
    <row r="110" spans="1:5" ht="12.75" x14ac:dyDescent="0.2">
      <c r="A110" s="72" t="s">
        <v>446</v>
      </c>
      <c r="B110" s="89" t="s">
        <v>447</v>
      </c>
      <c r="C110" s="104" t="str">
        <f t="shared" si="2"/>
        <v>3640 Medora Community School Corp  | (DUNS#)  800739617</v>
      </c>
      <c r="D110" s="71">
        <f t="shared" si="3"/>
        <v>1.7000000000000001E-2</v>
      </c>
      <c r="E110" s="72" t="s">
        <v>448</v>
      </c>
    </row>
    <row r="111" spans="1:5" ht="12.75" x14ac:dyDescent="0.2">
      <c r="A111" s="72" t="s">
        <v>449</v>
      </c>
      <c r="B111" s="89" t="s">
        <v>450</v>
      </c>
      <c r="C111" s="104" t="str">
        <f t="shared" si="2"/>
        <v>3675 Seymour Community Schools     | (DUNS#)  100021849</v>
      </c>
      <c r="D111" s="71" t="e">
        <f t="shared" si="3"/>
        <v>#N/A</v>
      </c>
      <c r="E111" s="72" t="s">
        <v>1289</v>
      </c>
    </row>
    <row r="112" spans="1:5" ht="12.75" x14ac:dyDescent="0.2">
      <c r="A112" s="72" t="s">
        <v>451</v>
      </c>
      <c r="B112" s="89" t="s">
        <v>452</v>
      </c>
      <c r="C112" s="104" t="str">
        <f t="shared" si="2"/>
        <v>3695 Brownstown Cnt Com Sch Corp   | (DUNS#)  100738335</v>
      </c>
      <c r="D112" s="71" t="e">
        <f t="shared" si="3"/>
        <v>#N/A</v>
      </c>
      <c r="E112" s="72" t="s">
        <v>453</v>
      </c>
    </row>
    <row r="113" spans="1:5" ht="12.75" x14ac:dyDescent="0.2">
      <c r="A113" s="72" t="s">
        <v>454</v>
      </c>
      <c r="B113" s="89" t="s">
        <v>455</v>
      </c>
      <c r="C113" s="104" t="str">
        <f t="shared" si="2"/>
        <v>3710 Crothersville Community School| (DUNS#)  100022052</v>
      </c>
      <c r="D113" s="71" t="e">
        <f t="shared" si="3"/>
        <v>#N/A</v>
      </c>
      <c r="E113" s="72" t="s">
        <v>456</v>
      </c>
    </row>
    <row r="114" spans="1:5" ht="12.75" x14ac:dyDescent="0.2">
      <c r="A114" s="72" t="s">
        <v>457</v>
      </c>
      <c r="B114" s="89" t="s">
        <v>458</v>
      </c>
      <c r="C114" s="104" t="str">
        <f t="shared" si="2"/>
        <v>3785 Kankakee Valley School Corp   | (DUNS#)  621753300</v>
      </c>
      <c r="D114" s="71" t="e">
        <f t="shared" si="3"/>
        <v>#N/A</v>
      </c>
      <c r="E114" s="72" t="s">
        <v>459</v>
      </c>
    </row>
    <row r="115" spans="1:5" ht="12.75" x14ac:dyDescent="0.2">
      <c r="A115" s="72" t="s">
        <v>460</v>
      </c>
      <c r="B115" s="89" t="s">
        <v>461</v>
      </c>
      <c r="C115" s="104" t="str">
        <f t="shared" si="2"/>
        <v>3815 Rensselaer Central School Corp| (DUNS#)  074304296</v>
      </c>
      <c r="D115" s="71">
        <f t="shared" si="3"/>
        <v>1.4E-3</v>
      </c>
      <c r="E115" s="72" t="s">
        <v>462</v>
      </c>
    </row>
    <row r="116" spans="1:5" ht="12.75" x14ac:dyDescent="0.2">
      <c r="A116" s="72" t="s">
        <v>463</v>
      </c>
      <c r="B116" s="89" t="s">
        <v>464</v>
      </c>
      <c r="C116" s="104" t="str">
        <f t="shared" si="2"/>
        <v>3945 Jay School Corp               | (DUNS#)  075977454</v>
      </c>
      <c r="D116" s="71" t="e">
        <f t="shared" si="3"/>
        <v>#N/A</v>
      </c>
      <c r="E116" s="72" t="s">
        <v>465</v>
      </c>
    </row>
    <row r="117" spans="1:5" ht="12.75" x14ac:dyDescent="0.2">
      <c r="A117" s="72" t="s">
        <v>466</v>
      </c>
      <c r="B117" s="89" t="s">
        <v>467</v>
      </c>
      <c r="C117" s="104" t="str">
        <f t="shared" si="2"/>
        <v>3995 Madison Consolidated Schools  | (DUNS#)  086196862</v>
      </c>
      <c r="D117" s="71">
        <f t="shared" si="3"/>
        <v>5.96E-2</v>
      </c>
      <c r="E117" s="72" t="s">
        <v>468</v>
      </c>
    </row>
    <row r="118" spans="1:5" ht="12.75" x14ac:dyDescent="0.2">
      <c r="A118" s="72" t="s">
        <v>469</v>
      </c>
      <c r="B118" s="89" t="s">
        <v>470</v>
      </c>
      <c r="C118" s="104" t="str">
        <f t="shared" si="2"/>
        <v>4000 Southwestern-Jefferson Co Con | (DUNS#)  050536242</v>
      </c>
      <c r="D118" s="71" t="e">
        <f t="shared" si="3"/>
        <v>#N/A</v>
      </c>
      <c r="E118" s="72" t="s">
        <v>471</v>
      </c>
    </row>
    <row r="119" spans="1:5" ht="12.75" x14ac:dyDescent="0.2">
      <c r="A119" s="72" t="s">
        <v>472</v>
      </c>
      <c r="B119" s="89" t="s">
        <v>473</v>
      </c>
      <c r="C119" s="104" t="str">
        <f t="shared" si="2"/>
        <v>4015 Jennings County School Corp   | (DUNS#)  072079106</v>
      </c>
      <c r="D119" s="71">
        <f t="shared" si="3"/>
        <v>1.2999999999999999E-3</v>
      </c>
      <c r="E119" s="72" t="s">
        <v>474</v>
      </c>
    </row>
    <row r="120" spans="1:5" ht="12.75" x14ac:dyDescent="0.2">
      <c r="A120" s="72" t="s">
        <v>475</v>
      </c>
      <c r="B120" s="89" t="s">
        <v>476</v>
      </c>
      <c r="C120" s="104" t="str">
        <f t="shared" si="2"/>
        <v>4145 Clark-Pleasant Com School Corp| (DUNS#)  193221223</v>
      </c>
      <c r="D120" s="71">
        <f t="shared" si="3"/>
        <v>1.7000000000000001E-2</v>
      </c>
      <c r="E120" s="72" t="s">
        <v>477</v>
      </c>
    </row>
    <row r="121" spans="1:5" ht="12.75" x14ac:dyDescent="0.2">
      <c r="A121" s="72" t="s">
        <v>478</v>
      </c>
      <c r="B121" s="89" t="s">
        <v>479</v>
      </c>
      <c r="C121" s="104" t="str">
        <f t="shared" si="2"/>
        <v>4205 Center Grove Com Sch Corp     | (DUNS#)  130713113</v>
      </c>
      <c r="D121" s="71">
        <f t="shared" si="3"/>
        <v>2.2200000000000001E-2</v>
      </c>
      <c r="E121" s="72" t="s">
        <v>480</v>
      </c>
    </row>
    <row r="122" spans="1:5" ht="12.75" x14ac:dyDescent="0.2">
      <c r="A122" s="72" t="s">
        <v>481</v>
      </c>
      <c r="B122" s="89" t="s">
        <v>482</v>
      </c>
      <c r="C122" s="104" t="str">
        <f t="shared" si="2"/>
        <v>4215 Edinburgh Community Sch Corp  | (DUNS#)  087041893</v>
      </c>
      <c r="D122" s="71">
        <f t="shared" si="3"/>
        <v>3.1899999999999998E-2</v>
      </c>
      <c r="E122" s="72" t="s">
        <v>483</v>
      </c>
    </row>
    <row r="123" spans="1:5" ht="12.75" x14ac:dyDescent="0.2">
      <c r="A123" s="72" t="s">
        <v>484</v>
      </c>
      <c r="B123" s="89" t="s">
        <v>485</v>
      </c>
      <c r="C123" s="104" t="str">
        <f t="shared" si="2"/>
        <v>4225 Franklin Community School Corp| (DUNS#)  100216936</v>
      </c>
      <c r="D123" s="71">
        <f t="shared" si="3"/>
        <v>2.1399999999999999E-2</v>
      </c>
      <c r="E123" s="72" t="s">
        <v>486</v>
      </c>
    </row>
    <row r="124" spans="1:5" ht="14.45" customHeight="1" x14ac:dyDescent="0.2">
      <c r="A124" s="72" t="s">
        <v>487</v>
      </c>
      <c r="B124" s="89" t="s">
        <v>488</v>
      </c>
      <c r="C124" s="104" t="str">
        <f t="shared" si="2"/>
        <v>4245 Greenwood Community Sch Corp  | (DUNS#)  93230126</v>
      </c>
      <c r="D124" s="71" t="e">
        <f t="shared" si="3"/>
        <v>#N/A</v>
      </c>
      <c r="E124" s="72" t="s">
        <v>1263</v>
      </c>
    </row>
    <row r="125" spans="1:5" ht="12.75" x14ac:dyDescent="0.2">
      <c r="A125" s="72" t="s">
        <v>489</v>
      </c>
      <c r="B125" s="89" t="s">
        <v>490</v>
      </c>
      <c r="C125" s="104" t="str">
        <f t="shared" si="2"/>
        <v>4255 Nineveh-Hensley-Jackson United| (DUNS#)  786689943</v>
      </c>
      <c r="D125" s="71">
        <f t="shared" si="3"/>
        <v>6.4999999999999997E-3</v>
      </c>
      <c r="E125" s="72" t="s">
        <v>491</v>
      </c>
    </row>
    <row r="126" spans="1:5" ht="12.75" x14ac:dyDescent="0.2">
      <c r="A126" s="72" t="s">
        <v>492</v>
      </c>
      <c r="B126" s="89" t="s">
        <v>493</v>
      </c>
      <c r="C126" s="104" t="str">
        <f t="shared" si="2"/>
        <v>4315 North Knox School Corp        | (DUNS#)  050537463</v>
      </c>
      <c r="D126" s="71" t="e">
        <f t="shared" si="3"/>
        <v>#N/A</v>
      </c>
      <c r="E126" s="72" t="s">
        <v>494</v>
      </c>
    </row>
    <row r="127" spans="1:5" ht="12.75" x14ac:dyDescent="0.2">
      <c r="A127" s="72" t="s">
        <v>495</v>
      </c>
      <c r="B127" s="89" t="s">
        <v>496</v>
      </c>
      <c r="C127" s="104" t="str">
        <f t="shared" si="2"/>
        <v>4325 South Knox School Corp        | (DUNS#)  125282509</v>
      </c>
      <c r="D127" s="71" t="e">
        <f t="shared" si="3"/>
        <v>#N/A</v>
      </c>
      <c r="E127" s="72" t="s">
        <v>497</v>
      </c>
    </row>
    <row r="128" spans="1:5" ht="12.75" x14ac:dyDescent="0.2">
      <c r="A128" s="72" t="s">
        <v>498</v>
      </c>
      <c r="B128" s="89" t="s">
        <v>499</v>
      </c>
      <c r="C128" s="104" t="str">
        <f t="shared" si="2"/>
        <v>4335 Vincennes Community Sch Corp  | (DUNS#)  079654737</v>
      </c>
      <c r="D128" s="71" t="e">
        <f t="shared" si="3"/>
        <v>#N/A</v>
      </c>
      <c r="E128" s="72" t="s">
        <v>500</v>
      </c>
    </row>
    <row r="129" spans="1:5" ht="12.75" x14ac:dyDescent="0.2">
      <c r="A129" s="72" t="s">
        <v>501</v>
      </c>
      <c r="B129" s="89" t="s">
        <v>502</v>
      </c>
      <c r="C129" s="104" t="str">
        <f t="shared" si="2"/>
        <v>4345 Wawasee Community School Corp | (DUNS#)  086782794</v>
      </c>
      <c r="D129" s="71">
        <f t="shared" si="3"/>
        <v>5.1499999999999997E-2</v>
      </c>
      <c r="E129" s="72" t="s">
        <v>503</v>
      </c>
    </row>
    <row r="130" spans="1:5" ht="12.75" x14ac:dyDescent="0.2">
      <c r="A130" s="72" t="s">
        <v>504</v>
      </c>
      <c r="B130" s="89" t="s">
        <v>505</v>
      </c>
      <c r="C130" s="104" t="str">
        <f t="shared" ref="C130:C193" si="4">A130&amp;" "&amp;B130&amp;"|"&amp;" "&amp;"(DUNS#)"&amp;"  "&amp;E130</f>
        <v>4415 Warsaw Community Schools      | (DUNS#)  040283913</v>
      </c>
      <c r="D130" s="71">
        <f t="shared" ref="D130:D193" si="5">VLOOKUP(A130,ICR,3,FALSE)</f>
        <v>2.93E-2</v>
      </c>
      <c r="E130" s="72" t="s">
        <v>506</v>
      </c>
    </row>
    <row r="131" spans="1:5" ht="12.75" x14ac:dyDescent="0.2">
      <c r="A131" s="72" t="s">
        <v>507</v>
      </c>
      <c r="B131" s="89" t="s">
        <v>508</v>
      </c>
      <c r="C131" s="104" t="str">
        <f t="shared" si="4"/>
        <v>4445 Tippecanoe Valley School Corp | (DUNS#)  040269771</v>
      </c>
      <c r="D131" s="71">
        <f t="shared" si="5"/>
        <v>1E-4</v>
      </c>
      <c r="E131" s="72" t="s">
        <v>509</v>
      </c>
    </row>
    <row r="132" spans="1:5" ht="12.75" x14ac:dyDescent="0.2">
      <c r="A132" s="72" t="s">
        <v>510</v>
      </c>
      <c r="B132" s="89" t="s">
        <v>511</v>
      </c>
      <c r="C132" s="104" t="str">
        <f t="shared" si="4"/>
        <v>4455 Whitko Community School Corp  | (DUNS#)  050539410</v>
      </c>
      <c r="D132" s="71">
        <f t="shared" si="5"/>
        <v>7.3000000000000001E-3</v>
      </c>
      <c r="E132" s="72" t="s">
        <v>512</v>
      </c>
    </row>
    <row r="133" spans="1:5" ht="12.75" x14ac:dyDescent="0.2">
      <c r="A133" s="72" t="s">
        <v>513</v>
      </c>
      <c r="B133" s="89" t="s">
        <v>514</v>
      </c>
      <c r="C133" s="104" t="str">
        <f t="shared" si="4"/>
        <v>4515 Prairie Heights Com Sch Corp  | (DUNS#)  100648252</v>
      </c>
      <c r="D133" s="71" t="e">
        <f t="shared" si="5"/>
        <v>#N/A</v>
      </c>
      <c r="E133" s="72" t="s">
        <v>515</v>
      </c>
    </row>
    <row r="134" spans="1:5" ht="12.75" x14ac:dyDescent="0.2">
      <c r="A134" s="72" t="s">
        <v>516</v>
      </c>
      <c r="B134" s="89" t="s">
        <v>517</v>
      </c>
      <c r="C134" s="104" t="str">
        <f t="shared" si="4"/>
        <v>4525 Westview School Corporation   | (DUNS#)  40267569</v>
      </c>
      <c r="D134" s="71" t="e">
        <f t="shared" si="5"/>
        <v>#N/A</v>
      </c>
      <c r="E134" s="72" t="s">
        <v>1301</v>
      </c>
    </row>
    <row r="135" spans="1:5" ht="12.75" x14ac:dyDescent="0.2">
      <c r="A135" s="72" t="s">
        <v>518</v>
      </c>
      <c r="B135" s="89" t="s">
        <v>519</v>
      </c>
      <c r="C135" s="104" t="str">
        <f t="shared" si="4"/>
        <v>4535 Lakeland School Corporation   | (DUNS#)  181578790</v>
      </c>
      <c r="D135" s="71">
        <f t="shared" si="5"/>
        <v>3.9E-2</v>
      </c>
      <c r="E135" s="72" t="s">
        <v>520</v>
      </c>
    </row>
    <row r="136" spans="1:5" ht="12.75" x14ac:dyDescent="0.2">
      <c r="A136" s="72" t="s">
        <v>521</v>
      </c>
      <c r="B136" s="89" t="s">
        <v>522</v>
      </c>
      <c r="C136" s="104" t="str">
        <f t="shared" si="4"/>
        <v>4580 Hanover Community| (DUNS#)  040886889</v>
      </c>
      <c r="D136" s="71" t="e">
        <f t="shared" si="5"/>
        <v>#N/A</v>
      </c>
      <c r="E136" s="72" t="s">
        <v>523</v>
      </c>
    </row>
    <row r="137" spans="1:5" ht="12.75" x14ac:dyDescent="0.2">
      <c r="A137" s="72" t="s">
        <v>524</v>
      </c>
      <c r="B137" s="89" t="s">
        <v>525</v>
      </c>
      <c r="C137" s="104" t="str">
        <f t="shared" si="4"/>
        <v>4590 River Forest Community Sch Cor| (DUNS#)  039003843</v>
      </c>
      <c r="D137" s="71" t="e">
        <f t="shared" si="5"/>
        <v>#N/A</v>
      </c>
      <c r="E137" s="72" t="s">
        <v>526</v>
      </c>
    </row>
    <row r="138" spans="1:5" ht="12.75" x14ac:dyDescent="0.2">
      <c r="A138" s="72" t="s">
        <v>527</v>
      </c>
      <c r="B138" s="89" t="s">
        <v>528</v>
      </c>
      <c r="C138" s="104" t="str">
        <f t="shared" si="4"/>
        <v>4600 Merrillville Community Schools| (DUNS#)  8966744</v>
      </c>
      <c r="D138" s="71" t="e">
        <f t="shared" si="5"/>
        <v>#N/A</v>
      </c>
      <c r="E138" s="72" t="s">
        <v>1276</v>
      </c>
    </row>
    <row r="139" spans="1:5" ht="12.75" x14ac:dyDescent="0.2">
      <c r="A139" s="72" t="s">
        <v>529</v>
      </c>
      <c r="B139" s="89" t="s">
        <v>530</v>
      </c>
      <c r="C139" s="104" t="str">
        <f t="shared" si="4"/>
        <v>4615 Lake Central School Corp      | (DUNS#)  077014660</v>
      </c>
      <c r="D139" s="71" t="e">
        <f t="shared" si="5"/>
        <v>#N/A</v>
      </c>
      <c r="E139" s="72" t="s">
        <v>531</v>
      </c>
    </row>
    <row r="140" spans="1:5" ht="12.75" x14ac:dyDescent="0.2">
      <c r="A140" s="72" t="s">
        <v>532</v>
      </c>
      <c r="B140" s="89" t="s">
        <v>533</v>
      </c>
      <c r="C140" s="104" t="str">
        <f t="shared" si="4"/>
        <v>4645 Tri-Creek School Corp         | (DUNS#)  051942514</v>
      </c>
      <c r="D140" s="71" t="e">
        <f t="shared" si="5"/>
        <v>#N/A</v>
      </c>
      <c r="E140" s="72" t="s">
        <v>534</v>
      </c>
    </row>
    <row r="141" spans="1:5" ht="12.75" x14ac:dyDescent="0.2">
      <c r="A141" s="72" t="s">
        <v>535</v>
      </c>
      <c r="B141" s="89" t="s">
        <v>536</v>
      </c>
      <c r="C141" s="104" t="str">
        <f t="shared" si="4"/>
        <v>4650 Lake Ridge Schools            | (DUNS#)  070010442</v>
      </c>
      <c r="D141" s="71" t="e">
        <f t="shared" si="5"/>
        <v>#N/A</v>
      </c>
      <c r="E141" s="72" t="s">
        <v>537</v>
      </c>
    </row>
    <row r="142" spans="1:5" ht="12.75" x14ac:dyDescent="0.2">
      <c r="A142" s="73" t="s">
        <v>538</v>
      </c>
      <c r="B142" s="94" t="s">
        <v>539</v>
      </c>
      <c r="C142" s="104" t="str">
        <f t="shared" si="4"/>
        <v>4660 Crown Point Community Sch Corp| (DUNS#)  040889156</v>
      </c>
      <c r="D142" s="74">
        <f t="shared" si="5"/>
        <v>1.9800000000000002E-2</v>
      </c>
      <c r="E142" s="73" t="s">
        <v>540</v>
      </c>
    </row>
    <row r="143" spans="1:5" ht="14.45" customHeight="1" x14ac:dyDescent="0.2">
      <c r="A143" s="72" t="s">
        <v>541</v>
      </c>
      <c r="B143" s="89" t="s">
        <v>542</v>
      </c>
      <c r="C143" s="104" t="str">
        <f t="shared" si="4"/>
        <v>4670 School City Of East Chicago   | (DUNS#)  50541754</v>
      </c>
      <c r="D143" s="71">
        <f t="shared" si="5"/>
        <v>0</v>
      </c>
      <c r="E143" s="72" t="s">
        <v>1285</v>
      </c>
    </row>
    <row r="144" spans="1:5" ht="12.75" x14ac:dyDescent="0.2">
      <c r="A144" s="72" t="s">
        <v>543</v>
      </c>
      <c r="B144" s="89" t="s">
        <v>544</v>
      </c>
      <c r="C144" s="104" t="str">
        <f t="shared" si="4"/>
        <v>4680 Lake Station Community Schools| (DUNS#)  120404678</v>
      </c>
      <c r="D144" s="71" t="e">
        <f t="shared" si="5"/>
        <v>#N/A</v>
      </c>
      <c r="E144" s="72" t="s">
        <v>545</v>
      </c>
    </row>
    <row r="145" spans="1:5" ht="12.75" x14ac:dyDescent="0.2">
      <c r="A145" s="72" t="s">
        <v>546</v>
      </c>
      <c r="B145" s="89" t="s">
        <v>547</v>
      </c>
      <c r="C145" s="104" t="str">
        <f t="shared" si="4"/>
        <v>4690 Gary Community School Corp| (DUNS#)  068622455</v>
      </c>
      <c r="D145" s="71">
        <f t="shared" si="5"/>
        <v>5.4100000000000002E-2</v>
      </c>
      <c r="E145" s="72" t="s">
        <v>548</v>
      </c>
    </row>
    <row r="146" spans="1:5" ht="12.75" x14ac:dyDescent="0.2">
      <c r="A146" s="72" t="s">
        <v>549</v>
      </c>
      <c r="B146" s="89" t="s">
        <v>550</v>
      </c>
      <c r="C146" s="104" t="str">
        <f t="shared" si="4"/>
        <v>4700 Griffith Public Schools       | (DUNS#)  039008917</v>
      </c>
      <c r="D146" s="71" t="e">
        <f t="shared" si="5"/>
        <v>#N/A</v>
      </c>
      <c r="E146" s="72" t="s">
        <v>551</v>
      </c>
    </row>
    <row r="147" spans="1:5" ht="12.75" x14ac:dyDescent="0.2">
      <c r="A147" s="72" t="s">
        <v>552</v>
      </c>
      <c r="B147" s="89" t="s">
        <v>553</v>
      </c>
      <c r="C147" s="104" t="str">
        <f t="shared" si="4"/>
        <v>4710 School City Of Hammond        | (DUNS#)  068497189</v>
      </c>
      <c r="D147" s="71">
        <f t="shared" si="5"/>
        <v>1.7000000000000001E-2</v>
      </c>
      <c r="E147" s="72" t="s">
        <v>554</v>
      </c>
    </row>
    <row r="148" spans="1:5" ht="12.75" x14ac:dyDescent="0.2">
      <c r="A148" s="72" t="s">
        <v>555</v>
      </c>
      <c r="B148" s="89" t="s">
        <v>556</v>
      </c>
      <c r="C148" s="104" t="str">
        <f t="shared" si="4"/>
        <v>4720 School Town Of Highland       | (DUNS#)  77013944</v>
      </c>
      <c r="D148" s="71" t="e">
        <f t="shared" si="5"/>
        <v>#N/A</v>
      </c>
      <c r="E148" s="72" t="s">
        <v>1286</v>
      </c>
    </row>
    <row r="149" spans="1:5" ht="12.75" x14ac:dyDescent="0.2">
      <c r="A149" s="72" t="s">
        <v>557</v>
      </c>
      <c r="B149" s="89" t="s">
        <v>558</v>
      </c>
      <c r="C149" s="104" t="str">
        <f t="shared" si="4"/>
        <v>4730 School City Of Hobart         | (DUNS#)  038503215</v>
      </c>
      <c r="D149" s="71">
        <f t="shared" si="5"/>
        <v>2.86E-2</v>
      </c>
      <c r="E149" s="72" t="s">
        <v>559</v>
      </c>
    </row>
    <row r="150" spans="1:5" ht="12.75" x14ac:dyDescent="0.2">
      <c r="A150" s="72" t="s">
        <v>560</v>
      </c>
      <c r="B150" s="89" t="s">
        <v>561</v>
      </c>
      <c r="C150" s="104" t="str">
        <f t="shared" si="4"/>
        <v>4740 School Town Of Munster        | (DUNS#)  74422510</v>
      </c>
      <c r="D150" s="71">
        <f t="shared" si="5"/>
        <v>4.4200000000000003E-2</v>
      </c>
      <c r="E150" s="72" t="s">
        <v>1287</v>
      </c>
    </row>
    <row r="151" spans="1:5" ht="12.75" x14ac:dyDescent="0.2">
      <c r="A151" s="72" t="s">
        <v>562</v>
      </c>
      <c r="B151" s="89" t="s">
        <v>563</v>
      </c>
      <c r="C151" s="104" t="str">
        <f t="shared" si="4"/>
        <v>4760 Whiting School City           | (DUNS#)  10276285</v>
      </c>
      <c r="D151" s="71">
        <f t="shared" si="5"/>
        <v>7.22E-2</v>
      </c>
      <c r="E151" s="72" t="s">
        <v>1302</v>
      </c>
    </row>
    <row r="152" spans="1:5" ht="12.75" x14ac:dyDescent="0.2">
      <c r="A152" s="72" t="s">
        <v>564</v>
      </c>
      <c r="B152" s="89" t="s">
        <v>565</v>
      </c>
      <c r="C152" s="104" t="str">
        <f t="shared" si="4"/>
        <v>4805 New Prairie United School Corp| (DUNS#)  086780103</v>
      </c>
      <c r="D152" s="71" t="e">
        <f t="shared" si="5"/>
        <v>#N/A</v>
      </c>
      <c r="E152" s="72" t="s">
        <v>566</v>
      </c>
    </row>
    <row r="153" spans="1:5" ht="14.45" customHeight="1" x14ac:dyDescent="0.2">
      <c r="A153" s="72" t="s">
        <v>567</v>
      </c>
      <c r="B153" s="89" t="s">
        <v>568</v>
      </c>
      <c r="C153" s="104" t="str">
        <f t="shared" si="4"/>
        <v>4860 M S D New Durham Township| (DUNS#)  103916115</v>
      </c>
      <c r="D153" s="71">
        <f t="shared" si="5"/>
        <v>2.7400000000000001E-2</v>
      </c>
      <c r="E153" s="72" t="s">
        <v>569</v>
      </c>
    </row>
    <row r="154" spans="1:5" ht="14.45" customHeight="1" x14ac:dyDescent="0.2">
      <c r="A154" s="72" t="s">
        <v>570</v>
      </c>
      <c r="B154" s="89" t="s">
        <v>571</v>
      </c>
      <c r="C154" s="104" t="str">
        <f t="shared" si="4"/>
        <v xml:space="preserve">4915 Tri-Township Cons Sch (Cass, Dewey, Prairie)         | (DUNS#)  </v>
      </c>
      <c r="D154" s="71" t="e">
        <f t="shared" si="5"/>
        <v>#N/A</v>
      </c>
      <c r="E154" s="73"/>
    </row>
    <row r="155" spans="1:5" ht="12.75" x14ac:dyDescent="0.2">
      <c r="A155" s="72" t="s">
        <v>572</v>
      </c>
      <c r="B155" s="89" t="s">
        <v>573</v>
      </c>
      <c r="C155" s="104" t="str">
        <f t="shared" si="4"/>
        <v>4925 Michigan City Area Schools    | (DUNS#)  069761146</v>
      </c>
      <c r="D155" s="71">
        <f t="shared" si="5"/>
        <v>2.52E-2</v>
      </c>
      <c r="E155" s="72" t="s">
        <v>574</v>
      </c>
    </row>
    <row r="156" spans="1:5" ht="12.75" x14ac:dyDescent="0.2">
      <c r="A156" s="72" t="s">
        <v>575</v>
      </c>
      <c r="B156" s="89" t="s">
        <v>576</v>
      </c>
      <c r="C156" s="104" t="str">
        <f t="shared" si="4"/>
        <v>4940 South Central Com School Corp | (DUNS#)  100021237</v>
      </c>
      <c r="D156" s="71" t="e">
        <f t="shared" si="5"/>
        <v>#N/A</v>
      </c>
      <c r="E156" s="72" t="s">
        <v>577</v>
      </c>
    </row>
    <row r="157" spans="1:5" ht="12.75" x14ac:dyDescent="0.2">
      <c r="A157" s="72" t="s">
        <v>578</v>
      </c>
      <c r="B157" s="89" t="s">
        <v>579</v>
      </c>
      <c r="C157" s="104" t="str">
        <f t="shared" si="4"/>
        <v>4945 Laporte Community School Corp | (DUNS#)  74323957</v>
      </c>
      <c r="D157" s="71" t="e">
        <f t="shared" si="5"/>
        <v>#N/A</v>
      </c>
      <c r="E157" s="72" t="s">
        <v>1269</v>
      </c>
    </row>
    <row r="158" spans="1:5" ht="12.75" x14ac:dyDescent="0.2">
      <c r="A158" s="72" t="s">
        <v>580</v>
      </c>
      <c r="B158" s="89" t="s">
        <v>581</v>
      </c>
      <c r="C158" s="104" t="str">
        <f t="shared" si="4"/>
        <v>5075 North Lawrence Com Schools    | (DUNS#)  072063746</v>
      </c>
      <c r="D158" s="71" t="e">
        <f t="shared" si="5"/>
        <v>#N/A</v>
      </c>
      <c r="E158" s="72" t="s">
        <v>582</v>
      </c>
    </row>
    <row r="159" spans="1:5" ht="12.75" x14ac:dyDescent="0.2">
      <c r="A159" s="72" t="s">
        <v>583</v>
      </c>
      <c r="B159" s="89" t="s">
        <v>584</v>
      </c>
      <c r="C159" s="104" t="str">
        <f t="shared" si="4"/>
        <v>5085 Mitchell Community Schools    | (DUNS#)  098144520</v>
      </c>
      <c r="D159" s="71" t="e">
        <f t="shared" si="5"/>
        <v>#N/A</v>
      </c>
      <c r="E159" s="72" t="s">
        <v>585</v>
      </c>
    </row>
    <row r="160" spans="1:5" ht="12.75" x14ac:dyDescent="0.2">
      <c r="A160" s="72" t="s">
        <v>586</v>
      </c>
      <c r="B160" s="89" t="s">
        <v>587</v>
      </c>
      <c r="C160" s="104" t="str">
        <f t="shared" si="4"/>
        <v>5245 Frankton-Lapel Community Schs | (DUNS#)  100648393</v>
      </c>
      <c r="D160" s="71" t="e">
        <f t="shared" si="5"/>
        <v>#N/A</v>
      </c>
      <c r="E160" s="72" t="s">
        <v>588</v>
      </c>
    </row>
    <row r="161" spans="1:5" ht="12.75" x14ac:dyDescent="0.2">
      <c r="A161" s="72" t="s">
        <v>589</v>
      </c>
      <c r="B161" s="89" t="s">
        <v>590</v>
      </c>
      <c r="C161" s="104" t="str">
        <f t="shared" si="4"/>
        <v>5255 South Madison Com Sch Corp    | (DUNS#)  079566030</v>
      </c>
      <c r="D161" s="71" t="e">
        <f t="shared" si="5"/>
        <v>#N/A</v>
      </c>
      <c r="E161" s="72" t="s">
        <v>591</v>
      </c>
    </row>
    <row r="162" spans="1:5" ht="12.75" x14ac:dyDescent="0.2">
      <c r="A162" s="72" t="s">
        <v>592</v>
      </c>
      <c r="B162" s="89" t="s">
        <v>593</v>
      </c>
      <c r="C162" s="104" t="str">
        <f t="shared" si="4"/>
        <v>5265 Alexandria Com School Corp    | (DUNS#)  100213404</v>
      </c>
      <c r="D162" s="71">
        <f t="shared" si="5"/>
        <v>1.2500000000000001E-2</v>
      </c>
      <c r="E162" s="72" t="s">
        <v>1248</v>
      </c>
    </row>
    <row r="163" spans="1:5" ht="12.75" x14ac:dyDescent="0.2">
      <c r="A163" s="72" t="s">
        <v>594</v>
      </c>
      <c r="B163" s="89" t="s">
        <v>595</v>
      </c>
      <c r="C163" s="104" t="str">
        <f t="shared" si="4"/>
        <v>5275 Anderson Community School Corp| (DUNS#)  100737824</v>
      </c>
      <c r="D163" s="71">
        <f t="shared" si="5"/>
        <v>3.1699999999999999E-2</v>
      </c>
      <c r="E163" s="72" t="s">
        <v>596</v>
      </c>
    </row>
    <row r="164" spans="1:5" ht="14.45" customHeight="1" x14ac:dyDescent="0.2">
      <c r="A164" s="72" t="s">
        <v>597</v>
      </c>
      <c r="B164" s="89" t="s">
        <v>598</v>
      </c>
      <c r="C164" s="104" t="str">
        <f t="shared" si="4"/>
        <v>5280 Elwood Community School Corp  | (DUNS#)  050582691</v>
      </c>
      <c r="D164" s="71" t="e">
        <f t="shared" si="5"/>
        <v>#N/A</v>
      </c>
      <c r="E164" s="72" t="s">
        <v>599</v>
      </c>
    </row>
    <row r="165" spans="1:5" ht="12.75" x14ac:dyDescent="0.2">
      <c r="A165" s="72" t="s">
        <v>600</v>
      </c>
      <c r="B165" s="89" t="s">
        <v>601</v>
      </c>
      <c r="C165" s="104" t="str">
        <f t="shared" si="4"/>
        <v>5300 M S D Decatur Township        | (DUNS#)  055603427</v>
      </c>
      <c r="D165" s="71">
        <f t="shared" si="5"/>
        <v>1.7000000000000001E-2</v>
      </c>
      <c r="E165" s="72" t="s">
        <v>602</v>
      </c>
    </row>
    <row r="166" spans="1:5" ht="12.75" x14ac:dyDescent="0.2">
      <c r="A166" s="72" t="s">
        <v>603</v>
      </c>
      <c r="B166" s="89" t="s">
        <v>604</v>
      </c>
      <c r="C166" s="104" t="str">
        <f t="shared" si="4"/>
        <v>5310 Franklin Township Com Sch Corp| (DUNS#)  050596485</v>
      </c>
      <c r="D166" s="71">
        <f t="shared" si="5"/>
        <v>1.46E-2</v>
      </c>
      <c r="E166" s="72" t="s">
        <v>605</v>
      </c>
    </row>
    <row r="167" spans="1:5" ht="12.75" x14ac:dyDescent="0.2">
      <c r="A167" s="72" t="s">
        <v>606</v>
      </c>
      <c r="B167" s="89" t="s">
        <v>607</v>
      </c>
      <c r="C167" s="104" t="str">
        <f t="shared" si="4"/>
        <v>5330 M S D Lawrence Township       | (DUNS#)  050100130</v>
      </c>
      <c r="D167" s="71">
        <f t="shared" si="5"/>
        <v>6.0000000000000001E-3</v>
      </c>
      <c r="E167" s="72" t="s">
        <v>608</v>
      </c>
    </row>
    <row r="168" spans="1:5" ht="12.75" x14ac:dyDescent="0.2">
      <c r="A168" s="72" t="s">
        <v>609</v>
      </c>
      <c r="B168" s="89" t="s">
        <v>610</v>
      </c>
      <c r="C168" s="104" t="str">
        <f t="shared" si="4"/>
        <v>5340 Perry Township Schools         | (DUNS#)  79589008</v>
      </c>
      <c r="D168" s="71">
        <f t="shared" si="5"/>
        <v>1.7000000000000001E-2</v>
      </c>
      <c r="E168" s="72" t="s">
        <v>1281</v>
      </c>
    </row>
    <row r="169" spans="1:5" ht="12.75" x14ac:dyDescent="0.2">
      <c r="A169" s="72" t="s">
        <v>611</v>
      </c>
      <c r="B169" s="89" t="s">
        <v>612</v>
      </c>
      <c r="C169" s="104" t="str">
        <f t="shared" si="4"/>
        <v>5350 M S D Pike Township           | (DUNS#)  800476660</v>
      </c>
      <c r="D169" s="71">
        <f t="shared" si="5"/>
        <v>3.1800000000000002E-2</v>
      </c>
      <c r="E169" s="72" t="s">
        <v>1271</v>
      </c>
    </row>
    <row r="170" spans="1:5" ht="12.75" x14ac:dyDescent="0.2">
      <c r="A170" s="72" t="s">
        <v>613</v>
      </c>
      <c r="B170" s="89" t="s">
        <v>614</v>
      </c>
      <c r="C170" s="104" t="str">
        <f t="shared" si="4"/>
        <v>5360 M S D Warren Township         | (DUNS#)  050100395</v>
      </c>
      <c r="D170" s="71">
        <f t="shared" si="5"/>
        <v>6.3E-2</v>
      </c>
      <c r="E170" s="72" t="s">
        <v>615</v>
      </c>
    </row>
    <row r="171" spans="1:5" ht="12.75" x14ac:dyDescent="0.2">
      <c r="A171" s="72" t="s">
        <v>616</v>
      </c>
      <c r="B171" s="89" t="s">
        <v>617</v>
      </c>
      <c r="C171" s="104" t="str">
        <f t="shared" si="4"/>
        <v>5370 M S D Washington Township     | (DUNS#)  072071129</v>
      </c>
      <c r="D171" s="71">
        <f t="shared" si="5"/>
        <v>1.8700000000000001E-2</v>
      </c>
      <c r="E171" s="72" t="s">
        <v>618</v>
      </c>
    </row>
    <row r="172" spans="1:5" ht="12.75" x14ac:dyDescent="0.2">
      <c r="A172" s="72" t="s">
        <v>619</v>
      </c>
      <c r="B172" s="89" t="s">
        <v>620</v>
      </c>
      <c r="C172" s="104" t="str">
        <f t="shared" si="4"/>
        <v>5375 M S D Wayne Township          | (DUNS#)  72041148</v>
      </c>
      <c r="D172" s="71">
        <f t="shared" si="5"/>
        <v>8.9599999999999999E-2</v>
      </c>
      <c r="E172" s="72" t="s">
        <v>1274</v>
      </c>
    </row>
    <row r="173" spans="1:5" ht="12.75" x14ac:dyDescent="0.2">
      <c r="A173" s="72" t="s">
        <v>621</v>
      </c>
      <c r="B173" s="89" t="s">
        <v>622</v>
      </c>
      <c r="C173" s="104" t="str">
        <f t="shared" si="4"/>
        <v>5380 Beech Grove City Schools      | (DUNS#)  084262492</v>
      </c>
      <c r="D173" s="71">
        <f t="shared" si="5"/>
        <v>8.3999999999999995E-3</v>
      </c>
      <c r="E173" s="72" t="s">
        <v>623</v>
      </c>
    </row>
    <row r="174" spans="1:5" ht="14.45" customHeight="1" x14ac:dyDescent="0.2">
      <c r="A174" s="72" t="s">
        <v>624</v>
      </c>
      <c r="B174" s="89" t="s">
        <v>625</v>
      </c>
      <c r="C174" s="104" t="str">
        <f t="shared" si="4"/>
        <v>5385 Indianapolis Public Schools   | (DUNS#)  75967992</v>
      </c>
      <c r="D174" s="71">
        <f t="shared" si="5"/>
        <v>2.9600000000000001E-2</v>
      </c>
      <c r="E174" s="72" t="s">
        <v>1266</v>
      </c>
    </row>
    <row r="175" spans="1:5" ht="12.75" x14ac:dyDescent="0.2">
      <c r="A175" s="72" t="s">
        <v>626</v>
      </c>
      <c r="B175" s="89" t="s">
        <v>627</v>
      </c>
      <c r="C175" s="104" t="str">
        <f t="shared" si="4"/>
        <v>5400 School Town Of Speedway| (DUNS#)  87039145</v>
      </c>
      <c r="D175" s="71" t="e">
        <f t="shared" si="5"/>
        <v>#N/A</v>
      </c>
      <c r="E175" s="72" t="s">
        <v>1288</v>
      </c>
    </row>
    <row r="176" spans="1:5" ht="12.75" x14ac:dyDescent="0.2">
      <c r="A176" s="72" t="s">
        <v>628</v>
      </c>
      <c r="B176" s="89" t="s">
        <v>629</v>
      </c>
      <c r="C176" s="104" t="str">
        <f t="shared" si="4"/>
        <v xml:space="preserve">5444 IN Math &amp; Science Ac. North| (DUNS#)  </v>
      </c>
      <c r="D176" s="71" t="e">
        <f t="shared" si="5"/>
        <v>#N/A</v>
      </c>
      <c r="E176" s="72"/>
    </row>
    <row r="177" spans="1:5" ht="12.75" x14ac:dyDescent="0.2">
      <c r="A177" s="72" t="s">
        <v>630</v>
      </c>
      <c r="B177" s="89" t="s">
        <v>631</v>
      </c>
      <c r="C177" s="104" t="str">
        <f t="shared" si="4"/>
        <v>5455 Culver Community Schools Corp | (DUNS#)  100215177</v>
      </c>
      <c r="D177" s="71" t="e">
        <f t="shared" si="5"/>
        <v>#N/A</v>
      </c>
      <c r="E177" s="72" t="s">
        <v>632</v>
      </c>
    </row>
    <row r="178" spans="1:5" ht="12.75" x14ac:dyDescent="0.2">
      <c r="A178" s="72" t="s">
        <v>633</v>
      </c>
      <c r="B178" s="89" t="s">
        <v>634</v>
      </c>
      <c r="C178" s="104" t="str">
        <f t="shared" si="4"/>
        <v>5470 Argos Community Schools       | (DUNS#)  086772563</v>
      </c>
      <c r="D178" s="71" t="e">
        <f t="shared" si="5"/>
        <v>#N/A</v>
      </c>
      <c r="E178" s="72" t="s">
        <v>635</v>
      </c>
    </row>
    <row r="179" spans="1:5" ht="12.75" x14ac:dyDescent="0.2">
      <c r="A179" s="72" t="s">
        <v>636</v>
      </c>
      <c r="B179" s="89" t="s">
        <v>637</v>
      </c>
      <c r="C179" s="104" t="str">
        <f t="shared" si="4"/>
        <v>5480 Bremen Public Schools         | (DUNS#)  100021138</v>
      </c>
      <c r="D179" s="71" t="e">
        <f t="shared" si="5"/>
        <v>#N/A</v>
      </c>
      <c r="E179" s="72" t="s">
        <v>638</v>
      </c>
    </row>
    <row r="180" spans="1:5" ht="12.75" x14ac:dyDescent="0.2">
      <c r="A180" s="72" t="s">
        <v>639</v>
      </c>
      <c r="B180" s="89" t="s">
        <v>640</v>
      </c>
      <c r="C180" s="104" t="str">
        <f t="shared" si="4"/>
        <v>5485 Plymouth Community School Corp| (DUNS#)  74311804</v>
      </c>
      <c r="D180" s="71">
        <f t="shared" si="5"/>
        <v>8.3000000000000001E-3</v>
      </c>
      <c r="E180" s="72" t="s">
        <v>1282</v>
      </c>
    </row>
    <row r="181" spans="1:5" ht="12.75" x14ac:dyDescent="0.2">
      <c r="A181" s="72" t="s">
        <v>641</v>
      </c>
      <c r="B181" s="89" t="s">
        <v>642</v>
      </c>
      <c r="C181" s="104" t="str">
        <f t="shared" si="4"/>
        <v>5495 Triton School Corporation     | (DUNS#)  193221538</v>
      </c>
      <c r="D181" s="71">
        <f t="shared" si="5"/>
        <v>1.4E-3</v>
      </c>
      <c r="E181" s="72" t="s">
        <v>643</v>
      </c>
    </row>
    <row r="182" spans="1:5" ht="12.75" x14ac:dyDescent="0.2">
      <c r="A182" s="72" t="s">
        <v>644</v>
      </c>
      <c r="B182" s="89" t="s">
        <v>645</v>
      </c>
      <c r="C182" s="104" t="str">
        <f t="shared" si="4"/>
        <v>5520 Shoals Community School Corp  | (DUNS#)  184628790</v>
      </c>
      <c r="D182" s="71" t="e">
        <f t="shared" si="5"/>
        <v>#N/A</v>
      </c>
      <c r="E182" s="72" t="s">
        <v>646</v>
      </c>
    </row>
    <row r="183" spans="1:5" ht="12.75" x14ac:dyDescent="0.2">
      <c r="A183" s="72" t="s">
        <v>647</v>
      </c>
      <c r="B183" s="89" t="s">
        <v>648</v>
      </c>
      <c r="C183" s="104" t="str">
        <f t="shared" si="4"/>
        <v>5525 Loogootee Community Sch Corp  | (DUNS#)  037859352</v>
      </c>
      <c r="D183" s="71" t="e">
        <f t="shared" si="5"/>
        <v>#N/A</v>
      </c>
      <c r="E183" s="72" t="s">
        <v>649</v>
      </c>
    </row>
    <row r="184" spans="1:5" ht="12.75" x14ac:dyDescent="0.2">
      <c r="A184" s="72" t="s">
        <v>650</v>
      </c>
      <c r="B184" s="89" t="s">
        <v>651</v>
      </c>
      <c r="C184" s="104" t="str">
        <f t="shared" si="4"/>
        <v>5615 Maconaquah School Corp        | (DUNS#)  932890007</v>
      </c>
      <c r="D184" s="71" t="e">
        <f t="shared" si="5"/>
        <v>#N/A</v>
      </c>
      <c r="E184" s="72" t="s">
        <v>652</v>
      </c>
    </row>
    <row r="185" spans="1:5" ht="12.75" x14ac:dyDescent="0.2">
      <c r="A185" s="72" t="s">
        <v>653</v>
      </c>
      <c r="B185" s="89" t="s">
        <v>654</v>
      </c>
      <c r="C185" s="104" t="str">
        <f t="shared" si="4"/>
        <v>5620 North Miami Community Schools | (DUNS#)  193221546</v>
      </c>
      <c r="D185" s="71" t="e">
        <f t="shared" si="5"/>
        <v>#N/A</v>
      </c>
      <c r="E185" s="72" t="s">
        <v>655</v>
      </c>
    </row>
    <row r="186" spans="1:5" ht="12.75" x14ac:dyDescent="0.2">
      <c r="A186" s="72" t="s">
        <v>656</v>
      </c>
      <c r="B186" s="89" t="s">
        <v>657</v>
      </c>
      <c r="C186" s="104" t="str">
        <f t="shared" si="4"/>
        <v>5625 Oak Hill United School Corp   | (DUNS#)  86780160</v>
      </c>
      <c r="D186" s="71" t="e">
        <f t="shared" si="5"/>
        <v>#N/A</v>
      </c>
      <c r="E186" s="72" t="s">
        <v>1279</v>
      </c>
    </row>
    <row r="187" spans="1:5" ht="12.75" x14ac:dyDescent="0.2">
      <c r="A187" s="72" t="s">
        <v>658</v>
      </c>
      <c r="B187" s="89" t="s">
        <v>659</v>
      </c>
      <c r="C187" s="104" t="str">
        <f t="shared" si="4"/>
        <v>5635 Peru Community Schools        | (DUNS#)  094584265</v>
      </c>
      <c r="D187" s="71">
        <f t="shared" si="5"/>
        <v>8.0699999999999994E-2</v>
      </c>
      <c r="E187" s="72" t="s">
        <v>660</v>
      </c>
    </row>
    <row r="188" spans="1:5" ht="12.75" x14ac:dyDescent="0.2">
      <c r="A188" s="72" t="s">
        <v>661</v>
      </c>
      <c r="B188" s="89" t="s">
        <v>662</v>
      </c>
      <c r="C188" s="104" t="str">
        <f t="shared" si="4"/>
        <v>5705 Richland-Bean Blossom C S C   | (DUNS#)  087042362</v>
      </c>
      <c r="D188" s="71" t="e">
        <f t="shared" si="5"/>
        <v>#N/A</v>
      </c>
      <c r="E188" s="72" t="s">
        <v>663</v>
      </c>
    </row>
    <row r="189" spans="1:5" ht="12.75" x14ac:dyDescent="0.2">
      <c r="A189" s="72" t="s">
        <v>664</v>
      </c>
      <c r="B189" s="89" t="s">
        <v>665</v>
      </c>
      <c r="C189" s="104" t="str">
        <f t="shared" si="4"/>
        <v>5740 Monroe County Com Sch Corp    | (DUNS#)  072062342</v>
      </c>
      <c r="D189" s="71">
        <f t="shared" si="5"/>
        <v>4.1500000000000002E-2</v>
      </c>
      <c r="E189" s="72" t="s">
        <v>666</v>
      </c>
    </row>
    <row r="190" spans="1:5" ht="12.75" x14ac:dyDescent="0.2">
      <c r="A190" s="72" t="s">
        <v>667</v>
      </c>
      <c r="B190" s="89" t="s">
        <v>668</v>
      </c>
      <c r="C190" s="104" t="str">
        <f t="shared" si="4"/>
        <v>5835 North Montgomery Com Sch Corp | (DUNS#)  195892534</v>
      </c>
      <c r="D190" s="71" t="e">
        <f t="shared" si="5"/>
        <v>#N/A</v>
      </c>
      <c r="E190" s="72" t="s">
        <v>669</v>
      </c>
    </row>
    <row r="191" spans="1:5" ht="12.75" x14ac:dyDescent="0.2">
      <c r="A191" s="72" t="s">
        <v>670</v>
      </c>
      <c r="B191" s="89" t="s">
        <v>671</v>
      </c>
      <c r="C191" s="104" t="str">
        <f t="shared" si="4"/>
        <v>5845 South Montgomery Com Sch Corp | (DUNS#)  869062588</v>
      </c>
      <c r="D191" s="71" t="e">
        <f t="shared" si="5"/>
        <v>#N/A</v>
      </c>
      <c r="E191" s="72" t="s">
        <v>672</v>
      </c>
    </row>
    <row r="192" spans="1:5" ht="12.75" x14ac:dyDescent="0.2">
      <c r="A192" s="72" t="s">
        <v>673</v>
      </c>
      <c r="B192" s="89" t="s">
        <v>674</v>
      </c>
      <c r="C192" s="104" t="str">
        <f t="shared" si="4"/>
        <v>5855 Crawfordsville Com Schools    | (DUNS#)  87041331</v>
      </c>
      <c r="D192" s="71" t="e">
        <f t="shared" si="5"/>
        <v>#N/A</v>
      </c>
      <c r="E192" s="72" t="s">
        <v>1253</v>
      </c>
    </row>
    <row r="193" spans="1:5" ht="12.75" x14ac:dyDescent="0.2">
      <c r="A193" s="72" t="s">
        <v>675</v>
      </c>
      <c r="B193" s="89" t="s">
        <v>676</v>
      </c>
      <c r="C193" s="104" t="str">
        <f t="shared" si="4"/>
        <v>5900 Monroe-Gregg School District  | (DUNS#)  092010487</v>
      </c>
      <c r="D193" s="71">
        <f t="shared" si="5"/>
        <v>5.0000000000000001E-3</v>
      </c>
      <c r="E193" s="72" t="s">
        <v>677</v>
      </c>
    </row>
    <row r="194" spans="1:5" ht="12.75" x14ac:dyDescent="0.2">
      <c r="A194" s="72" t="s">
        <v>678</v>
      </c>
      <c r="B194" s="89" t="s">
        <v>679</v>
      </c>
      <c r="C194" s="104" t="str">
        <f t="shared" ref="C194:C257" si="6">A194&amp;" "&amp;B194&amp;"|"&amp;" "&amp;"(DUNS#)"&amp;"  "&amp;E194</f>
        <v>5910 Eminence Con School Corp      | (DUNS#)  094469293</v>
      </c>
      <c r="D194" s="71" t="e">
        <f t="shared" ref="D194:D257" si="7">VLOOKUP(A194,ICR,3,FALSE)</f>
        <v>#N/A</v>
      </c>
      <c r="E194" s="72" t="s">
        <v>680</v>
      </c>
    </row>
    <row r="195" spans="1:5" ht="12.75" x14ac:dyDescent="0.2">
      <c r="A195" s="72" t="s">
        <v>681</v>
      </c>
      <c r="B195" s="89" t="s">
        <v>682</v>
      </c>
      <c r="C195" s="104" t="str">
        <f t="shared" si="6"/>
        <v>5925 M S D Martinsville Schools    | (DUNS#)  112661160</v>
      </c>
      <c r="D195" s="71">
        <f t="shared" si="7"/>
        <v>0.02</v>
      </c>
      <c r="E195" s="72" t="s">
        <v>683</v>
      </c>
    </row>
    <row r="196" spans="1:5" ht="12.75" x14ac:dyDescent="0.2">
      <c r="A196" s="72" t="s">
        <v>684</v>
      </c>
      <c r="B196" s="89" t="s">
        <v>685</v>
      </c>
      <c r="C196" s="104" t="str">
        <f t="shared" si="6"/>
        <v>5930 Mooresville Con School Corp   | (DUNS#)  075953703</v>
      </c>
      <c r="D196" s="71">
        <f t="shared" si="7"/>
        <v>1.66E-2</v>
      </c>
      <c r="E196" s="72" t="s">
        <v>686</v>
      </c>
    </row>
    <row r="197" spans="1:5" ht="12.75" x14ac:dyDescent="0.2">
      <c r="A197" s="72" t="s">
        <v>687</v>
      </c>
      <c r="B197" s="89" t="s">
        <v>688</v>
      </c>
      <c r="C197" s="104" t="str">
        <f t="shared" si="6"/>
        <v>5945 North Newton School Corp      | (DUNS#)  094562717</v>
      </c>
      <c r="D197" s="71">
        <f t="shared" si="7"/>
        <v>1.2800000000000001E-2</v>
      </c>
      <c r="E197" s="72" t="s">
        <v>689</v>
      </c>
    </row>
    <row r="198" spans="1:5" ht="12.75" x14ac:dyDescent="0.2">
      <c r="A198" s="72" t="s">
        <v>690</v>
      </c>
      <c r="B198" s="89" t="s">
        <v>691</v>
      </c>
      <c r="C198" s="104" t="str">
        <f t="shared" si="6"/>
        <v>5995 South Newton School Corp      | (DUNS#)  100021906</v>
      </c>
      <c r="D198" s="71">
        <f t="shared" si="7"/>
        <v>3.32E-2</v>
      </c>
      <c r="E198" s="72" t="s">
        <v>692</v>
      </c>
    </row>
    <row r="199" spans="1:5" ht="12.75" x14ac:dyDescent="0.2">
      <c r="A199" s="72" t="s">
        <v>693</v>
      </c>
      <c r="B199" s="89" t="s">
        <v>694</v>
      </c>
      <c r="C199" s="104" t="str">
        <f t="shared" si="6"/>
        <v>6055 Central Noble Com School Corp | (DUNS#)  104636444</v>
      </c>
      <c r="D199" s="71" t="e">
        <f t="shared" si="7"/>
        <v>#N/A</v>
      </c>
      <c r="E199" s="72" t="s">
        <v>695</v>
      </c>
    </row>
    <row r="200" spans="1:5" ht="12.75" x14ac:dyDescent="0.2">
      <c r="A200" s="72" t="s">
        <v>696</v>
      </c>
      <c r="B200" s="89" t="s">
        <v>697</v>
      </c>
      <c r="C200" s="104" t="str">
        <f t="shared" si="6"/>
        <v>6060 East Noble School Corp        | (DUNS#)  193090529</v>
      </c>
      <c r="D200" s="71" t="e">
        <f t="shared" si="7"/>
        <v>#N/A</v>
      </c>
      <c r="E200" s="72" t="s">
        <v>1257</v>
      </c>
    </row>
    <row r="201" spans="1:5" ht="12.75" x14ac:dyDescent="0.2">
      <c r="A201" s="72" t="s">
        <v>698</v>
      </c>
      <c r="B201" s="89" t="s">
        <v>699</v>
      </c>
      <c r="C201" s="104" t="str">
        <f t="shared" si="6"/>
        <v>6065 West Noble School Corporation | (DUNS#)  620204628</v>
      </c>
      <c r="D201" s="71" t="e">
        <f t="shared" si="7"/>
        <v>#N/A</v>
      </c>
      <c r="E201" s="72" t="s">
        <v>700</v>
      </c>
    </row>
    <row r="202" spans="1:5" ht="12.75" x14ac:dyDescent="0.2">
      <c r="A202" s="72" t="s">
        <v>701</v>
      </c>
      <c r="B202" s="89" t="s">
        <v>702</v>
      </c>
      <c r="C202" s="104" t="str">
        <f t="shared" si="6"/>
        <v>6080 Rising Sun-Ohio Co Com        | (DUNS#)  100021765</v>
      </c>
      <c r="D202" s="71" t="e">
        <f t="shared" si="7"/>
        <v>#N/A</v>
      </c>
      <c r="E202" s="72" t="s">
        <v>1283</v>
      </c>
    </row>
    <row r="203" spans="1:5" ht="12.75" x14ac:dyDescent="0.2">
      <c r="A203" s="72" t="s">
        <v>703</v>
      </c>
      <c r="B203" s="89" t="s">
        <v>704</v>
      </c>
      <c r="C203" s="104" t="str">
        <f t="shared" si="6"/>
        <v>6145 Orleans Community Schools     | (DUNS#)  189341274</v>
      </c>
      <c r="D203" s="71" t="e">
        <f t="shared" si="7"/>
        <v>#N/A</v>
      </c>
      <c r="E203" s="72" t="s">
        <v>705</v>
      </c>
    </row>
    <row r="204" spans="1:5" ht="12.75" x14ac:dyDescent="0.2">
      <c r="A204" s="72" t="s">
        <v>706</v>
      </c>
      <c r="B204" s="89" t="s">
        <v>707</v>
      </c>
      <c r="C204" s="104" t="str">
        <f t="shared" si="6"/>
        <v>6155 Paoli Community School Corp   | (DUNS#)  100021708</v>
      </c>
      <c r="D204" s="71" t="e">
        <f t="shared" si="7"/>
        <v>#N/A</v>
      </c>
      <c r="E204" s="72" t="s">
        <v>708</v>
      </c>
    </row>
    <row r="205" spans="1:5" ht="12.75" x14ac:dyDescent="0.2">
      <c r="A205" s="72" t="s">
        <v>709</v>
      </c>
      <c r="B205" s="89" t="s">
        <v>710</v>
      </c>
      <c r="C205" s="104" t="str">
        <f t="shared" si="6"/>
        <v>6160 Springs Valley Com School Corp| (DUNS#)  193090487</v>
      </c>
      <c r="D205" s="71" t="e">
        <f t="shared" si="7"/>
        <v>#N/A</v>
      </c>
      <c r="E205" s="72" t="s">
        <v>711</v>
      </c>
    </row>
    <row r="206" spans="1:5" ht="12.75" x14ac:dyDescent="0.2">
      <c r="A206" s="72" t="s">
        <v>712</v>
      </c>
      <c r="B206" s="89" t="s">
        <v>713</v>
      </c>
      <c r="C206" s="104" t="str">
        <f t="shared" si="6"/>
        <v>6195 Spencer-Owen Community Schools| (DUNS#)  120406855</v>
      </c>
      <c r="D206" s="71" t="e">
        <f t="shared" si="7"/>
        <v>#N/A</v>
      </c>
      <c r="E206" s="72" t="s">
        <v>714</v>
      </c>
    </row>
    <row r="207" spans="1:5" ht="12.75" x14ac:dyDescent="0.2">
      <c r="A207" s="72" t="s">
        <v>715</v>
      </c>
      <c r="B207" s="89" t="s">
        <v>716</v>
      </c>
      <c r="C207" s="104" t="str">
        <f t="shared" si="6"/>
        <v>6260 Southwest Parke Com Sch Corp  | (DUNS#)  072062367</v>
      </c>
      <c r="D207" s="71" t="e">
        <f t="shared" si="7"/>
        <v>#N/A</v>
      </c>
      <c r="E207" s="72" t="s">
        <v>717</v>
      </c>
    </row>
    <row r="208" spans="1:5" ht="12.75" x14ac:dyDescent="0.2">
      <c r="A208" s="72" t="s">
        <v>718</v>
      </c>
      <c r="B208" s="89" t="s">
        <v>719</v>
      </c>
      <c r="C208" s="104" t="str">
        <f t="shared" si="6"/>
        <v>6325 Perry Central Com Schools Corp| (DUNS#)  050634211</v>
      </c>
      <c r="D208" s="71">
        <f t="shared" si="7"/>
        <v>0</v>
      </c>
      <c r="E208" s="72" t="s">
        <v>720</v>
      </c>
    </row>
    <row r="209" spans="1:5" ht="12.75" x14ac:dyDescent="0.2">
      <c r="A209" s="72" t="s">
        <v>721</v>
      </c>
      <c r="B209" s="89" t="s">
        <v>722</v>
      </c>
      <c r="C209" s="104" t="str">
        <f t="shared" si="6"/>
        <v>6340 Cannelton City Schools        | (DUNS#)  100021161</v>
      </c>
      <c r="D209" s="71" t="e">
        <f t="shared" si="7"/>
        <v>#N/A</v>
      </c>
      <c r="E209" s="72" t="s">
        <v>723</v>
      </c>
    </row>
    <row r="210" spans="1:5" ht="14.45" customHeight="1" x14ac:dyDescent="0.2">
      <c r="A210" s="72" t="s">
        <v>724</v>
      </c>
      <c r="B210" s="89" t="s">
        <v>725</v>
      </c>
      <c r="C210" s="104" t="str">
        <f t="shared" si="6"/>
        <v>6350 Tell City-Troy Twp School Corp| (DUNS#)  021732946</v>
      </c>
      <c r="D210" s="71" t="e">
        <f t="shared" si="7"/>
        <v>#N/A</v>
      </c>
      <c r="E210" s="100" t="s">
        <v>726</v>
      </c>
    </row>
    <row r="211" spans="1:5" ht="14.45" customHeight="1" x14ac:dyDescent="0.25">
      <c r="A211" s="72" t="s">
        <v>727</v>
      </c>
      <c r="B211" s="89" t="s">
        <v>728</v>
      </c>
      <c r="C211" s="104" t="str">
        <f t="shared" si="6"/>
        <v>6375 North Central Parke Comm Sch Corp| (DUNS#)  79093687</v>
      </c>
      <c r="D211" s="71" t="e">
        <f t="shared" si="7"/>
        <v>#N/A</v>
      </c>
      <c r="E211" s="101" t="s">
        <v>1277</v>
      </c>
    </row>
    <row r="212" spans="1:5" ht="12.75" x14ac:dyDescent="0.2">
      <c r="A212" s="72" t="s">
        <v>729</v>
      </c>
      <c r="B212" s="89" t="s">
        <v>730</v>
      </c>
      <c r="C212" s="104" t="str">
        <f t="shared" si="6"/>
        <v>6445 Pike County School Corp       | (DUNS#)  085056463</v>
      </c>
      <c r="D212" s="71" t="e">
        <f t="shared" si="7"/>
        <v>#N/A</v>
      </c>
      <c r="E212" s="72" t="s">
        <v>731</v>
      </c>
    </row>
    <row r="213" spans="1:5" ht="12.75" x14ac:dyDescent="0.2">
      <c r="A213" s="72" t="s">
        <v>732</v>
      </c>
      <c r="B213" s="89" t="s">
        <v>733</v>
      </c>
      <c r="C213" s="104" t="str">
        <f t="shared" si="6"/>
        <v>6460 M S D Boone Township          | (DUNS#)  800471901</v>
      </c>
      <c r="D213" s="71" t="e">
        <f t="shared" si="7"/>
        <v>#N/A</v>
      </c>
      <c r="E213" s="72" t="s">
        <v>734</v>
      </c>
    </row>
    <row r="214" spans="1:5" ht="12.75" x14ac:dyDescent="0.2">
      <c r="A214" s="72" t="s">
        <v>735</v>
      </c>
      <c r="B214" s="89" t="s">
        <v>736</v>
      </c>
      <c r="C214" s="104" t="str">
        <f t="shared" si="6"/>
        <v>6470 Duneland School Corporation   | (DUNS#)  040259269</v>
      </c>
      <c r="D214" s="71">
        <f t="shared" si="7"/>
        <v>5.4100000000000002E-2</v>
      </c>
      <c r="E214" s="72" t="s">
        <v>737</v>
      </c>
    </row>
    <row r="215" spans="1:5" ht="12.75" x14ac:dyDescent="0.2">
      <c r="A215" s="72" t="s">
        <v>738</v>
      </c>
      <c r="B215" s="89" t="s">
        <v>739</v>
      </c>
      <c r="C215" s="104" t="str">
        <f t="shared" si="6"/>
        <v>6510 East Porter County School Corp| (DUNS#)  790932029</v>
      </c>
      <c r="D215" s="71" t="e">
        <f t="shared" si="7"/>
        <v>#N/A</v>
      </c>
      <c r="E215" s="72" t="s">
        <v>740</v>
      </c>
    </row>
    <row r="216" spans="1:5" ht="14.45" customHeight="1" x14ac:dyDescent="0.2">
      <c r="A216" s="72" t="s">
        <v>741</v>
      </c>
      <c r="B216" s="89" t="s">
        <v>742</v>
      </c>
      <c r="C216" s="104" t="str">
        <f t="shared" si="6"/>
        <v>6520 Porter Township School Corp   | (DUNS#)  102347432</v>
      </c>
      <c r="D216" s="71" t="e">
        <f t="shared" si="7"/>
        <v>#N/A</v>
      </c>
      <c r="E216" s="72" t="s">
        <v>743</v>
      </c>
    </row>
    <row r="217" spans="1:5" ht="12.75" x14ac:dyDescent="0.2">
      <c r="A217" s="72" t="s">
        <v>744</v>
      </c>
      <c r="B217" s="89" t="s">
        <v>745</v>
      </c>
      <c r="C217" s="104" t="str">
        <f t="shared" si="6"/>
        <v>6530 Union Township School Corp    | (DUNS#)  098646771</v>
      </c>
      <c r="D217" s="71">
        <f t="shared" si="7"/>
        <v>0.03</v>
      </c>
      <c r="E217" s="72" t="s">
        <v>746</v>
      </c>
    </row>
    <row r="218" spans="1:5" ht="12.75" x14ac:dyDescent="0.2">
      <c r="A218" s="72" t="s">
        <v>747</v>
      </c>
      <c r="B218" s="89" t="s">
        <v>748</v>
      </c>
      <c r="C218" s="104" t="str">
        <f t="shared" si="6"/>
        <v>6550 Portage Township Schools      | (DUNS#)  193221645</v>
      </c>
      <c r="D218" s="71" t="e">
        <f t="shared" si="7"/>
        <v>#N/A</v>
      </c>
      <c r="E218" s="72" t="s">
        <v>749</v>
      </c>
    </row>
    <row r="219" spans="1:5" ht="12.75" x14ac:dyDescent="0.2">
      <c r="A219" s="72" t="s">
        <v>750</v>
      </c>
      <c r="B219" s="89" t="s">
        <v>751</v>
      </c>
      <c r="C219" s="104" t="str">
        <f t="shared" si="6"/>
        <v>6560 Valparaiso Community Schools  | (DUNS#)  86772555</v>
      </c>
      <c r="D219" s="71" t="e">
        <f t="shared" si="7"/>
        <v>#N/A</v>
      </c>
      <c r="E219" s="72" t="s">
        <v>1294</v>
      </c>
    </row>
    <row r="220" spans="1:5" ht="12.75" x14ac:dyDescent="0.2">
      <c r="A220" s="72" t="s">
        <v>752</v>
      </c>
      <c r="B220" s="89" t="s">
        <v>753</v>
      </c>
      <c r="C220" s="104" t="str">
        <f t="shared" si="6"/>
        <v>6590 M S D Mount Vernon            | (DUNS#)  020429536</v>
      </c>
      <c r="D220" s="71">
        <f t="shared" si="7"/>
        <v>1.2999999999999999E-2</v>
      </c>
      <c r="E220" s="72" t="s">
        <v>754</v>
      </c>
    </row>
    <row r="221" spans="1:5" ht="12.75" x14ac:dyDescent="0.2">
      <c r="A221" s="72" t="s">
        <v>755</v>
      </c>
      <c r="B221" s="89" t="s">
        <v>756</v>
      </c>
      <c r="C221" s="104" t="str">
        <f t="shared" si="6"/>
        <v>6600 M S D North Posey Co Schools  | (DUNS#)  100648187</v>
      </c>
      <c r="D221" s="71" t="e">
        <f t="shared" si="7"/>
        <v>#N/A</v>
      </c>
      <c r="E221" s="72" t="s">
        <v>757</v>
      </c>
    </row>
    <row r="222" spans="1:5" ht="12.75" x14ac:dyDescent="0.2">
      <c r="A222" s="72" t="s">
        <v>758</v>
      </c>
      <c r="B222" s="89" t="s">
        <v>759</v>
      </c>
      <c r="C222" s="104" t="str">
        <f t="shared" si="6"/>
        <v>6620 Eastern Pulaski Com Sch Corp  | (DUNS#)  078900727</v>
      </c>
      <c r="D222" s="71" t="e">
        <f t="shared" si="7"/>
        <v>#N/A</v>
      </c>
      <c r="E222" s="72" t="s">
        <v>760</v>
      </c>
    </row>
    <row r="223" spans="1:5" ht="12.75" x14ac:dyDescent="0.2">
      <c r="A223" s="72" t="s">
        <v>761</v>
      </c>
      <c r="B223" s="89" t="s">
        <v>762</v>
      </c>
      <c r="C223" s="104" t="str">
        <f t="shared" si="6"/>
        <v>6630 West Central School Corp      | (DUNS#)  069756542</v>
      </c>
      <c r="D223" s="71" t="e">
        <f t="shared" si="7"/>
        <v>#N/A</v>
      </c>
      <c r="E223" s="72" t="s">
        <v>763</v>
      </c>
    </row>
    <row r="224" spans="1:5" ht="12.75" x14ac:dyDescent="0.2">
      <c r="A224" s="72" t="s">
        <v>764</v>
      </c>
      <c r="B224" s="89" t="s">
        <v>765</v>
      </c>
      <c r="C224" s="104" t="str">
        <f t="shared" si="6"/>
        <v>6705 South Putnam Community Schools| (DUNS#)  100648310</v>
      </c>
      <c r="D224" s="71" t="e">
        <f t="shared" si="7"/>
        <v>#N/A</v>
      </c>
      <c r="E224" s="72" t="s">
        <v>766</v>
      </c>
    </row>
    <row r="225" spans="1:5" ht="12.75" x14ac:dyDescent="0.2">
      <c r="A225" s="72" t="s">
        <v>767</v>
      </c>
      <c r="B225" s="89" t="s">
        <v>768</v>
      </c>
      <c r="C225" s="104" t="str">
        <f t="shared" si="6"/>
        <v>6715 North Putnam Community Schools| (DUNS#)  072072747</v>
      </c>
      <c r="D225" s="71" t="e">
        <f t="shared" si="7"/>
        <v>#N/A</v>
      </c>
      <c r="E225" s="72" t="s">
        <v>769</v>
      </c>
    </row>
    <row r="226" spans="1:5" ht="12.75" x14ac:dyDescent="0.2">
      <c r="A226" s="72" t="s">
        <v>770</v>
      </c>
      <c r="B226" s="89" t="s">
        <v>771</v>
      </c>
      <c r="C226" s="104" t="str">
        <f t="shared" si="6"/>
        <v>6750 Cloverdale Community Schools  | (DUNS#)  100648021</v>
      </c>
      <c r="D226" s="71" t="e">
        <f t="shared" si="7"/>
        <v>#N/A</v>
      </c>
      <c r="E226" s="72" t="s">
        <v>772</v>
      </c>
    </row>
    <row r="227" spans="1:5" ht="12.75" x14ac:dyDescent="0.2">
      <c r="A227" s="72" t="s">
        <v>773</v>
      </c>
      <c r="B227" s="89" t="s">
        <v>774</v>
      </c>
      <c r="C227" s="104" t="str">
        <f t="shared" si="6"/>
        <v>6755 Greencastle Community Sch Corp| (DUNS#)  072057672</v>
      </c>
      <c r="D227" s="71" t="e">
        <f t="shared" si="7"/>
        <v>#N/A</v>
      </c>
      <c r="E227" s="72" t="s">
        <v>775</v>
      </c>
    </row>
    <row r="228" spans="1:5" ht="12.75" x14ac:dyDescent="0.2">
      <c r="A228" s="72" t="s">
        <v>776</v>
      </c>
      <c r="B228" s="89" t="s">
        <v>777</v>
      </c>
      <c r="C228" s="104" t="str">
        <f t="shared" si="6"/>
        <v>6795 Union School Corporation      | (DUNS#)  193221686</v>
      </c>
      <c r="D228" s="71" t="e">
        <f t="shared" si="7"/>
        <v>#N/A</v>
      </c>
      <c r="E228" s="72" t="s">
        <v>778</v>
      </c>
    </row>
    <row r="229" spans="1:5" ht="12.75" x14ac:dyDescent="0.2">
      <c r="A229" s="72" t="s">
        <v>779</v>
      </c>
      <c r="B229" s="89" t="s">
        <v>780</v>
      </c>
      <c r="C229" s="104" t="str">
        <f t="shared" si="6"/>
        <v>6805 Randolph Southern School Corp | (DUNS#)  100021930</v>
      </c>
      <c r="D229" s="71">
        <f t="shared" si="7"/>
        <v>1E-3</v>
      </c>
      <c r="E229" s="72" t="s">
        <v>781</v>
      </c>
    </row>
    <row r="230" spans="1:5" ht="12.75" x14ac:dyDescent="0.2">
      <c r="A230" s="72" t="s">
        <v>782</v>
      </c>
      <c r="B230" s="89" t="s">
        <v>783</v>
      </c>
      <c r="C230" s="104" t="str">
        <f t="shared" si="6"/>
        <v>6820 Monroe Central School Corp    | (DUNS#)  098139124</v>
      </c>
      <c r="D230" s="71" t="e">
        <f t="shared" si="7"/>
        <v>#N/A</v>
      </c>
      <c r="E230" s="72" t="s">
        <v>784</v>
      </c>
    </row>
    <row r="231" spans="1:5" ht="12.75" x14ac:dyDescent="0.2">
      <c r="A231" s="72" t="s">
        <v>785</v>
      </c>
      <c r="B231" s="89" t="s">
        <v>786</v>
      </c>
      <c r="C231" s="104" t="str">
        <f t="shared" si="6"/>
        <v>6825 Randolph Central School Corp  | (DUNS#)  092015312</v>
      </c>
      <c r="D231" s="71">
        <f t="shared" si="7"/>
        <v>1.06E-2</v>
      </c>
      <c r="E231" s="72" t="s">
        <v>787</v>
      </c>
    </row>
    <row r="232" spans="1:5" ht="12.75" x14ac:dyDescent="0.2">
      <c r="A232" s="72" t="s">
        <v>788</v>
      </c>
      <c r="B232" s="89" t="s">
        <v>789</v>
      </c>
      <c r="C232" s="104" t="str">
        <f t="shared" si="6"/>
        <v>6835 Randolph Eastern School Corp  | (DUNS#)  193221678</v>
      </c>
      <c r="D232" s="71" t="e">
        <f t="shared" si="7"/>
        <v>#N/A</v>
      </c>
      <c r="E232" s="72" t="s">
        <v>790</v>
      </c>
    </row>
    <row r="233" spans="1:5" ht="12.75" x14ac:dyDescent="0.2">
      <c r="A233" s="72" t="s">
        <v>791</v>
      </c>
      <c r="B233" s="89" t="s">
        <v>792</v>
      </c>
      <c r="C233" s="104" t="str">
        <f t="shared" si="6"/>
        <v>6865 South Ripley Com Sch Corp     | (DUNS#)  193090065</v>
      </c>
      <c r="D233" s="71">
        <f t="shared" si="7"/>
        <v>2.7E-2</v>
      </c>
      <c r="E233" s="72" t="s">
        <v>793</v>
      </c>
    </row>
    <row r="234" spans="1:5" ht="12.75" x14ac:dyDescent="0.2">
      <c r="A234" s="72" t="s">
        <v>794</v>
      </c>
      <c r="B234" s="89" t="s">
        <v>795</v>
      </c>
      <c r="C234" s="104" t="str">
        <f t="shared" si="6"/>
        <v>6895 Batesville Community Sch Corp | (DUNS#)  060923893</v>
      </c>
      <c r="D234" s="71">
        <f t="shared" si="7"/>
        <v>7.9000000000000008E-3</v>
      </c>
      <c r="E234" s="72" t="s">
        <v>796</v>
      </c>
    </row>
    <row r="235" spans="1:5" ht="12.75" x14ac:dyDescent="0.2">
      <c r="A235" s="72" t="s">
        <v>797</v>
      </c>
      <c r="B235" s="89" t="s">
        <v>798</v>
      </c>
      <c r="C235" s="104" t="str">
        <f t="shared" si="6"/>
        <v>6900 Jac-Cen-Del Community Sch Corp| (DUNS#)  100218361</v>
      </c>
      <c r="D235" s="71">
        <f t="shared" si="7"/>
        <v>1.5900000000000001E-2</v>
      </c>
      <c r="E235" s="72" t="s">
        <v>799</v>
      </c>
    </row>
    <row r="236" spans="1:5" ht="12.75" x14ac:dyDescent="0.2">
      <c r="A236" s="72" t="s">
        <v>800</v>
      </c>
      <c r="B236" s="89" t="s">
        <v>801</v>
      </c>
      <c r="C236" s="104" t="str">
        <f t="shared" si="6"/>
        <v>6910 Milan Community Schools       | (DUNS#)  100021583</v>
      </c>
      <c r="D236" s="71" t="e">
        <f t="shared" si="7"/>
        <v>#N/A</v>
      </c>
      <c r="E236" s="72" t="s">
        <v>802</v>
      </c>
    </row>
    <row r="237" spans="1:5" ht="12.75" x14ac:dyDescent="0.2">
      <c r="A237" s="72" t="s">
        <v>803</v>
      </c>
      <c r="B237" s="89" t="s">
        <v>804</v>
      </c>
      <c r="C237" s="104" t="str">
        <f t="shared" si="6"/>
        <v>6995 Rush County Schools           | (DUNS#)  050298009</v>
      </c>
      <c r="D237" s="71">
        <f t="shared" si="7"/>
        <v>2.87E-2</v>
      </c>
      <c r="E237" s="72" t="s">
        <v>805</v>
      </c>
    </row>
    <row r="238" spans="1:5" ht="14.45" customHeight="1" x14ac:dyDescent="0.2">
      <c r="A238" s="72" t="s">
        <v>806</v>
      </c>
      <c r="B238" s="89" t="s">
        <v>807</v>
      </c>
      <c r="C238" s="104" t="str">
        <f t="shared" si="6"/>
        <v>7150 John Glenn School Corporation | (DUNS#)  094567062</v>
      </c>
      <c r="D238" s="71">
        <f t="shared" si="7"/>
        <v>1.52E-2</v>
      </c>
      <c r="E238" s="72" t="s">
        <v>808</v>
      </c>
    </row>
    <row r="239" spans="1:5" ht="12.75" x14ac:dyDescent="0.2">
      <c r="A239" s="72" t="s">
        <v>809</v>
      </c>
      <c r="B239" s="89" t="s">
        <v>810</v>
      </c>
      <c r="C239" s="104" t="str">
        <f t="shared" si="6"/>
        <v>7175 Penn-Harris-Madison Sch Corp  | (DUNS#)  78916632</v>
      </c>
      <c r="D239" s="71">
        <f t="shared" si="7"/>
        <v>2.29E-2</v>
      </c>
      <c r="E239" s="72" t="s">
        <v>1280</v>
      </c>
    </row>
    <row r="240" spans="1:5" ht="12.75" x14ac:dyDescent="0.2">
      <c r="A240" s="72" t="s">
        <v>811</v>
      </c>
      <c r="B240" s="89" t="s">
        <v>812</v>
      </c>
      <c r="C240" s="104" t="str">
        <f t="shared" si="6"/>
        <v>7200 School City Of Mishawaka      | (DUNS#)  098647050</v>
      </c>
      <c r="D240" s="71">
        <f t="shared" si="7"/>
        <v>1.84E-2</v>
      </c>
      <c r="E240" s="72" t="s">
        <v>813</v>
      </c>
    </row>
    <row r="241" spans="1:5" ht="12.75" x14ac:dyDescent="0.2">
      <c r="A241" s="72" t="s">
        <v>814</v>
      </c>
      <c r="B241" s="89" t="s">
        <v>815</v>
      </c>
      <c r="C241" s="104" t="str">
        <f t="shared" si="6"/>
        <v>7205 South Bend Community Sch Corp | (DUNS#)  074307216</v>
      </c>
      <c r="D241" s="71">
        <f t="shared" si="7"/>
        <v>1.7999999999999999E-2</v>
      </c>
      <c r="E241" s="72" t="s">
        <v>816</v>
      </c>
    </row>
    <row r="242" spans="1:5" ht="14.45" customHeight="1" x14ac:dyDescent="0.2">
      <c r="A242" s="72" t="s">
        <v>817</v>
      </c>
      <c r="B242" s="89" t="s">
        <v>818</v>
      </c>
      <c r="C242" s="104" t="str">
        <f t="shared" si="6"/>
        <v>7215 Union-North United School Corp| (DUNS#)  078911302</v>
      </c>
      <c r="D242" s="71">
        <f t="shared" si="7"/>
        <v>0</v>
      </c>
      <c r="E242" s="72" t="s">
        <v>819</v>
      </c>
    </row>
    <row r="243" spans="1:5" ht="12.75" x14ac:dyDescent="0.2">
      <c r="A243" s="72" t="s">
        <v>820</v>
      </c>
      <c r="B243" s="89" t="s">
        <v>821</v>
      </c>
      <c r="C243" s="104" t="str">
        <f t="shared" si="6"/>
        <v>7230 Scott County School District 1| (DUNS#)  183979723</v>
      </c>
      <c r="D243" s="71" t="e">
        <f t="shared" si="7"/>
        <v>#N/A</v>
      </c>
      <c r="E243" s="72" t="s">
        <v>822</v>
      </c>
    </row>
    <row r="244" spans="1:5" ht="12.75" x14ac:dyDescent="0.2">
      <c r="A244" s="72" t="s">
        <v>823</v>
      </c>
      <c r="B244" s="89" t="s">
        <v>824</v>
      </c>
      <c r="C244" s="104" t="str">
        <f t="shared" si="6"/>
        <v>7255 Scott County School District 2| (DUNS#)  182239244</v>
      </c>
      <c r="D244" s="71" t="e">
        <f t="shared" si="7"/>
        <v>#N/A</v>
      </c>
      <c r="E244" s="72" t="s">
        <v>825</v>
      </c>
    </row>
    <row r="245" spans="1:5" ht="12.75" x14ac:dyDescent="0.2">
      <c r="A245" s="72" t="s">
        <v>826</v>
      </c>
      <c r="B245" s="89" t="s">
        <v>827</v>
      </c>
      <c r="C245" s="104" t="str">
        <f t="shared" si="6"/>
        <v>7285 Shelby Eastern Schools| (DUNS#)  050674126</v>
      </c>
      <c r="D245" s="71" t="e">
        <f t="shared" si="7"/>
        <v>#N/A</v>
      </c>
      <c r="E245" s="72" t="s">
        <v>828</v>
      </c>
    </row>
    <row r="246" spans="1:5" ht="12.75" x14ac:dyDescent="0.2">
      <c r="A246" s="72" t="s">
        <v>829</v>
      </c>
      <c r="B246" s="89" t="s">
        <v>830</v>
      </c>
      <c r="C246" s="104" t="str">
        <f t="shared" si="6"/>
        <v>7350 Northwestern Con School Corp  | (DUNS#)  093227643</v>
      </c>
      <c r="D246" s="71" t="e">
        <f t="shared" si="7"/>
        <v>#N/A</v>
      </c>
      <c r="E246" s="72" t="s">
        <v>831</v>
      </c>
    </row>
    <row r="247" spans="1:5" ht="12.75" x14ac:dyDescent="0.2">
      <c r="A247" s="72" t="s">
        <v>832</v>
      </c>
      <c r="B247" s="89" t="s">
        <v>833</v>
      </c>
      <c r="C247" s="104" t="str">
        <f t="shared" si="6"/>
        <v>7360 Southwestern Con Sch Shelby Co| (DUNS#)  100743202</v>
      </c>
      <c r="D247" s="71" t="e">
        <f t="shared" si="7"/>
        <v>#N/A</v>
      </c>
      <c r="E247" s="72" t="s">
        <v>834</v>
      </c>
    </row>
    <row r="248" spans="1:5" ht="12.75" x14ac:dyDescent="0.2">
      <c r="A248" s="72" t="s">
        <v>835</v>
      </c>
      <c r="B248" s="89" t="s">
        <v>836</v>
      </c>
      <c r="C248" s="104" t="str">
        <f t="shared" si="6"/>
        <v>7365 Shelbyville Central Schools   | (DUNS#)  100021856</v>
      </c>
      <c r="D248" s="71">
        <f t="shared" si="7"/>
        <v>3.56994545842513E-3</v>
      </c>
      <c r="E248" s="72" t="s">
        <v>1290</v>
      </c>
    </row>
    <row r="249" spans="1:5" ht="12.75" x14ac:dyDescent="0.2">
      <c r="A249" s="72" t="s">
        <v>837</v>
      </c>
      <c r="B249" s="89" t="s">
        <v>838</v>
      </c>
      <c r="C249" s="104" t="str">
        <f t="shared" si="6"/>
        <v>7385 North Spencer County Sch Corp | (DUNS#)  102122033</v>
      </c>
      <c r="D249" s="71">
        <f t="shared" si="7"/>
        <v>3.0999999999999999E-3</v>
      </c>
      <c r="E249" s="72" t="s">
        <v>839</v>
      </c>
    </row>
    <row r="250" spans="1:5" ht="12.75" x14ac:dyDescent="0.2">
      <c r="A250" s="72" t="s">
        <v>840</v>
      </c>
      <c r="B250" s="89" t="s">
        <v>841</v>
      </c>
      <c r="C250" s="104" t="str">
        <f t="shared" si="6"/>
        <v>7445 South Spencer County Sch Corp | (DUNS#)  125235051</v>
      </c>
      <c r="D250" s="71" t="e">
        <f t="shared" si="7"/>
        <v>#N/A</v>
      </c>
      <c r="E250" s="72" t="s">
        <v>842</v>
      </c>
    </row>
    <row r="251" spans="1:5" ht="12.75" x14ac:dyDescent="0.2">
      <c r="A251" s="72" t="s">
        <v>843</v>
      </c>
      <c r="B251" s="89" t="s">
        <v>844</v>
      </c>
      <c r="C251" s="104" t="str">
        <f t="shared" si="6"/>
        <v>7495 Oregon-Davis School Corp      | (DUNS#)  050676253</v>
      </c>
      <c r="D251" s="71">
        <f t="shared" si="7"/>
        <v>5.3800000000000001E-2</v>
      </c>
      <c r="E251" s="72" t="s">
        <v>845</v>
      </c>
    </row>
    <row r="252" spans="1:5" ht="12.75" x14ac:dyDescent="0.2">
      <c r="A252" s="72" t="s">
        <v>846</v>
      </c>
      <c r="B252" s="89" t="s">
        <v>847</v>
      </c>
      <c r="C252" s="104" t="str">
        <f t="shared" si="6"/>
        <v>7515 North Judson-San Pierre Sch Co| (DUNS#)  115300113</v>
      </c>
      <c r="D252" s="71" t="e">
        <f t="shared" si="7"/>
        <v>#N/A</v>
      </c>
      <c r="E252" s="72" t="s">
        <v>848</v>
      </c>
    </row>
    <row r="253" spans="1:5" ht="12.75" x14ac:dyDescent="0.2">
      <c r="A253" s="72" t="s">
        <v>849</v>
      </c>
      <c r="B253" s="89" t="s">
        <v>850</v>
      </c>
      <c r="C253" s="104" t="str">
        <f t="shared" si="6"/>
        <v>7525 Knox Community School Corp    | (DUNS#)  050678093</v>
      </c>
      <c r="D253" s="71" t="e">
        <f t="shared" si="7"/>
        <v>#N/A</v>
      </c>
      <c r="E253" s="72" t="s">
        <v>851</v>
      </c>
    </row>
    <row r="254" spans="1:5" ht="12.75" x14ac:dyDescent="0.2">
      <c r="A254" s="72" t="s">
        <v>852</v>
      </c>
      <c r="B254" s="89" t="s">
        <v>853</v>
      </c>
      <c r="C254" s="104" t="str">
        <f t="shared" si="6"/>
        <v>7605 Fremont Community Schools     | (DUNS#)  092040484</v>
      </c>
      <c r="D254" s="71" t="e">
        <f t="shared" si="7"/>
        <v>#N/A</v>
      </c>
      <c r="E254" s="72" t="s">
        <v>854</v>
      </c>
    </row>
    <row r="255" spans="1:5" ht="12.75" x14ac:dyDescent="0.2">
      <c r="A255" s="72" t="s">
        <v>855</v>
      </c>
      <c r="B255" s="89" t="s">
        <v>856</v>
      </c>
      <c r="C255" s="104" t="str">
        <f t="shared" si="6"/>
        <v>7610 Hamilton Community Schools    | (DUNS#)  189341357</v>
      </c>
      <c r="D255" s="71" t="e">
        <f t="shared" si="7"/>
        <v>#N/A</v>
      </c>
      <c r="E255" s="72" t="s">
        <v>857</v>
      </c>
    </row>
    <row r="256" spans="1:5" ht="12.75" x14ac:dyDescent="0.2">
      <c r="A256" s="72" t="s">
        <v>858</v>
      </c>
      <c r="B256" s="89" t="s">
        <v>859</v>
      </c>
      <c r="C256" s="104" t="str">
        <f t="shared" si="6"/>
        <v>7615 M S D Steuben County          | (DUNS#)  100648369</v>
      </c>
      <c r="D256" s="71" t="e">
        <f t="shared" si="7"/>
        <v>#N/A</v>
      </c>
      <c r="E256" s="72" t="s">
        <v>1273</v>
      </c>
    </row>
    <row r="257" spans="1:5" ht="12.75" x14ac:dyDescent="0.2">
      <c r="A257" s="72" t="s">
        <v>860</v>
      </c>
      <c r="B257" s="89" t="s">
        <v>861</v>
      </c>
      <c r="C257" s="104" t="str">
        <f t="shared" si="6"/>
        <v>7645 Northeast School Corp         | (DUNS#)  050693373</v>
      </c>
      <c r="D257" s="71" t="e">
        <f t="shared" si="7"/>
        <v>#N/A</v>
      </c>
      <c r="E257" s="72" t="s">
        <v>862</v>
      </c>
    </row>
    <row r="258" spans="1:5" ht="12.75" x14ac:dyDescent="0.2">
      <c r="A258" s="72" t="s">
        <v>863</v>
      </c>
      <c r="B258" s="89" t="s">
        <v>864</v>
      </c>
      <c r="C258" s="104" t="str">
        <f t="shared" ref="C258:C321" si="8">A258&amp;" "&amp;B258&amp;"|"&amp;" "&amp;"(DUNS#)"&amp;"  "&amp;E258</f>
        <v>7715 Southwest School Corp         | (DUNS#)  100021948</v>
      </c>
      <c r="D258" s="71" t="e">
        <f t="shared" ref="D258:D303" si="9">VLOOKUP(A258,ICR,3,FALSE)</f>
        <v>#N/A</v>
      </c>
      <c r="E258" s="72" t="s">
        <v>865</v>
      </c>
    </row>
    <row r="259" spans="1:5" ht="12.75" x14ac:dyDescent="0.2">
      <c r="A259" s="72" t="s">
        <v>866</v>
      </c>
      <c r="B259" s="89" t="s">
        <v>867</v>
      </c>
      <c r="C259" s="104" t="str">
        <f t="shared" si="8"/>
        <v>7775 Switzerland County School Corp| (DUNS#)  050309251</v>
      </c>
      <c r="D259" s="71" t="e">
        <f t="shared" si="9"/>
        <v>#N/A</v>
      </c>
      <c r="E259" s="72" t="s">
        <v>868</v>
      </c>
    </row>
    <row r="260" spans="1:5" ht="12.75" x14ac:dyDescent="0.2">
      <c r="A260" s="72" t="s">
        <v>869</v>
      </c>
      <c r="B260" s="89" t="s">
        <v>870</v>
      </c>
      <c r="C260" s="104" t="str">
        <f t="shared" si="8"/>
        <v>7855 Lafayette School Corporation  | (DUNS#)  72060163</v>
      </c>
      <c r="D260" s="71">
        <f t="shared" si="9"/>
        <v>2.06E-2</v>
      </c>
      <c r="E260" s="72" t="s">
        <v>1268</v>
      </c>
    </row>
    <row r="261" spans="1:5" ht="12.75" x14ac:dyDescent="0.2">
      <c r="A261" s="72" t="s">
        <v>871</v>
      </c>
      <c r="B261" s="89" t="s">
        <v>872</v>
      </c>
      <c r="C261" s="104" t="str">
        <f t="shared" si="8"/>
        <v>7865 Tippecanoe School Corp        | (DUNS#)  075984559</v>
      </c>
      <c r="D261" s="71">
        <f t="shared" si="9"/>
        <v>1.3100000000000001E-2</v>
      </c>
      <c r="E261" s="72" t="s">
        <v>873</v>
      </c>
    </row>
    <row r="262" spans="1:5" ht="12.75" x14ac:dyDescent="0.2">
      <c r="A262" s="72" t="s">
        <v>874</v>
      </c>
      <c r="B262" s="89" t="s">
        <v>875</v>
      </c>
      <c r="C262" s="104" t="str">
        <f t="shared" si="8"/>
        <v>7875 West Lafayette Com School Corp| (DUNS#)  107235590</v>
      </c>
      <c r="D262" s="71">
        <f t="shared" si="9"/>
        <v>0</v>
      </c>
      <c r="E262" s="72" t="s">
        <v>1299</v>
      </c>
    </row>
    <row r="263" spans="1:5" ht="12.75" x14ac:dyDescent="0.2">
      <c r="A263" s="72" t="s">
        <v>876</v>
      </c>
      <c r="B263" s="89" t="s">
        <v>877</v>
      </c>
      <c r="C263" s="104" t="str">
        <f t="shared" si="8"/>
        <v>7935 Tri-Central Community Schools | (DUNS#)  193221801</v>
      </c>
      <c r="D263" s="71">
        <f t="shared" si="9"/>
        <v>1.8700000000000001E-2</v>
      </c>
      <c r="E263" s="72" t="s">
        <v>878</v>
      </c>
    </row>
    <row r="264" spans="1:5" ht="12.75" x14ac:dyDescent="0.2">
      <c r="A264" s="72" t="s">
        <v>879</v>
      </c>
      <c r="B264" s="89" t="s">
        <v>880</v>
      </c>
      <c r="C264" s="104" t="str">
        <f t="shared" si="8"/>
        <v>7945 Tipton Community School Corp  | (DUNS#)  087042925</v>
      </c>
      <c r="D264" s="71" t="e">
        <f t="shared" si="9"/>
        <v>#N/A</v>
      </c>
      <c r="E264" s="72" t="s">
        <v>881</v>
      </c>
    </row>
    <row r="265" spans="1:5" ht="12.75" x14ac:dyDescent="0.2">
      <c r="A265" s="72" t="s">
        <v>882</v>
      </c>
      <c r="B265" s="89" t="s">
        <v>883</v>
      </c>
      <c r="C265" s="104" t="str">
        <f t="shared" si="8"/>
        <v>7950 Union Co/Clg Corner Joint Sch | (DUNS#)  100022011</v>
      </c>
      <c r="D265" s="71" t="e">
        <f t="shared" si="9"/>
        <v>#N/A</v>
      </c>
      <c r="E265" s="72" t="s">
        <v>884</v>
      </c>
    </row>
    <row r="266" spans="1:5" ht="12.75" x14ac:dyDescent="0.2">
      <c r="A266" s="72" t="s">
        <v>885</v>
      </c>
      <c r="B266" s="89" t="s">
        <v>886</v>
      </c>
      <c r="C266" s="104" t="str">
        <f t="shared" si="8"/>
        <v>7995 Evansville-Vanderburgh Sch Cor| (DUNS#)  040418626</v>
      </c>
      <c r="D266" s="71">
        <f t="shared" si="9"/>
        <v>3.6400000000000002E-2</v>
      </c>
      <c r="E266" s="72" t="s">
        <v>887</v>
      </c>
    </row>
    <row r="267" spans="1:5" ht="12.75" x14ac:dyDescent="0.2">
      <c r="A267" s="72" t="s">
        <v>888</v>
      </c>
      <c r="B267" s="89" t="s">
        <v>889</v>
      </c>
      <c r="C267" s="104" t="str">
        <f t="shared" si="8"/>
        <v>8010 North Vermillion Com Sch Corp | (DUNS#)  183979905</v>
      </c>
      <c r="D267" s="71">
        <f t="shared" si="9"/>
        <v>4.7000000000000002E-3</v>
      </c>
      <c r="E267" s="72" t="s">
        <v>890</v>
      </c>
    </row>
    <row r="268" spans="1:5" ht="12.75" x14ac:dyDescent="0.2">
      <c r="A268" s="72" t="s">
        <v>891</v>
      </c>
      <c r="B268" s="89" t="s">
        <v>892</v>
      </c>
      <c r="C268" s="104" t="str">
        <f t="shared" si="8"/>
        <v>8020 South Vermillion Com Sch Corp | (DUNS#)  040300055</v>
      </c>
      <c r="D268" s="71" t="e">
        <f t="shared" si="9"/>
        <v>#N/A</v>
      </c>
      <c r="E268" s="72" t="s">
        <v>893</v>
      </c>
    </row>
    <row r="269" spans="1:5" ht="14.45" customHeight="1" x14ac:dyDescent="0.2">
      <c r="A269" s="72" t="s">
        <v>894</v>
      </c>
      <c r="B269" s="89" t="s">
        <v>895</v>
      </c>
      <c r="C269" s="104" t="str">
        <f t="shared" si="8"/>
        <v>8030 Vigo County School Corp       | (DUNS#)  79580692</v>
      </c>
      <c r="D269" s="71">
        <f t="shared" si="9"/>
        <v>2.64E-2</v>
      </c>
      <c r="E269" s="72" t="s">
        <v>1296</v>
      </c>
    </row>
    <row r="270" spans="1:5" ht="12.75" x14ac:dyDescent="0.2">
      <c r="A270" s="72" t="s">
        <v>896</v>
      </c>
      <c r="B270" s="89" t="s">
        <v>897</v>
      </c>
      <c r="C270" s="104" t="str">
        <f t="shared" si="8"/>
        <v>8045 Manchester Community Schools  | (DUNS#)  086780236</v>
      </c>
      <c r="D270" s="71">
        <f t="shared" si="9"/>
        <v>4.5199999999999997E-2</v>
      </c>
      <c r="E270" s="72" t="s">
        <v>898</v>
      </c>
    </row>
    <row r="271" spans="1:5" ht="12.75" x14ac:dyDescent="0.2">
      <c r="A271" s="72" t="s">
        <v>899</v>
      </c>
      <c r="B271" s="89" t="s">
        <v>900</v>
      </c>
      <c r="C271" s="104" t="str">
        <f t="shared" si="8"/>
        <v>8050 M S D Wabash County Schools   | (DUNS#)  086780053</v>
      </c>
      <c r="D271" s="71">
        <f t="shared" si="9"/>
        <v>3.73E-2</v>
      </c>
      <c r="E271" s="72" t="s">
        <v>901</v>
      </c>
    </row>
    <row r="272" spans="1:5" ht="12.75" x14ac:dyDescent="0.2">
      <c r="A272" s="72" t="s">
        <v>902</v>
      </c>
      <c r="B272" s="89" t="s">
        <v>903</v>
      </c>
      <c r="C272" s="104" t="str">
        <f t="shared" si="8"/>
        <v>8060 Wabash City Schools           | (DUNS#)  050721547</v>
      </c>
      <c r="D272" s="71">
        <f t="shared" si="9"/>
        <v>1.12E-2</v>
      </c>
      <c r="E272" s="72" t="s">
        <v>904</v>
      </c>
    </row>
    <row r="273" spans="1:5" ht="14.45" customHeight="1" x14ac:dyDescent="0.2">
      <c r="A273" s="72" t="s">
        <v>905</v>
      </c>
      <c r="B273" s="89" t="s">
        <v>906</v>
      </c>
      <c r="C273" s="104" t="str">
        <f t="shared" si="8"/>
        <v>8115 M S D Warren County           | (DUNS#)  159272673</v>
      </c>
      <c r="D273" s="71">
        <f t="shared" si="9"/>
        <v>6.4999999999999997E-3</v>
      </c>
      <c r="E273" s="72" t="s">
        <v>907</v>
      </c>
    </row>
    <row r="274" spans="1:5" ht="12.75" x14ac:dyDescent="0.2">
      <c r="A274" s="72" t="s">
        <v>908</v>
      </c>
      <c r="B274" s="89" t="s">
        <v>909</v>
      </c>
      <c r="C274" s="104" t="str">
        <f t="shared" si="8"/>
        <v>8130 Warrick County School Corp    | (DUNS#)  99769275</v>
      </c>
      <c r="D274" s="71" t="e">
        <f t="shared" si="9"/>
        <v>#N/A</v>
      </c>
      <c r="E274" s="72" t="s">
        <v>1297</v>
      </c>
    </row>
    <row r="275" spans="1:5" ht="12.75" x14ac:dyDescent="0.2">
      <c r="A275" s="72" t="s">
        <v>910</v>
      </c>
      <c r="B275" s="89" t="s">
        <v>911</v>
      </c>
      <c r="C275" s="104" t="str">
        <f t="shared" si="8"/>
        <v>8205 Salem Community Schools       | (DUNS#)  100222587</v>
      </c>
      <c r="D275" s="71" t="e">
        <f t="shared" si="9"/>
        <v>#N/A</v>
      </c>
      <c r="E275" s="72" t="s">
        <v>1284</v>
      </c>
    </row>
    <row r="276" spans="1:5" ht="12.75" x14ac:dyDescent="0.2">
      <c r="A276" s="72" t="s">
        <v>912</v>
      </c>
      <c r="B276" s="89" t="s">
        <v>913</v>
      </c>
      <c r="C276" s="104" t="str">
        <f t="shared" si="8"/>
        <v>8215 East Washington School Corp   | (DUNS#)  172454969</v>
      </c>
      <c r="D276" s="71">
        <f t="shared" si="9"/>
        <v>2.6800000000000001E-2</v>
      </c>
      <c r="E276" s="72" t="s">
        <v>914</v>
      </c>
    </row>
    <row r="277" spans="1:5" ht="12.75" x14ac:dyDescent="0.2">
      <c r="A277" s="72" t="s">
        <v>915</v>
      </c>
      <c r="B277" s="89" t="s">
        <v>916</v>
      </c>
      <c r="C277" s="104" t="str">
        <f t="shared" si="8"/>
        <v>8220 West Washington School Corp   | (DUNS#)  098958564</v>
      </c>
      <c r="D277" s="71" t="e">
        <f t="shared" si="9"/>
        <v>#N/A</v>
      </c>
      <c r="E277" s="72" t="s">
        <v>917</v>
      </c>
    </row>
    <row r="278" spans="1:5" ht="12.75" x14ac:dyDescent="0.2">
      <c r="A278" s="72" t="s">
        <v>918</v>
      </c>
      <c r="B278" s="89" t="s">
        <v>919</v>
      </c>
      <c r="C278" s="104" t="str">
        <f t="shared" si="8"/>
        <v>8305 Nettle Creek School Corp      | (DUNS#)  183979962</v>
      </c>
      <c r="D278" s="71" t="e">
        <f t="shared" si="9"/>
        <v>#N/A</v>
      </c>
      <c r="E278" s="72" t="s">
        <v>920</v>
      </c>
    </row>
    <row r="279" spans="1:5" ht="14.45" customHeight="1" x14ac:dyDescent="0.2">
      <c r="A279" s="72" t="s">
        <v>921</v>
      </c>
      <c r="B279" s="89" t="s">
        <v>922</v>
      </c>
      <c r="C279" s="104" t="str">
        <f t="shared" si="8"/>
        <v>8355 Western Wayne Schools         | (DUNS#)  965398931</v>
      </c>
      <c r="D279" s="71" t="e">
        <f t="shared" si="9"/>
        <v>#N/A</v>
      </c>
      <c r="E279" s="72" t="s">
        <v>923</v>
      </c>
    </row>
    <row r="280" spans="1:5" ht="12.75" x14ac:dyDescent="0.2">
      <c r="A280" s="72" t="s">
        <v>924</v>
      </c>
      <c r="B280" s="89" t="s">
        <v>925</v>
      </c>
      <c r="C280" s="104" t="str">
        <f t="shared" si="8"/>
        <v>8360 Centerville-Abington Com Schs | (DUNS#)  087042982</v>
      </c>
      <c r="D280" s="71" t="e">
        <f t="shared" si="9"/>
        <v>#N/A</v>
      </c>
      <c r="E280" s="72" t="s">
        <v>926</v>
      </c>
    </row>
    <row r="281" spans="1:5" ht="12.75" x14ac:dyDescent="0.2">
      <c r="A281" s="72" t="s">
        <v>927</v>
      </c>
      <c r="B281" s="89" t="s">
        <v>928</v>
      </c>
      <c r="C281" s="104" t="str">
        <f t="shared" si="8"/>
        <v>8375 Northeastern Wayne Schools    | (DUNS#)  092008812</v>
      </c>
      <c r="D281" s="71" t="e">
        <f t="shared" si="9"/>
        <v>#N/A</v>
      </c>
      <c r="E281" s="72" t="s">
        <v>929</v>
      </c>
    </row>
    <row r="282" spans="1:5" ht="12.75" x14ac:dyDescent="0.2">
      <c r="A282" s="72" t="s">
        <v>930</v>
      </c>
      <c r="B282" s="89" t="s">
        <v>931</v>
      </c>
      <c r="C282" s="104" t="str">
        <f t="shared" si="8"/>
        <v>8385 Richmond Community School Corp| (DUNS#)  132301334</v>
      </c>
      <c r="D282" s="71">
        <f t="shared" si="9"/>
        <v>1.3299999999999999E-2</v>
      </c>
      <c r="E282" s="72" t="s">
        <v>932</v>
      </c>
    </row>
    <row r="283" spans="1:5" ht="12.75" x14ac:dyDescent="0.2">
      <c r="A283" s="72" t="s">
        <v>933</v>
      </c>
      <c r="B283" s="89" t="s">
        <v>934</v>
      </c>
      <c r="C283" s="104" t="str">
        <f t="shared" si="8"/>
        <v>8425 Southern Wells Com Schools    | (DUNS#)  110221277</v>
      </c>
      <c r="D283" s="71" t="e">
        <f t="shared" si="9"/>
        <v>#N/A</v>
      </c>
      <c r="E283" s="72" t="s">
        <v>935</v>
      </c>
    </row>
    <row r="284" spans="1:5" ht="12.75" x14ac:dyDescent="0.2">
      <c r="A284" s="72" t="s">
        <v>936</v>
      </c>
      <c r="B284" s="89" t="s">
        <v>937</v>
      </c>
      <c r="C284" s="104" t="str">
        <f t="shared" si="8"/>
        <v>8435 Northern Wells Com Schools    | (DUNS#)  100021674</v>
      </c>
      <c r="D284" s="71" t="e">
        <f t="shared" si="9"/>
        <v>#N/A</v>
      </c>
      <c r="E284" s="72" t="s">
        <v>938</v>
      </c>
    </row>
    <row r="285" spans="1:5" ht="12.75" x14ac:dyDescent="0.2">
      <c r="A285" s="72" t="s">
        <v>939</v>
      </c>
      <c r="B285" s="89" t="s">
        <v>940</v>
      </c>
      <c r="C285" s="104" t="str">
        <f t="shared" si="8"/>
        <v>8445 M S D Bluffton-Harrison       | (DUNS#)  082866005</v>
      </c>
      <c r="D285" s="71" t="e">
        <f t="shared" si="9"/>
        <v>#N/A</v>
      </c>
      <c r="E285" s="72" t="s">
        <v>941</v>
      </c>
    </row>
    <row r="286" spans="1:5" ht="12.75" x14ac:dyDescent="0.2">
      <c r="A286" s="72" t="s">
        <v>942</v>
      </c>
      <c r="B286" s="89" t="s">
        <v>943</v>
      </c>
      <c r="C286" s="104" t="str">
        <f t="shared" si="8"/>
        <v>8515 North White School Corp       | (DUNS#)  50425354</v>
      </c>
      <c r="D286" s="71" t="e">
        <f t="shared" si="9"/>
        <v>#N/A</v>
      </c>
      <c r="E286" s="72" t="s">
        <v>1278</v>
      </c>
    </row>
    <row r="287" spans="1:5" ht="12.75" x14ac:dyDescent="0.2">
      <c r="A287" s="72" t="s">
        <v>944</v>
      </c>
      <c r="B287" s="89" t="s">
        <v>945</v>
      </c>
      <c r="C287" s="104" t="str">
        <f t="shared" si="8"/>
        <v>8525 Frontier School Corporation   | (DUNS#)  133289306</v>
      </c>
      <c r="D287" s="71" t="e">
        <f t="shared" si="9"/>
        <v>#N/A</v>
      </c>
      <c r="E287" s="72" t="s">
        <v>946</v>
      </c>
    </row>
    <row r="288" spans="1:5" ht="12.75" x14ac:dyDescent="0.2">
      <c r="A288" s="72" t="s">
        <v>947</v>
      </c>
      <c r="B288" s="89" t="s">
        <v>948</v>
      </c>
      <c r="C288" s="104" t="str">
        <f t="shared" si="8"/>
        <v>8535 Tri-County School Corp        | (DUNS#)  121030100</v>
      </c>
      <c r="D288" s="71" t="e">
        <f t="shared" si="9"/>
        <v>#N/A</v>
      </c>
      <c r="E288" s="72" t="s">
        <v>949</v>
      </c>
    </row>
    <row r="289" spans="1:5" ht="12.75" x14ac:dyDescent="0.2">
      <c r="A289" s="72" t="s">
        <v>950</v>
      </c>
      <c r="B289" s="89" t="s">
        <v>951</v>
      </c>
      <c r="C289" s="104" t="str">
        <f t="shared" si="8"/>
        <v>8565 Twin Lakes School Corp        | (DUNS#)  82293259</v>
      </c>
      <c r="D289" s="71">
        <f t="shared" si="9"/>
        <v>2.0000000000000001E-4</v>
      </c>
      <c r="E289" s="72" t="s">
        <v>1293</v>
      </c>
    </row>
    <row r="290" spans="1:5" ht="12.75" x14ac:dyDescent="0.2">
      <c r="A290" s="72" t="s">
        <v>952</v>
      </c>
      <c r="B290" s="89" t="s">
        <v>953</v>
      </c>
      <c r="C290" s="104" t="str">
        <f t="shared" si="8"/>
        <v>8625 Smith-Green Community Schools | (DUNS#)  050761048</v>
      </c>
      <c r="D290" s="71" t="e">
        <f t="shared" si="9"/>
        <v>#N/A</v>
      </c>
      <c r="E290" s="72" t="s">
        <v>954</v>
      </c>
    </row>
    <row r="291" spans="1:5" ht="12.75" x14ac:dyDescent="0.2">
      <c r="A291" s="72" t="s">
        <v>955</v>
      </c>
      <c r="B291" s="89" t="s">
        <v>956</v>
      </c>
      <c r="C291" s="104" t="str">
        <f t="shared" si="8"/>
        <v>8665 Whitley Co Cons Schools       | (DUNS#)  193090503</v>
      </c>
      <c r="D291" s="71">
        <f t="shared" si="9"/>
        <v>2.1700000000000001E-2</v>
      </c>
      <c r="E291" s="72" t="s">
        <v>957</v>
      </c>
    </row>
    <row r="292" spans="1:5" ht="12.75" x14ac:dyDescent="0.2">
      <c r="A292" s="72" t="s">
        <v>958</v>
      </c>
      <c r="B292" s="89" t="s">
        <v>959</v>
      </c>
      <c r="C292" s="104" t="str">
        <f t="shared" si="8"/>
        <v>8810 CSUSA Howe| (DUNS#)  800476652</v>
      </c>
      <c r="D292" s="71">
        <f t="shared" si="9"/>
        <v>9.4000000000000004E-3</v>
      </c>
      <c r="E292" s="72" t="s">
        <v>960</v>
      </c>
    </row>
    <row r="293" spans="1:5" ht="12.75" x14ac:dyDescent="0.2">
      <c r="A293" s="72" t="s">
        <v>961</v>
      </c>
      <c r="B293" s="89" t="s">
        <v>962</v>
      </c>
      <c r="C293" s="104" t="str">
        <f t="shared" si="8"/>
        <v>8815 CSUSA Manual| (DUNS#)  015521757</v>
      </c>
      <c r="D293" s="71">
        <f t="shared" si="9"/>
        <v>1.0699999999999999E-2</v>
      </c>
      <c r="E293" s="72" t="s">
        <v>963</v>
      </c>
    </row>
    <row r="294" spans="1:5" ht="12.75" x14ac:dyDescent="0.2">
      <c r="A294" s="72" t="s">
        <v>964</v>
      </c>
      <c r="B294" s="89" t="s">
        <v>965</v>
      </c>
      <c r="C294" s="104" t="str">
        <f t="shared" si="8"/>
        <v>8820 Edison Learning Roosevelt| (DUNS#)  010499964</v>
      </c>
      <c r="D294" s="71" t="e">
        <f t="shared" si="9"/>
        <v>#N/A</v>
      </c>
      <c r="E294" s="72" t="s">
        <v>966</v>
      </c>
    </row>
    <row r="295" spans="1:5" ht="12.75" x14ac:dyDescent="0.2">
      <c r="A295" s="72" t="s">
        <v>967</v>
      </c>
      <c r="B295" s="89" t="s">
        <v>968</v>
      </c>
      <c r="C295" s="104" t="str">
        <f t="shared" si="8"/>
        <v>8825 CSUSA Donnan| (DUNS#)  007428274</v>
      </c>
      <c r="D295" s="71">
        <f t="shared" si="9"/>
        <v>0</v>
      </c>
      <c r="E295" s="72" t="s">
        <v>969</v>
      </c>
    </row>
    <row r="296" spans="1:5" ht="14.45" customHeight="1" x14ac:dyDescent="0.2">
      <c r="A296" s="72" t="s">
        <v>970</v>
      </c>
      <c r="B296" s="89" t="s">
        <v>971</v>
      </c>
      <c r="C296" s="104" t="str">
        <f t="shared" si="8"/>
        <v xml:space="preserve">9010 Ignite Achievement Academy| (DUNS#)  </v>
      </c>
      <c r="D296" s="71" t="e">
        <f t="shared" si="9"/>
        <v>#N/A</v>
      </c>
      <c r="E296" s="72"/>
    </row>
    <row r="297" spans="1:5" ht="14.45" customHeight="1" x14ac:dyDescent="0.2">
      <c r="A297" s="72" t="s">
        <v>972</v>
      </c>
      <c r="B297" s="89" t="s">
        <v>973</v>
      </c>
      <c r="C297" s="104" t="str">
        <f t="shared" si="8"/>
        <v xml:space="preserve">9015 Purdue Polytechnic High School| (DUNS#)  </v>
      </c>
      <c r="D297" s="71" t="e">
        <f t="shared" si="9"/>
        <v>#N/A</v>
      </c>
      <c r="E297" s="72"/>
    </row>
    <row r="298" spans="1:5" ht="12.75" x14ac:dyDescent="0.2">
      <c r="A298" s="72" t="s">
        <v>974</v>
      </c>
      <c r="B298" s="89" t="s">
        <v>975</v>
      </c>
      <c r="C298" s="104" t="str">
        <f t="shared" si="8"/>
        <v xml:space="preserve">9030 Otwell Miller Academy| (DUNS#)  </v>
      </c>
      <c r="D298" s="71" t="e">
        <f t="shared" si="9"/>
        <v>#N/A</v>
      </c>
      <c r="E298" s="72"/>
    </row>
    <row r="299" spans="1:5" ht="12.75" x14ac:dyDescent="0.2">
      <c r="A299" s="72" t="s">
        <v>976</v>
      </c>
      <c r="B299" s="89" t="s">
        <v>977</v>
      </c>
      <c r="C299" s="104" t="str">
        <f t="shared" si="8"/>
        <v xml:space="preserve">9035 Indiana Career Connections Academy| (DUNS#)  </v>
      </c>
      <c r="D299" s="71" t="e">
        <f t="shared" si="9"/>
        <v>#N/A</v>
      </c>
      <c r="E299" s="72"/>
    </row>
    <row r="300" spans="1:5" ht="12.75" x14ac:dyDescent="0.2">
      <c r="A300" s="72" t="s">
        <v>978</v>
      </c>
      <c r="B300" s="89" t="s">
        <v>979</v>
      </c>
      <c r="C300" s="104" t="str">
        <f t="shared" si="8"/>
        <v xml:space="preserve">9040 Avondale Meadows Academy| (DUNS#)  </v>
      </c>
      <c r="D300" s="71" t="e">
        <f t="shared" si="9"/>
        <v>#N/A</v>
      </c>
      <c r="E300" s="72"/>
    </row>
    <row r="301" spans="1:5" ht="12.75" x14ac:dyDescent="0.2">
      <c r="A301" s="72" t="s">
        <v>980</v>
      </c>
      <c r="B301" s="89" t="s">
        <v>981</v>
      </c>
      <c r="C301" s="104" t="str">
        <f t="shared" si="8"/>
        <v xml:space="preserve">9045 James and Rosemary Phalen Leadership Academy| (DUNS#)  </v>
      </c>
      <c r="D301" s="71" t="e">
        <f t="shared" si="9"/>
        <v>#N/A</v>
      </c>
      <c r="E301" s="72"/>
    </row>
    <row r="302" spans="1:5" ht="14.45" customHeight="1" x14ac:dyDescent="0.2">
      <c r="A302" s="72" t="s">
        <v>982</v>
      </c>
      <c r="B302" s="89" t="s">
        <v>983</v>
      </c>
      <c r="C302" s="104" t="str">
        <f t="shared" si="8"/>
        <v xml:space="preserve">9050 Excel Center - Clarksville| (DUNS#)  </v>
      </c>
      <c r="D302" s="71" t="e">
        <f t="shared" si="9"/>
        <v>#N/A</v>
      </c>
      <c r="E302" s="100"/>
    </row>
    <row r="303" spans="1:5" ht="14.45" customHeight="1" x14ac:dyDescent="0.25">
      <c r="A303" s="75" t="s">
        <v>984</v>
      </c>
      <c r="B303" s="91" t="s">
        <v>985</v>
      </c>
      <c r="C303" s="104" t="str">
        <f t="shared" si="8"/>
        <v>9060 Paramount School of Excellence II| (DUNS#)  831881664</v>
      </c>
      <c r="D303" s="71">
        <f t="shared" si="9"/>
        <v>1.7000000000000001E-2</v>
      </c>
      <c r="E303" s="102" t="s">
        <v>1129</v>
      </c>
    </row>
    <row r="304" spans="1:5" ht="14.45" customHeight="1" x14ac:dyDescent="0.25">
      <c r="A304" s="75" t="s">
        <v>986</v>
      </c>
      <c r="B304" s="91" t="s">
        <v>987</v>
      </c>
      <c r="C304" s="104" t="str">
        <f t="shared" si="8"/>
        <v>9065 Allegiant Preparatory Academy| (DUNS#)  32854615 </v>
      </c>
      <c r="D304" s="71" t="s">
        <v>988</v>
      </c>
      <c r="E304" s="72" t="s">
        <v>989</v>
      </c>
    </row>
    <row r="305" spans="1:5" ht="14.45" customHeight="1" x14ac:dyDescent="0.25">
      <c r="A305" s="75" t="s">
        <v>990</v>
      </c>
      <c r="B305" s="91" t="s">
        <v>991</v>
      </c>
      <c r="C305" s="104" t="str">
        <f t="shared" si="8"/>
        <v xml:space="preserve">9070 Gary Middle College West| (DUNS#)  </v>
      </c>
      <c r="D305" s="71"/>
      <c r="E305" s="72"/>
    </row>
    <row r="306" spans="1:5" ht="14.45" customHeight="1" x14ac:dyDescent="0.25">
      <c r="A306" s="75" t="s">
        <v>992</v>
      </c>
      <c r="B306" s="91" t="s">
        <v>993</v>
      </c>
      <c r="C306" s="104" t="str">
        <f t="shared" si="8"/>
        <v>9080 Vanguard Collegiate of Indy| (DUNS#)  46561519</v>
      </c>
      <c r="D306" s="71"/>
      <c r="E306" s="72" t="s">
        <v>1295</v>
      </c>
    </row>
    <row r="307" spans="1:5" ht="14.45" customHeight="1" x14ac:dyDescent="0.25">
      <c r="A307" s="75" t="s">
        <v>994</v>
      </c>
      <c r="B307" s="91" t="s">
        <v>995</v>
      </c>
      <c r="C307" s="104" t="str">
        <f t="shared" si="8"/>
        <v xml:space="preserve">9085 PilotED Schools Bethel Park| (DUNS#)  </v>
      </c>
      <c r="D307" s="71">
        <f>VLOOKUP(A307,ICR,3,FALSE)</f>
        <v>1.7000000000000001E-2</v>
      </c>
      <c r="E307" s="72"/>
    </row>
    <row r="308" spans="1:5" ht="14.45" customHeight="1" x14ac:dyDescent="0.25">
      <c r="A308" s="75" t="s">
        <v>996</v>
      </c>
      <c r="B308" s="91" t="s">
        <v>997</v>
      </c>
      <c r="C308" s="104" t="str">
        <f t="shared" si="8"/>
        <v>9090 Matchbook Learning| (DUNS#)  80977456</v>
      </c>
      <c r="D308" s="71"/>
      <c r="E308" s="72" t="s">
        <v>1275</v>
      </c>
    </row>
    <row r="309" spans="1:5" ht="14.45" customHeight="1" x14ac:dyDescent="0.25">
      <c r="A309" s="76" t="s">
        <v>998</v>
      </c>
      <c r="B309" s="98" t="s">
        <v>999</v>
      </c>
      <c r="C309" s="104" t="str">
        <f t="shared" si="8"/>
        <v xml:space="preserve">9095 Urban ACT Academy Innovation Network Charter School| (DUNS#)  </v>
      </c>
      <c r="D309" s="71" t="e">
        <f t="shared" ref="D309:D344" si="10">VLOOKUP(A309,ICR,3,FALSE)</f>
        <v>#N/A</v>
      </c>
      <c r="E309" s="72"/>
    </row>
    <row r="310" spans="1:5" ht="14.45" customHeight="1" x14ac:dyDescent="0.25">
      <c r="A310" s="75" t="s">
        <v>1000</v>
      </c>
      <c r="B310" s="91" t="s">
        <v>1001</v>
      </c>
      <c r="C310" s="104" t="str">
        <f t="shared" si="8"/>
        <v xml:space="preserve">9100 Indiana Dept. of Corrections (Part D only)| (DUNS#)  </v>
      </c>
      <c r="D310" s="71" t="e">
        <f t="shared" si="10"/>
        <v>#N/A</v>
      </c>
      <c r="E310" s="72"/>
    </row>
    <row r="311" spans="1:5" ht="14.45" customHeight="1" x14ac:dyDescent="0.25">
      <c r="A311" s="72" t="s">
        <v>1002</v>
      </c>
      <c r="B311" s="93" t="s">
        <v>1003</v>
      </c>
      <c r="C311" s="104" t="str">
        <f t="shared" si="8"/>
        <v xml:space="preserve">9115 Kindezi Academy| (DUNS#)  </v>
      </c>
      <c r="D311" s="71" t="e">
        <f t="shared" si="10"/>
        <v>#N/A</v>
      </c>
      <c r="E311" s="72"/>
    </row>
    <row r="312" spans="1:5" ht="14.45" customHeight="1" x14ac:dyDescent="0.25">
      <c r="A312" s="72" t="s">
        <v>1004</v>
      </c>
      <c r="B312" s="93" t="s">
        <v>1005</v>
      </c>
      <c r="C312" s="104" t="str">
        <f t="shared" si="8"/>
        <v>9120 Insight School Of Indiana| (DUNS#)  965028058</v>
      </c>
      <c r="D312" s="71" t="e">
        <f t="shared" si="10"/>
        <v>#N/A</v>
      </c>
      <c r="E312" s="72" t="s">
        <v>1267</v>
      </c>
    </row>
    <row r="313" spans="1:5" ht="14.45" customHeight="1" x14ac:dyDescent="0.25">
      <c r="A313" s="72" t="s">
        <v>1006</v>
      </c>
      <c r="B313" s="93" t="s">
        <v>1007</v>
      </c>
      <c r="C313" s="104" t="str">
        <f t="shared" si="8"/>
        <v>9145 Riverside Charter Sch,District| (DUNS#)  809528222</v>
      </c>
      <c r="D313" s="71" t="e">
        <f t="shared" si="10"/>
        <v>#N/A</v>
      </c>
      <c r="E313" s="72" t="s">
        <v>1117</v>
      </c>
    </row>
    <row r="314" spans="1:5" ht="14.45" customHeight="1" x14ac:dyDescent="0.25">
      <c r="A314" s="72" t="s">
        <v>1008</v>
      </c>
      <c r="B314" s="93" t="s">
        <v>1009</v>
      </c>
      <c r="C314" s="104" t="str">
        <f t="shared" si="8"/>
        <v xml:space="preserve">9150 Circle City Prep Charter School| (DUNS#)  </v>
      </c>
      <c r="D314" s="71" t="e">
        <f t="shared" si="10"/>
        <v>#N/A</v>
      </c>
      <c r="E314" s="72"/>
    </row>
    <row r="315" spans="1:5" x14ac:dyDescent="0.2">
      <c r="A315" s="77" t="s">
        <v>1010</v>
      </c>
      <c r="B315" s="96" t="s">
        <v>1011</v>
      </c>
      <c r="C315" s="104" t="str">
        <f t="shared" si="8"/>
        <v>9155 Indiana Virtual Pathways Academy | (DUNS#)  80209388</v>
      </c>
      <c r="D315" s="71" t="e">
        <f t="shared" si="10"/>
        <v>#N/A</v>
      </c>
      <c r="E315" s="72" t="s">
        <v>1264</v>
      </c>
    </row>
    <row r="316" spans="1:5" x14ac:dyDescent="0.2">
      <c r="A316" s="77" t="s">
        <v>1012</v>
      </c>
      <c r="B316" s="96" t="s">
        <v>1013</v>
      </c>
      <c r="C316" s="104" t="str">
        <f t="shared" si="8"/>
        <v xml:space="preserve">9160 Muncie Excel Center| (DUNS#)  </v>
      </c>
      <c r="D316" s="71" t="e">
        <f t="shared" si="10"/>
        <v>#N/A</v>
      </c>
      <c r="E316" s="72"/>
    </row>
    <row r="317" spans="1:5" x14ac:dyDescent="0.2">
      <c r="A317" s="78" t="s">
        <v>1014</v>
      </c>
      <c r="B317" s="95" t="s">
        <v>1015</v>
      </c>
      <c r="C317" s="104" t="str">
        <f t="shared" si="8"/>
        <v xml:space="preserve">9190 Excel Center Gary (LEADS)| (DUNS#)  </v>
      </c>
      <c r="D317" s="71" t="e">
        <f t="shared" si="10"/>
        <v>#N/A</v>
      </c>
      <c r="E317" s="72"/>
    </row>
    <row r="318" spans="1:5" x14ac:dyDescent="0.2">
      <c r="A318" s="79" t="s">
        <v>1016</v>
      </c>
      <c r="B318" s="97" t="s">
        <v>1017</v>
      </c>
      <c r="C318" s="104" t="str">
        <f t="shared" si="8"/>
        <v>9195 Timothy L Johnson Leadership Academy| (DUNS#)  81514095</v>
      </c>
      <c r="D318" s="71" t="e">
        <f t="shared" si="10"/>
        <v>#N/A</v>
      </c>
      <c r="E318" s="72" t="s">
        <v>1292</v>
      </c>
    </row>
    <row r="319" spans="1:5" ht="12.75" x14ac:dyDescent="0.2">
      <c r="A319" s="72" t="s">
        <v>1018</v>
      </c>
      <c r="B319" s="89" t="s">
        <v>1019</v>
      </c>
      <c r="C319" s="104" t="str">
        <f t="shared" si="8"/>
        <v>9305 Excel Center - Richmond| (DUNS#)  047553551</v>
      </c>
      <c r="D319" s="71">
        <f t="shared" si="10"/>
        <v>0</v>
      </c>
      <c r="E319" s="72" t="s">
        <v>1020</v>
      </c>
    </row>
    <row r="320" spans="1:5" ht="12.75" x14ac:dyDescent="0.2">
      <c r="A320" s="72" t="s">
        <v>1021</v>
      </c>
      <c r="B320" s="89" t="s">
        <v>1022</v>
      </c>
      <c r="C320" s="104" t="str">
        <f t="shared" si="8"/>
        <v>9310 Charter School Of The Dunes       | (DUNS#)  130768299</v>
      </c>
      <c r="D320" s="71" t="e">
        <f t="shared" si="10"/>
        <v>#N/A</v>
      </c>
      <c r="E320" s="72" t="s">
        <v>1023</v>
      </c>
    </row>
    <row r="321" spans="1:5" ht="12.75" x14ac:dyDescent="0.2">
      <c r="A321" s="72" t="s">
        <v>1024</v>
      </c>
      <c r="B321" s="89" t="s">
        <v>1025</v>
      </c>
      <c r="C321" s="104" t="str">
        <f t="shared" si="8"/>
        <v>9315 Signature School Inc              | (DUNS#)  797508426</v>
      </c>
      <c r="D321" s="71" t="e">
        <f t="shared" si="10"/>
        <v>#N/A</v>
      </c>
      <c r="E321" s="72" t="s">
        <v>1026</v>
      </c>
    </row>
    <row r="322" spans="1:5" ht="12.75" x14ac:dyDescent="0.2">
      <c r="A322" s="72" t="s">
        <v>1027</v>
      </c>
      <c r="B322" s="89" t="s">
        <v>1028</v>
      </c>
      <c r="C322" s="104" t="str">
        <f t="shared" ref="C322:C385" si="11">A322&amp;" "&amp;B322&amp;"|"&amp;" "&amp;"(DUNS#)"&amp;"  "&amp;E322</f>
        <v>9320 Community Montessori Inc          | (DUNS#)  113396712</v>
      </c>
      <c r="D322" s="71" t="e">
        <f t="shared" si="10"/>
        <v>#N/A</v>
      </c>
      <c r="E322" s="72" t="s">
        <v>1029</v>
      </c>
    </row>
    <row r="323" spans="1:5" ht="12.75" x14ac:dyDescent="0.2">
      <c r="A323" s="72" t="s">
        <v>1030</v>
      </c>
      <c r="B323" s="89" t="s">
        <v>1031</v>
      </c>
      <c r="C323" s="104" t="str">
        <f t="shared" si="11"/>
        <v>9325 Options Charter School - Carmel  | (DUNS#)  125047519</v>
      </c>
      <c r="D323" s="71">
        <f t="shared" si="10"/>
        <v>4.0000000000000002E-4</v>
      </c>
      <c r="E323" s="72" t="s">
        <v>1032</v>
      </c>
    </row>
    <row r="324" spans="1:5" ht="12.75" x14ac:dyDescent="0.2">
      <c r="A324" s="72" t="s">
        <v>1033</v>
      </c>
      <c r="B324" s="89" t="s">
        <v>1034</v>
      </c>
      <c r="C324" s="104" t="str">
        <f t="shared" si="11"/>
        <v>9330 Irvington Community School        | (DUNS#)  165488219</v>
      </c>
      <c r="D324" s="71" t="e">
        <f t="shared" si="10"/>
        <v>#N/A</v>
      </c>
      <c r="E324" s="72" t="s">
        <v>1035</v>
      </c>
    </row>
    <row r="325" spans="1:5" ht="12.75" x14ac:dyDescent="0.2">
      <c r="A325" s="72" t="s">
        <v>1036</v>
      </c>
      <c r="B325" s="89" t="s">
        <v>1037</v>
      </c>
      <c r="C325" s="104" t="str">
        <f t="shared" si="11"/>
        <v>9335 Excel Center - Lafayette Square Mall| (DUNS#)  070635286</v>
      </c>
      <c r="D325" s="71">
        <f t="shared" si="10"/>
        <v>4.0000000000000002E-4</v>
      </c>
      <c r="E325" s="72" t="s">
        <v>1038</v>
      </c>
    </row>
    <row r="326" spans="1:5" ht="12.75" x14ac:dyDescent="0.2">
      <c r="A326" s="72" t="s">
        <v>1039</v>
      </c>
      <c r="B326" s="89" t="s">
        <v>1040</v>
      </c>
      <c r="C326" s="104" t="str">
        <f t="shared" si="11"/>
        <v xml:space="preserve">9345 Excel Center - Lafayette   | (DUNS#)  </v>
      </c>
      <c r="D326" s="71">
        <f t="shared" si="10"/>
        <v>0</v>
      </c>
      <c r="E326" s="72"/>
    </row>
    <row r="327" spans="1:5" ht="12.75" x14ac:dyDescent="0.2">
      <c r="A327" s="72" t="s">
        <v>1041</v>
      </c>
      <c r="B327" s="89" t="s">
        <v>1042</v>
      </c>
      <c r="C327" s="104" t="str">
        <f t="shared" si="11"/>
        <v>9350 Timothy L Johnson Academy         | (DUNS#)  119075567</v>
      </c>
      <c r="D327" s="71" t="e">
        <f t="shared" si="10"/>
        <v>#N/A</v>
      </c>
      <c r="E327" s="72" t="s">
        <v>1291</v>
      </c>
    </row>
    <row r="328" spans="1:5" ht="12.75" x14ac:dyDescent="0.2">
      <c r="A328" s="72" t="s">
        <v>1043</v>
      </c>
      <c r="B328" s="89" t="s">
        <v>1044</v>
      </c>
      <c r="C328" s="104" t="str">
        <f t="shared" si="11"/>
        <v xml:space="preserve">9355 Excel Center - Kokomo| (DUNS#)  </v>
      </c>
      <c r="D328" s="71">
        <f t="shared" si="10"/>
        <v>2.9999999999999997E-4</v>
      </c>
      <c r="E328" s="72"/>
    </row>
    <row r="329" spans="1:5" ht="12.75" x14ac:dyDescent="0.2">
      <c r="A329" s="72" t="s">
        <v>1045</v>
      </c>
      <c r="B329" s="89" t="s">
        <v>1046</v>
      </c>
      <c r="C329" s="104" t="str">
        <f t="shared" si="11"/>
        <v>9365 Enlace Academy| (DUNS#)  100740620</v>
      </c>
      <c r="D329" s="71" t="e">
        <f t="shared" si="10"/>
        <v>#N/A</v>
      </c>
      <c r="E329" s="72" t="s">
        <v>1047</v>
      </c>
    </row>
    <row r="330" spans="1:5" ht="12.75" x14ac:dyDescent="0.2">
      <c r="A330" s="72" t="s">
        <v>1048</v>
      </c>
      <c r="B330" s="89" t="s">
        <v>1049</v>
      </c>
      <c r="C330" s="104" t="str">
        <f t="shared" si="11"/>
        <v>9380 Christel House Academy South            | (DUNS#)  078504402</v>
      </c>
      <c r="D330" s="71">
        <f t="shared" si="10"/>
        <v>1.7000000000000001E-2</v>
      </c>
      <c r="E330" s="72" t="s">
        <v>1050</v>
      </c>
    </row>
    <row r="331" spans="1:5" ht="12.75" x14ac:dyDescent="0.2">
      <c r="A331" s="72" t="s">
        <v>1051</v>
      </c>
      <c r="B331" s="89" t="s">
        <v>1052</v>
      </c>
      <c r="C331" s="104" t="str">
        <f t="shared" si="11"/>
        <v>9385 Christel House DORS| (DUNS#)  078512155</v>
      </c>
      <c r="D331" s="71">
        <f t="shared" si="10"/>
        <v>1.7000000000000001E-2</v>
      </c>
      <c r="E331" s="72" t="s">
        <v>1053</v>
      </c>
    </row>
    <row r="332" spans="1:5" ht="12.75" x14ac:dyDescent="0.2">
      <c r="A332" s="72" t="s">
        <v>1054</v>
      </c>
      <c r="B332" s="89" t="s">
        <v>1055</v>
      </c>
      <c r="C332" s="104" t="str">
        <f t="shared" si="11"/>
        <v xml:space="preserve">9395 Christel House Academy West| (DUNS#)  </v>
      </c>
      <c r="D332" s="71">
        <f t="shared" si="10"/>
        <v>3.2599999999999997E-2</v>
      </c>
      <c r="E332" s="72"/>
    </row>
    <row r="333" spans="1:5" ht="12.75" x14ac:dyDescent="0.2">
      <c r="A333" s="72" t="s">
        <v>1056</v>
      </c>
      <c r="B333" s="89" t="s">
        <v>1057</v>
      </c>
      <c r="C333" s="104" t="str">
        <f t="shared" si="11"/>
        <v>9400 KIPP Indpls College Preparatory   | (DUNS#)  149179934</v>
      </c>
      <c r="D333" s="71" t="e">
        <f t="shared" si="10"/>
        <v>#N/A</v>
      </c>
      <c r="E333" s="72" t="s">
        <v>1058</v>
      </c>
    </row>
    <row r="334" spans="1:5" ht="12.75" x14ac:dyDescent="0.2">
      <c r="A334" s="72" t="s">
        <v>1059</v>
      </c>
      <c r="B334" s="89" t="s">
        <v>1060</v>
      </c>
      <c r="C334" s="104" t="str">
        <f t="shared" si="11"/>
        <v xml:space="preserve">9410 KIPP Unite College Prep Elementary| (DUNS#)  </v>
      </c>
      <c r="D334" s="71" t="e">
        <f t="shared" si="10"/>
        <v>#N/A</v>
      </c>
      <c r="E334" s="72"/>
    </row>
    <row r="335" spans="1:5" ht="12.75" x14ac:dyDescent="0.2">
      <c r="A335" s="72" t="s">
        <v>1061</v>
      </c>
      <c r="B335" s="89" t="s">
        <v>1062</v>
      </c>
      <c r="C335" s="104" t="str">
        <f t="shared" si="11"/>
        <v>9425 Tindley Genesis| (DUNS#)  091557276</v>
      </c>
      <c r="D335" s="71" t="e">
        <f t="shared" si="10"/>
        <v>#N/A</v>
      </c>
      <c r="E335" s="72" t="s">
        <v>1063</v>
      </c>
    </row>
    <row r="336" spans="1:5" ht="12.75" x14ac:dyDescent="0.2">
      <c r="A336" s="72" t="s">
        <v>1064</v>
      </c>
      <c r="B336" s="89" t="s">
        <v>1065</v>
      </c>
      <c r="C336" s="104" t="str">
        <f t="shared" si="11"/>
        <v xml:space="preserve">9430 Tindley Summit| (DUNS#)   </v>
      </c>
      <c r="D336" s="71" t="e">
        <f t="shared" si="10"/>
        <v>#N/A</v>
      </c>
      <c r="E336" s="72" t="s">
        <v>14</v>
      </c>
    </row>
    <row r="337" spans="1:5" ht="14.45" customHeight="1" x14ac:dyDescent="0.2">
      <c r="A337" s="72" t="s">
        <v>1066</v>
      </c>
      <c r="B337" s="89" t="s">
        <v>1067</v>
      </c>
      <c r="C337" s="104" t="str">
        <f t="shared" si="11"/>
        <v xml:space="preserve">9435 Indiana Achievement Academy| (DUNS#)  </v>
      </c>
      <c r="D337" s="71" t="e">
        <f t="shared" si="10"/>
        <v>#N/A</v>
      </c>
      <c r="E337" s="72"/>
    </row>
    <row r="338" spans="1:5" ht="14.45" customHeight="1" x14ac:dyDescent="0.25">
      <c r="A338" s="80" t="s">
        <v>1068</v>
      </c>
      <c r="B338" s="89" t="s">
        <v>1069</v>
      </c>
      <c r="C338" s="104" t="str">
        <f t="shared" si="11"/>
        <v xml:space="preserve">9440 Christel House DORS West| (DUNS#)  </v>
      </c>
      <c r="D338" s="71" t="e">
        <f t="shared" si="10"/>
        <v>#N/A</v>
      </c>
      <c r="E338" s="72"/>
    </row>
    <row r="339" spans="1:5" ht="12.75" x14ac:dyDescent="0.2">
      <c r="A339" s="72" t="s">
        <v>1070</v>
      </c>
      <c r="B339" s="89" t="s">
        <v>1071</v>
      </c>
      <c r="C339" s="104" t="str">
        <f t="shared" si="11"/>
        <v>9445 Charles A Tindley Accelerated Schl| (DUNS#)  153474510</v>
      </c>
      <c r="D339" s="71" t="e">
        <f t="shared" si="10"/>
        <v>#N/A</v>
      </c>
      <c r="E339" s="72" t="s">
        <v>1072</v>
      </c>
    </row>
    <row r="340" spans="1:5" ht="12.75" x14ac:dyDescent="0.2">
      <c r="A340" s="72" t="s">
        <v>1073</v>
      </c>
      <c r="B340" s="89" t="s">
        <v>1074</v>
      </c>
      <c r="C340" s="104" t="str">
        <f t="shared" si="11"/>
        <v>9460 Thea Bowman Leadership Academy    | (DUNS#)  784290749</v>
      </c>
      <c r="D340" s="71" t="e">
        <f t="shared" si="10"/>
        <v>#N/A</v>
      </c>
      <c r="E340" s="72" t="s">
        <v>1075</v>
      </c>
    </row>
    <row r="341" spans="1:5" ht="12.75" x14ac:dyDescent="0.2">
      <c r="A341" s="72" t="s">
        <v>1076</v>
      </c>
      <c r="B341" s="89" t="s">
        <v>1077</v>
      </c>
      <c r="C341" s="104" t="str">
        <f t="shared" si="11"/>
        <v>9465 Rural Community Schools Inc       | (DUNS#)  149019718</v>
      </c>
      <c r="D341" s="71" t="e">
        <f t="shared" si="10"/>
        <v>#N/A</v>
      </c>
      <c r="E341" s="72" t="s">
        <v>1078</v>
      </c>
    </row>
    <row r="342" spans="1:5" ht="14.45" customHeight="1" x14ac:dyDescent="0.2">
      <c r="A342" s="72" t="s">
        <v>1079</v>
      </c>
      <c r="B342" s="89" t="s">
        <v>1080</v>
      </c>
      <c r="C342" s="104" t="str">
        <f t="shared" si="11"/>
        <v>9485 Se Neighborhood Sch Of Excellence | (DUNS#)  178206111</v>
      </c>
      <c r="D342" s="71">
        <f t="shared" si="10"/>
        <v>3.3599999999999998E-2</v>
      </c>
      <c r="E342" s="72" t="s">
        <v>1081</v>
      </c>
    </row>
    <row r="343" spans="1:5" ht="14.45" customHeight="1" x14ac:dyDescent="0.25">
      <c r="A343" s="80" t="s">
        <v>1082</v>
      </c>
      <c r="B343" s="89" t="s">
        <v>1083</v>
      </c>
      <c r="C343" s="104" t="str">
        <f t="shared" si="11"/>
        <v>9490 Indiana College Preparatory| (DUNS#)  149179934</v>
      </c>
      <c r="D343" s="71" t="e">
        <f t="shared" si="10"/>
        <v>#N/A</v>
      </c>
      <c r="E343" s="72" t="s">
        <v>1058</v>
      </c>
    </row>
    <row r="344" spans="1:5" ht="12.75" x14ac:dyDescent="0.2">
      <c r="A344" s="72" t="s">
        <v>1084</v>
      </c>
      <c r="B344" s="89" t="s">
        <v>1085</v>
      </c>
      <c r="C344" s="104" t="str">
        <f t="shared" si="11"/>
        <v>9495 Joshua Academy                    | (DUNS#)  072279651</v>
      </c>
      <c r="D344" s="71" t="e">
        <f t="shared" si="10"/>
        <v>#N/A</v>
      </c>
      <c r="E344" s="72" t="s">
        <v>1086</v>
      </c>
    </row>
    <row r="345" spans="1:5" ht="12.75" x14ac:dyDescent="0.2">
      <c r="A345" s="72" t="s">
        <v>1087</v>
      </c>
      <c r="B345" s="89" t="s">
        <v>1088</v>
      </c>
      <c r="C345" s="104" t="str">
        <f t="shared" si="11"/>
        <v xml:space="preserve">9505 Indiana Agriculture and Technology| (DUNS#)  </v>
      </c>
      <c r="D345" s="71"/>
      <c r="E345" s="72"/>
    </row>
    <row r="346" spans="1:5" ht="12.75" x14ac:dyDescent="0.2">
      <c r="A346" s="72" t="s">
        <v>1089</v>
      </c>
      <c r="B346" s="89" t="s">
        <v>1090</v>
      </c>
      <c r="C346" s="104" t="str">
        <f t="shared" si="11"/>
        <v>9535 Gary Lighthouse Charter School    | (DUNS#)  607006017</v>
      </c>
      <c r="D346" s="71">
        <f t="shared" ref="D346:D377" si="12">VLOOKUP(A346,ICR,3,FALSE)</f>
        <v>3.9899999999999998E-2</v>
      </c>
      <c r="E346" s="72" t="s">
        <v>1091</v>
      </c>
    </row>
    <row r="347" spans="1:5" ht="12.75" x14ac:dyDescent="0.2">
      <c r="A347" s="70" t="s">
        <v>1092</v>
      </c>
      <c r="B347" s="88" t="s">
        <v>1093</v>
      </c>
      <c r="C347" s="104" t="str">
        <f t="shared" si="11"/>
        <v>9545 21st Century Charter Sch Of Gary  | (DUNS#)  173888988</v>
      </c>
      <c r="D347" s="71" t="e">
        <f t="shared" si="12"/>
        <v>#N/A</v>
      </c>
      <c r="E347" s="70" t="s">
        <v>1094</v>
      </c>
    </row>
    <row r="348" spans="1:5" ht="12.75" x14ac:dyDescent="0.2">
      <c r="A348" s="72" t="s">
        <v>1095</v>
      </c>
      <c r="B348" s="89" t="s">
        <v>1096</v>
      </c>
      <c r="C348" s="104" t="str">
        <f t="shared" si="11"/>
        <v>9555 East Chicago Urban Enterprise Acad| (DUNS#)  956873269</v>
      </c>
      <c r="D348" s="71" t="e">
        <f t="shared" si="12"/>
        <v>#N/A</v>
      </c>
      <c r="E348" s="72" t="s">
        <v>1256</v>
      </c>
    </row>
    <row r="349" spans="1:5" ht="12.75" x14ac:dyDescent="0.2">
      <c r="A349" s="72" t="s">
        <v>1097</v>
      </c>
      <c r="B349" s="89" t="s">
        <v>1098</v>
      </c>
      <c r="C349" s="104" t="str">
        <f t="shared" si="11"/>
        <v>9575 Indpls Lighthouse Charter School  | (DUNS#)  800132214</v>
      </c>
      <c r="D349" s="71">
        <f t="shared" si="12"/>
        <v>4.0399999999999998E-2</v>
      </c>
      <c r="E349" s="72" t="s">
        <v>1099</v>
      </c>
    </row>
    <row r="350" spans="1:5" ht="12.75" x14ac:dyDescent="0.2">
      <c r="A350" s="72" t="s">
        <v>1100</v>
      </c>
      <c r="B350" s="89" t="s">
        <v>1101</v>
      </c>
      <c r="C350" s="104" t="str">
        <f t="shared" si="11"/>
        <v>9595 East Chicago Lighthouse Charter   | (DUNS#)  884535360</v>
      </c>
      <c r="D350" s="71">
        <f t="shared" si="12"/>
        <v>5.2699999999999997E-2</v>
      </c>
      <c r="E350" s="72" t="s">
        <v>1255</v>
      </c>
    </row>
    <row r="351" spans="1:5" ht="12.75" x14ac:dyDescent="0.2">
      <c r="A351" s="72" t="s">
        <v>1102</v>
      </c>
      <c r="B351" s="89" t="s">
        <v>1103</v>
      </c>
      <c r="C351" s="104" t="str">
        <f t="shared" si="11"/>
        <v>9615 Andrew J Brown Academy            | (DUNS#)  165483830</v>
      </c>
      <c r="D351" s="71">
        <f t="shared" si="12"/>
        <v>1.14E-2</v>
      </c>
      <c r="E351" s="72" t="s">
        <v>1250</v>
      </c>
    </row>
    <row r="352" spans="1:5" ht="12.75" x14ac:dyDescent="0.2">
      <c r="A352" s="72" t="s">
        <v>1104</v>
      </c>
      <c r="B352" s="89" t="s">
        <v>1105</v>
      </c>
      <c r="C352" s="104" t="str">
        <f t="shared" si="11"/>
        <v>9620 Burris Laboratory School| (DUNS#)  100214287</v>
      </c>
      <c r="D352" s="71" t="e">
        <f t="shared" si="12"/>
        <v>#N/A</v>
      </c>
      <c r="E352" s="72" t="s">
        <v>1106</v>
      </c>
    </row>
    <row r="353" spans="1:5" ht="12.75" x14ac:dyDescent="0.2">
      <c r="A353" s="72" t="s">
        <v>1107</v>
      </c>
      <c r="B353" s="89" t="s">
        <v>1108</v>
      </c>
      <c r="C353" s="104" t="str">
        <f t="shared" si="11"/>
        <v>9625 IN Academy for Science ,Math, and Humanities| (DUNS#)  620263939</v>
      </c>
      <c r="D353" s="71" t="e">
        <f t="shared" si="12"/>
        <v>#N/A</v>
      </c>
      <c r="E353" s="72" t="s">
        <v>1109</v>
      </c>
    </row>
    <row r="354" spans="1:5" ht="12.75" x14ac:dyDescent="0.2">
      <c r="A354" s="72" t="s">
        <v>1110</v>
      </c>
      <c r="B354" s="89" t="s">
        <v>1111</v>
      </c>
      <c r="C354" s="104" t="str">
        <f t="shared" si="11"/>
        <v>9640 Options Charter Sch - Noblesville | (DUNS#)  796212921</v>
      </c>
      <c r="D354" s="71">
        <f t="shared" si="12"/>
        <v>4.0000000000000002E-4</v>
      </c>
      <c r="E354" s="72" t="s">
        <v>1112</v>
      </c>
    </row>
    <row r="355" spans="1:5" ht="12.75" x14ac:dyDescent="0.2">
      <c r="A355" s="72" t="s">
        <v>1113</v>
      </c>
      <c r="B355" s="89" t="s">
        <v>979</v>
      </c>
      <c r="C355" s="104" t="str">
        <f t="shared" si="11"/>
        <v>9645 Avondale Meadows Academy| (DUNS#)  836277942</v>
      </c>
      <c r="D355" s="71" t="e">
        <f t="shared" si="12"/>
        <v>#N/A</v>
      </c>
      <c r="E355" s="72" t="s">
        <v>1114</v>
      </c>
    </row>
    <row r="356" spans="1:5" ht="12.75" x14ac:dyDescent="0.2">
      <c r="A356" s="72" t="s">
        <v>1115</v>
      </c>
      <c r="B356" s="89" t="s">
        <v>1116</v>
      </c>
      <c r="C356" s="104" t="str">
        <f t="shared" si="11"/>
        <v>9650 Herron High School                 | (DUNS#)  809528222</v>
      </c>
      <c r="D356" s="71" t="e">
        <f t="shared" si="12"/>
        <v>#N/A</v>
      </c>
      <c r="E356" s="72" t="s">
        <v>1117</v>
      </c>
    </row>
    <row r="357" spans="1:5" ht="12.75" x14ac:dyDescent="0.2">
      <c r="A357" s="72" t="s">
        <v>1118</v>
      </c>
      <c r="B357" s="89" t="s">
        <v>1119</v>
      </c>
      <c r="C357" s="104" t="str">
        <f t="shared" si="11"/>
        <v>9655 Hope Academy                      | (DUNS#)  809152924</v>
      </c>
      <c r="D357" s="71" t="e">
        <f t="shared" si="12"/>
        <v>#N/A</v>
      </c>
      <c r="E357" s="72" t="s">
        <v>1120</v>
      </c>
    </row>
    <row r="358" spans="1:5" ht="12.75" x14ac:dyDescent="0.2">
      <c r="A358" s="72" t="s">
        <v>1121</v>
      </c>
      <c r="B358" s="89" t="s">
        <v>1122</v>
      </c>
      <c r="C358" s="104" t="str">
        <f t="shared" si="11"/>
        <v>9665 Geist Montessori Academy          | (DUNS#)  786155767</v>
      </c>
      <c r="D358" s="71" t="e">
        <f t="shared" si="12"/>
        <v>#N/A</v>
      </c>
      <c r="E358" s="72" t="s">
        <v>1123</v>
      </c>
    </row>
    <row r="359" spans="1:5" ht="12.75" x14ac:dyDescent="0.2">
      <c r="A359" s="72" t="s">
        <v>1124</v>
      </c>
      <c r="B359" s="89" t="s">
        <v>1125</v>
      </c>
      <c r="C359" s="104" t="str">
        <f t="shared" si="11"/>
        <v>9670 Indianapolis Metropolitan High Sch| (DUNS#)  800476736</v>
      </c>
      <c r="D359" s="71" t="e">
        <f t="shared" si="12"/>
        <v>#N/A</v>
      </c>
      <c r="E359" s="72" t="s">
        <v>1126</v>
      </c>
    </row>
    <row r="360" spans="1:5" ht="12.75" x14ac:dyDescent="0.2">
      <c r="A360" s="72" t="s">
        <v>1127</v>
      </c>
      <c r="B360" s="89" t="s">
        <v>1128</v>
      </c>
      <c r="C360" s="104" t="str">
        <f t="shared" si="11"/>
        <v>9680 Paramount School of Excellence| (DUNS#)  831881664</v>
      </c>
      <c r="D360" s="71">
        <f t="shared" si="12"/>
        <v>2.07E-2</v>
      </c>
      <c r="E360" s="72" t="s">
        <v>1129</v>
      </c>
    </row>
    <row r="361" spans="1:5" ht="12.75" x14ac:dyDescent="0.2">
      <c r="A361" s="72" t="s">
        <v>1130</v>
      </c>
      <c r="B361" s="89" t="s">
        <v>1131</v>
      </c>
      <c r="C361" s="104" t="str">
        <f t="shared" si="11"/>
        <v>9685 Aspire Charter Academy            | (DUNS#)  930902510</v>
      </c>
      <c r="D361" s="71">
        <f t="shared" si="12"/>
        <v>1.46E-2</v>
      </c>
      <c r="E361" s="72" t="s">
        <v>1132</v>
      </c>
    </row>
    <row r="362" spans="1:5" ht="14.45" customHeight="1" x14ac:dyDescent="0.2">
      <c r="A362" s="72" t="s">
        <v>1133</v>
      </c>
      <c r="B362" s="89" t="s">
        <v>1134</v>
      </c>
      <c r="C362" s="104" t="str">
        <f t="shared" si="11"/>
        <v>9690 Renaissance Academy Charter School| (DUNS#)  020073081</v>
      </c>
      <c r="D362" s="71" t="e">
        <f t="shared" si="12"/>
        <v>#N/A</v>
      </c>
      <c r="E362" s="72" t="s">
        <v>1135</v>
      </c>
    </row>
    <row r="363" spans="1:5" ht="14.45" customHeight="1" x14ac:dyDescent="0.2">
      <c r="A363" s="72" t="s">
        <v>1136</v>
      </c>
      <c r="B363" s="89" t="s">
        <v>1137</v>
      </c>
      <c r="C363" s="104" t="str">
        <f t="shared" si="11"/>
        <v>9705 Hammond Academy| (DUNS#)  056036242</v>
      </c>
      <c r="D363" s="71" t="e">
        <f t="shared" si="12"/>
        <v>#N/A</v>
      </c>
      <c r="E363" s="72" t="s">
        <v>1138</v>
      </c>
    </row>
    <row r="364" spans="1:5" x14ac:dyDescent="0.25">
      <c r="A364" s="80" t="s">
        <v>1139</v>
      </c>
      <c r="B364" s="92" t="s">
        <v>1140</v>
      </c>
      <c r="C364" s="104" t="str">
        <f t="shared" si="11"/>
        <v xml:space="preserve">9710 Carpe Diem - Northwest| (DUNS#)  </v>
      </c>
      <c r="D364" s="71" t="e">
        <f t="shared" si="12"/>
        <v>#N/A</v>
      </c>
      <c r="E364" s="72"/>
    </row>
    <row r="365" spans="1:5" ht="12.75" x14ac:dyDescent="0.2">
      <c r="A365" s="72" t="s">
        <v>1141</v>
      </c>
      <c r="B365" s="89" t="s">
        <v>1142</v>
      </c>
      <c r="C365" s="104" t="str">
        <f t="shared" si="11"/>
        <v>9725 Canaan Community Academy| (DUNS#)  003973964</v>
      </c>
      <c r="D365" s="71" t="e">
        <f t="shared" si="12"/>
        <v>#N/A</v>
      </c>
      <c r="E365" s="72" t="s">
        <v>1143</v>
      </c>
    </row>
    <row r="366" spans="1:5" ht="12.75" x14ac:dyDescent="0.2">
      <c r="A366" s="72" t="s">
        <v>1144</v>
      </c>
      <c r="B366" s="89" t="s">
        <v>1145</v>
      </c>
      <c r="C366" s="104" t="str">
        <f t="shared" si="11"/>
        <v>9730 Neighbors' New Vistas High School| (DUNS#)  010076646</v>
      </c>
      <c r="D366" s="71" t="e">
        <f t="shared" si="12"/>
        <v>#N/A</v>
      </c>
      <c r="E366" s="72" t="s">
        <v>1146</v>
      </c>
    </row>
    <row r="367" spans="1:5" ht="14.45" customHeight="1" x14ac:dyDescent="0.2">
      <c r="A367" s="72" t="s">
        <v>1147</v>
      </c>
      <c r="B367" s="89" t="s">
        <v>1148</v>
      </c>
      <c r="C367" s="104" t="str">
        <f t="shared" si="11"/>
        <v>9735 Inspire Academy| (DUNS#)  011329714</v>
      </c>
      <c r="D367" s="71" t="e">
        <f t="shared" si="12"/>
        <v>#N/A</v>
      </c>
      <c r="E367" s="72" t="s">
        <v>1149</v>
      </c>
    </row>
    <row r="368" spans="1:5" x14ac:dyDescent="0.25">
      <c r="A368" s="81" t="s">
        <v>1150</v>
      </c>
      <c r="B368" s="81" t="s">
        <v>1151</v>
      </c>
      <c r="C368" s="104" t="str">
        <f t="shared" si="11"/>
        <v xml:space="preserve">9745 Tindley Prepatory Academy| (DUNS#)  </v>
      </c>
      <c r="D368" s="82" t="e">
        <f t="shared" si="12"/>
        <v>#N/A</v>
      </c>
      <c r="E368" s="81"/>
    </row>
    <row r="369" spans="1:5" ht="12.75" x14ac:dyDescent="0.2">
      <c r="A369" s="72" t="s">
        <v>1152</v>
      </c>
      <c r="B369" s="89" t="s">
        <v>1153</v>
      </c>
      <c r="C369" s="104" t="str">
        <f t="shared" si="11"/>
        <v>9750 Anderson Excel Center| (DUNS#)  941402245</v>
      </c>
      <c r="D369" s="71">
        <f t="shared" si="12"/>
        <v>1E-4</v>
      </c>
      <c r="E369" s="72" t="s">
        <v>1249</v>
      </c>
    </row>
    <row r="370" spans="1:5" ht="12.75" x14ac:dyDescent="0.2">
      <c r="A370" s="72" t="s">
        <v>1154</v>
      </c>
      <c r="B370" s="89" t="s">
        <v>1155</v>
      </c>
      <c r="C370" s="104" t="str">
        <f t="shared" si="11"/>
        <v>9760 Smith Academy of Excellence| (DUNS#)  018868543</v>
      </c>
      <c r="D370" s="71" t="e">
        <f t="shared" si="12"/>
        <v>#N/A</v>
      </c>
      <c r="E370" s="72" t="s">
        <v>1156</v>
      </c>
    </row>
    <row r="371" spans="1:5" ht="12.75" x14ac:dyDescent="0.2">
      <c r="A371" s="72" t="s">
        <v>1157</v>
      </c>
      <c r="B371" s="89" t="s">
        <v>1158</v>
      </c>
      <c r="C371" s="104" t="str">
        <f t="shared" si="11"/>
        <v>9770 Indianapolis Lighthouse Charter East| (DUNS#)  800132214</v>
      </c>
      <c r="D371" s="71">
        <f t="shared" si="12"/>
        <v>1.7000000000000001E-2</v>
      </c>
      <c r="E371" s="72" t="s">
        <v>1099</v>
      </c>
    </row>
    <row r="372" spans="1:5" ht="12.75" x14ac:dyDescent="0.2">
      <c r="A372" s="72" t="s">
        <v>1159</v>
      </c>
      <c r="B372" s="89" t="s">
        <v>1160</v>
      </c>
      <c r="C372" s="104" t="str">
        <f t="shared" si="11"/>
        <v>9780 Indianapolis Academy of Excellence| (DUNS#)  055826545</v>
      </c>
      <c r="D372" s="71">
        <f t="shared" si="12"/>
        <v>8.7300000000000003E-2</v>
      </c>
      <c r="E372" s="72" t="s">
        <v>1161</v>
      </c>
    </row>
    <row r="373" spans="1:5" ht="12.75" x14ac:dyDescent="0.2">
      <c r="A373" s="72">
        <v>9785</v>
      </c>
      <c r="B373" s="89" t="s">
        <v>1162</v>
      </c>
      <c r="C373" s="104" t="str">
        <f t="shared" si="11"/>
        <v>9785 Indiana Math And Science Academy -Indianapolis| (DUNS#)  832093327</v>
      </c>
      <c r="D373" s="71" t="e">
        <f t="shared" si="12"/>
        <v>#N/A</v>
      </c>
      <c r="E373" s="72" t="s">
        <v>1163</v>
      </c>
    </row>
    <row r="374" spans="1:5" ht="12.75" x14ac:dyDescent="0.2">
      <c r="A374" s="72" t="s">
        <v>1164</v>
      </c>
      <c r="B374" s="89" t="s">
        <v>1165</v>
      </c>
      <c r="C374" s="104" t="str">
        <f t="shared" si="11"/>
        <v>9790 Anderson Preparatory Academy      | (DUNS#)  858894111</v>
      </c>
      <c r="D374" s="71" t="e">
        <f t="shared" si="12"/>
        <v>#N/A</v>
      </c>
      <c r="E374" s="72" t="s">
        <v>1166</v>
      </c>
    </row>
    <row r="375" spans="1:5" ht="12.75" x14ac:dyDescent="0.2">
      <c r="A375" s="72" t="s">
        <v>1167</v>
      </c>
      <c r="B375" s="89" t="s">
        <v>1168</v>
      </c>
      <c r="C375" s="104" t="str">
        <f t="shared" si="11"/>
        <v>9795 Dr Robert H Faulkner Academy      | (DUNS#)  004905184</v>
      </c>
      <c r="D375" s="71" t="e">
        <f t="shared" si="12"/>
        <v>#N/A</v>
      </c>
      <c r="E375" s="72" t="s">
        <v>1169</v>
      </c>
    </row>
    <row r="376" spans="1:5" ht="12.75" x14ac:dyDescent="0.2">
      <c r="A376" s="72" t="s">
        <v>1170</v>
      </c>
      <c r="B376" s="89" t="s">
        <v>1171</v>
      </c>
      <c r="C376" s="104" t="str">
        <f t="shared" si="11"/>
        <v>9805 Hoosier Academy - Indianapolis    | (DUNS#)  849696963</v>
      </c>
      <c r="D376" s="71" t="e">
        <f t="shared" si="12"/>
        <v>#N/A</v>
      </c>
      <c r="E376" s="72" t="s">
        <v>1172</v>
      </c>
    </row>
    <row r="377" spans="1:5" ht="12.75" x14ac:dyDescent="0.2">
      <c r="A377" s="72" t="s">
        <v>1173</v>
      </c>
      <c r="B377" s="89" t="s">
        <v>1174</v>
      </c>
      <c r="C377" s="104" t="str">
        <f t="shared" si="11"/>
        <v>9835 The Bloomington Project School    | (DUNS#)  829722607</v>
      </c>
      <c r="D377" s="71" t="e">
        <f t="shared" si="12"/>
        <v>#N/A</v>
      </c>
      <c r="E377" s="72" t="s">
        <v>1175</v>
      </c>
    </row>
    <row r="378" spans="1:5" ht="12.75" x14ac:dyDescent="0.2">
      <c r="A378" s="72" t="s">
        <v>1176</v>
      </c>
      <c r="B378" s="89" t="s">
        <v>1177</v>
      </c>
      <c r="C378" s="104" t="str">
        <f t="shared" si="11"/>
        <v xml:space="preserve">9840 Excel Center University Heights| (DUNS#)  </v>
      </c>
      <c r="D378" s="71">
        <f t="shared" ref="D378:D408" si="13">VLOOKUP(A378,ICR,3,FALSE)</f>
        <v>5.9999999999999995E-4</v>
      </c>
      <c r="E378" s="72"/>
    </row>
    <row r="379" spans="1:5" x14ac:dyDescent="0.25">
      <c r="A379" s="80" t="s">
        <v>1178</v>
      </c>
      <c r="B379" s="89" t="s">
        <v>1179</v>
      </c>
      <c r="C379" s="104" t="str">
        <f t="shared" si="11"/>
        <v>9845 Xavier School Of Excellence       | (DUNS#)  194057530</v>
      </c>
      <c r="D379" s="71" t="e">
        <f t="shared" si="13"/>
        <v>#N/A</v>
      </c>
      <c r="E379" s="72" t="s">
        <v>1180</v>
      </c>
    </row>
    <row r="380" spans="1:5" ht="14.45" customHeight="1" x14ac:dyDescent="0.2">
      <c r="A380" s="72" t="s">
        <v>1181</v>
      </c>
      <c r="B380" s="89" t="s">
        <v>1182</v>
      </c>
      <c r="C380" s="104" t="str">
        <f t="shared" si="11"/>
        <v xml:space="preserve">9855 Excel Center Noblesville| (DUNS#)  </v>
      </c>
      <c r="D380" s="71">
        <f t="shared" si="13"/>
        <v>2.5700000000000001E-2</v>
      </c>
      <c r="E380" s="72"/>
    </row>
    <row r="381" spans="1:5" ht="14.45" customHeight="1" x14ac:dyDescent="0.2">
      <c r="A381" s="72" t="s">
        <v>1183</v>
      </c>
      <c r="B381" s="89" t="s">
        <v>1184</v>
      </c>
      <c r="C381" s="104" t="str">
        <f t="shared" si="11"/>
        <v xml:space="preserve">9860 Paramount Brookside| (DUNS#)  </v>
      </c>
      <c r="D381" s="71" t="e">
        <f t="shared" si="13"/>
        <v>#N/A</v>
      </c>
      <c r="E381" s="72"/>
    </row>
    <row r="382" spans="1:5" x14ac:dyDescent="0.25">
      <c r="A382" s="80" t="s">
        <v>1185</v>
      </c>
      <c r="B382" s="89" t="s">
        <v>1186</v>
      </c>
      <c r="C382" s="104" t="str">
        <f t="shared" si="11"/>
        <v xml:space="preserve">9865 Hoosier Academy Virtual| (DUNS#)  </v>
      </c>
      <c r="D382" s="71" t="e">
        <f t="shared" si="13"/>
        <v>#N/A</v>
      </c>
      <c r="E382" s="72"/>
    </row>
    <row r="383" spans="1:5" ht="12.75" x14ac:dyDescent="0.2">
      <c r="A383" s="72" t="s">
        <v>1187</v>
      </c>
      <c r="B383" s="89" t="s">
        <v>1188</v>
      </c>
      <c r="C383" s="104" t="str">
        <f t="shared" si="11"/>
        <v>9870 Discovery Charter School| (DUNS#)  024155983</v>
      </c>
      <c r="D383" s="71" t="e">
        <f t="shared" si="13"/>
        <v>#N/A</v>
      </c>
      <c r="E383" s="72" t="s">
        <v>1189</v>
      </c>
    </row>
    <row r="384" spans="1:5" ht="12.75" x14ac:dyDescent="0.2">
      <c r="A384" s="72" t="s">
        <v>1190</v>
      </c>
      <c r="B384" s="89" t="s">
        <v>1191</v>
      </c>
      <c r="C384" s="104" t="str">
        <f t="shared" si="11"/>
        <v>9875 Rock Creek Community Academy| (DUNS#)  005345191</v>
      </c>
      <c r="D384" s="71" t="e">
        <f t="shared" si="13"/>
        <v>#N/A</v>
      </c>
      <c r="E384" s="72" t="s">
        <v>1192</v>
      </c>
    </row>
    <row r="385" spans="1:5" ht="12.75" x14ac:dyDescent="0.2">
      <c r="A385" s="72" t="s">
        <v>1193</v>
      </c>
      <c r="B385" s="89" t="s">
        <v>1194</v>
      </c>
      <c r="C385" s="104" t="str">
        <f t="shared" si="11"/>
        <v xml:space="preserve">9880 Career Academy High School| (DUNS#)  </v>
      </c>
      <c r="D385" s="71" t="e">
        <f t="shared" si="13"/>
        <v>#N/A</v>
      </c>
      <c r="E385" s="72"/>
    </row>
    <row r="386" spans="1:5" ht="12.75" x14ac:dyDescent="0.2">
      <c r="A386" s="72" t="s">
        <v>1195</v>
      </c>
      <c r="B386" s="89" t="s">
        <v>1196</v>
      </c>
      <c r="C386" s="104" t="str">
        <f t="shared" ref="C386:C408" si="14">A386&amp;" "&amp;B386&amp;"|"&amp;" "&amp;"(DUNS#)"&amp;"  "&amp;E386</f>
        <v>9885 Gary Middle College| (DUNS#)  078537807</v>
      </c>
      <c r="D386" s="71" t="e">
        <f t="shared" si="13"/>
        <v>#N/A</v>
      </c>
      <c r="E386" s="72" t="s">
        <v>1197</v>
      </c>
    </row>
    <row r="387" spans="1:5" ht="12.75" x14ac:dyDescent="0.2">
      <c r="A387" s="72" t="s">
        <v>1198</v>
      </c>
      <c r="B387" s="89" t="s">
        <v>1199</v>
      </c>
      <c r="C387" s="104" t="str">
        <f t="shared" si="14"/>
        <v>9890 Indiana Virtual School| (DUNS#)  78379116</v>
      </c>
      <c r="D387" s="71" t="e">
        <f t="shared" si="13"/>
        <v>#N/A</v>
      </c>
      <c r="E387" s="72" t="s">
        <v>1265</v>
      </c>
    </row>
    <row r="388" spans="1:5" ht="12.75" x14ac:dyDescent="0.2">
      <c r="A388" s="72" t="s">
        <v>1200</v>
      </c>
      <c r="B388" s="89" t="s">
        <v>1201</v>
      </c>
      <c r="C388" s="104" t="str">
        <f t="shared" si="14"/>
        <v xml:space="preserve">9895 Indiana Math and Science Academy - North| (DUNS#)  </v>
      </c>
      <c r="D388" s="71">
        <f t="shared" si="13"/>
        <v>1.6000000000000001E-3</v>
      </c>
      <c r="E388" s="72"/>
    </row>
    <row r="389" spans="1:5" ht="12.75" x14ac:dyDescent="0.2">
      <c r="A389" s="72" t="s">
        <v>1202</v>
      </c>
      <c r="B389" s="89" t="s">
        <v>1203</v>
      </c>
      <c r="C389" s="104" t="str">
        <f t="shared" si="14"/>
        <v xml:space="preserve">9900 Excel Center South Bend| (DUNS#)  </v>
      </c>
      <c r="D389" s="71" t="e">
        <f t="shared" si="13"/>
        <v>#N/A</v>
      </c>
      <c r="E389" s="72"/>
    </row>
    <row r="390" spans="1:5" ht="12.75" x14ac:dyDescent="0.2">
      <c r="A390" s="72" t="s">
        <v>1204</v>
      </c>
      <c r="B390" s="89" t="s">
        <v>1205</v>
      </c>
      <c r="C390" s="104" t="str">
        <f t="shared" si="14"/>
        <v xml:space="preserve">9905 IN Connections Academy Virtual Pilot| (DUNS#)  </v>
      </c>
      <c r="D390" s="71" t="e">
        <f t="shared" si="13"/>
        <v>#N/A</v>
      </c>
      <c r="E390" s="72"/>
    </row>
    <row r="391" spans="1:5" ht="12.75" x14ac:dyDescent="0.2">
      <c r="A391" s="72" t="s">
        <v>1206</v>
      </c>
      <c r="B391" s="89" t="s">
        <v>1207</v>
      </c>
      <c r="C391" s="104" t="str">
        <f t="shared" si="14"/>
        <v>9910 Excel Center for Adult Learners| (DUNS#)  820210124</v>
      </c>
      <c r="D391" s="71">
        <f t="shared" si="13"/>
        <v>2.0999999999999999E-3</v>
      </c>
      <c r="E391" s="72" t="s">
        <v>1259</v>
      </c>
    </row>
    <row r="392" spans="1:5" ht="12.75" x14ac:dyDescent="0.2">
      <c r="A392" s="72" t="s">
        <v>1208</v>
      </c>
      <c r="B392" s="89" t="s">
        <v>1209</v>
      </c>
      <c r="C392" s="104" t="str">
        <f t="shared" si="14"/>
        <v>9915 Marion Academy| (DUNS#)  800476736</v>
      </c>
      <c r="D392" s="71" t="e">
        <f t="shared" si="13"/>
        <v>#N/A</v>
      </c>
      <c r="E392" s="72" t="s">
        <v>1126</v>
      </c>
    </row>
    <row r="393" spans="1:5" ht="12.75" x14ac:dyDescent="0.2">
      <c r="A393" s="72" t="s">
        <v>1210</v>
      </c>
      <c r="B393" s="89" t="s">
        <v>1211</v>
      </c>
      <c r="C393" s="104" t="str">
        <f t="shared" si="14"/>
        <v xml:space="preserve">9920 Damar Charter Academy| (DUNS#)  </v>
      </c>
      <c r="D393" s="71">
        <f t="shared" si="13"/>
        <v>5.7000000000000002E-3</v>
      </c>
      <c r="E393" s="72"/>
    </row>
    <row r="394" spans="1:5" ht="14.45" customHeight="1" x14ac:dyDescent="0.2">
      <c r="A394" s="72" t="s">
        <v>1212</v>
      </c>
      <c r="B394" s="89" t="s">
        <v>1213</v>
      </c>
      <c r="C394" s="104" t="str">
        <f t="shared" si="14"/>
        <v>9925 The George &amp; Veronica Phalen Academy| (DUNS#)  043799789</v>
      </c>
      <c r="D394" s="71" t="e">
        <f t="shared" si="13"/>
        <v>#N/A</v>
      </c>
      <c r="E394" s="72" t="s">
        <v>1214</v>
      </c>
    </row>
    <row r="395" spans="1:5" x14ac:dyDescent="0.25">
      <c r="A395" s="80" t="s">
        <v>1215</v>
      </c>
      <c r="B395" s="89" t="s">
        <v>1216</v>
      </c>
      <c r="C395" s="104" t="str">
        <f t="shared" si="14"/>
        <v xml:space="preserve">9930 Nexus Academy of Indianapolis| (DUNS#)  </v>
      </c>
      <c r="D395" s="71" t="e">
        <f t="shared" si="13"/>
        <v>#N/A</v>
      </c>
      <c r="E395" s="72"/>
    </row>
    <row r="396" spans="1:5" ht="12.75" x14ac:dyDescent="0.2">
      <c r="A396" s="72" t="s">
        <v>1217</v>
      </c>
      <c r="B396" s="89" t="s">
        <v>1218</v>
      </c>
      <c r="C396" s="104" t="str">
        <f t="shared" si="14"/>
        <v>9935 Vision Academy| (DUNS#)  153474510</v>
      </c>
      <c r="D396" s="71" t="e">
        <f t="shared" si="13"/>
        <v>#N/A</v>
      </c>
      <c r="E396" s="72" t="s">
        <v>1072</v>
      </c>
    </row>
    <row r="397" spans="1:5" ht="12.75" x14ac:dyDescent="0.2">
      <c r="A397" s="72" t="s">
        <v>1219</v>
      </c>
      <c r="B397" s="89" t="s">
        <v>1220</v>
      </c>
      <c r="C397" s="104" t="str">
        <f t="shared" si="14"/>
        <v>9940 Tindley Collegiate Academy| (DUNS#)  036776356</v>
      </c>
      <c r="D397" s="71" t="e">
        <f t="shared" si="13"/>
        <v>#N/A</v>
      </c>
      <c r="E397" s="72" t="s">
        <v>1221</v>
      </c>
    </row>
    <row r="398" spans="1:5" ht="12.75" x14ac:dyDescent="0.2">
      <c r="A398" s="72" t="s">
        <v>1222</v>
      </c>
      <c r="B398" s="89" t="s">
        <v>1223</v>
      </c>
      <c r="C398" s="104" t="str">
        <f t="shared" si="14"/>
        <v>9945 Tindley Renaissance Academy| (DUNS#)  053372184</v>
      </c>
      <c r="D398" s="71" t="e">
        <f t="shared" si="13"/>
        <v>#N/A</v>
      </c>
      <c r="E398" s="72" t="s">
        <v>1224</v>
      </c>
    </row>
    <row r="399" spans="1:5" ht="12.75" x14ac:dyDescent="0.2">
      <c r="A399" s="72" t="s">
        <v>1225</v>
      </c>
      <c r="B399" s="89" t="s">
        <v>1226</v>
      </c>
      <c r="C399" s="104" t="str">
        <f t="shared" si="14"/>
        <v>9950 Dugger Union Comm Schools Academy| (DUNS#)  050693373</v>
      </c>
      <c r="D399" s="71" t="e">
        <f t="shared" si="13"/>
        <v>#N/A</v>
      </c>
      <c r="E399" s="72" t="s">
        <v>862</v>
      </c>
    </row>
    <row r="400" spans="1:5" ht="12.75" x14ac:dyDescent="0.2">
      <c r="A400" s="72" t="s">
        <v>1227</v>
      </c>
      <c r="B400" s="89" t="s">
        <v>1228</v>
      </c>
      <c r="C400" s="104" t="str">
        <f t="shared" si="14"/>
        <v>9955 Mays Community Academy| (DUNS#)  100742154</v>
      </c>
      <c r="D400" s="71">
        <f t="shared" si="13"/>
        <v>3.8300000000000001E-2</v>
      </c>
      <c r="E400" s="72" t="s">
        <v>1229</v>
      </c>
    </row>
    <row r="401" spans="1:5" ht="12.75" x14ac:dyDescent="0.2">
      <c r="A401" s="72" t="s">
        <v>1230</v>
      </c>
      <c r="B401" s="89" t="s">
        <v>1231</v>
      </c>
      <c r="C401" s="104" t="str">
        <f t="shared" si="14"/>
        <v>9960 Success Academy Primary School| (DUNS#)  078274700</v>
      </c>
      <c r="D401" s="71" t="e">
        <f t="shared" si="13"/>
        <v>#N/A</v>
      </c>
      <c r="E401" s="72" t="s">
        <v>1232</v>
      </c>
    </row>
    <row r="402" spans="1:5" ht="12.75" x14ac:dyDescent="0.2">
      <c r="A402" s="72" t="s">
        <v>1233</v>
      </c>
      <c r="B402" s="89" t="s">
        <v>1234</v>
      </c>
      <c r="C402" s="104" t="str">
        <f t="shared" si="14"/>
        <v>9965 Career Academy Middle School| (DUNS#)  078274700</v>
      </c>
      <c r="D402" s="71" t="e">
        <f t="shared" si="13"/>
        <v>#N/A</v>
      </c>
      <c r="E402" s="72" t="s">
        <v>1232</v>
      </c>
    </row>
    <row r="403" spans="1:5" ht="12.75" x14ac:dyDescent="0.2">
      <c r="A403" s="72" t="s">
        <v>1235</v>
      </c>
      <c r="B403" s="89" t="s">
        <v>1236</v>
      </c>
      <c r="C403" s="104" t="str">
        <f t="shared" si="14"/>
        <v>9970 ACE Preparatory Academy| (DUNS#)  45332767</v>
      </c>
      <c r="D403" s="71" t="e">
        <f t="shared" si="13"/>
        <v>#N/A</v>
      </c>
      <c r="E403" s="72" t="s">
        <v>1247</v>
      </c>
    </row>
    <row r="404" spans="1:5" ht="12.75" x14ac:dyDescent="0.2">
      <c r="A404" s="72" t="s">
        <v>1237</v>
      </c>
      <c r="B404" s="89" t="s">
        <v>1238</v>
      </c>
      <c r="C404" s="104" t="str">
        <f t="shared" si="14"/>
        <v>9975 Global Preparatory Academy| (DUNS#)  80277511</v>
      </c>
      <c r="D404" s="71" t="e">
        <f t="shared" si="13"/>
        <v>#N/A</v>
      </c>
      <c r="E404" s="72" t="s">
        <v>1261</v>
      </c>
    </row>
    <row r="405" spans="1:5" ht="14.45" customHeight="1" x14ac:dyDescent="0.2">
      <c r="A405" s="72" t="s">
        <v>1239</v>
      </c>
      <c r="B405" s="89" t="s">
        <v>1240</v>
      </c>
      <c r="C405" s="104" t="str">
        <f t="shared" si="14"/>
        <v xml:space="preserve">9980 Steel City Academy| (DUNS#)  </v>
      </c>
      <c r="D405" s="71" t="e">
        <f t="shared" si="13"/>
        <v>#N/A</v>
      </c>
      <c r="E405" s="72"/>
    </row>
    <row r="406" spans="1:5" ht="12.75" x14ac:dyDescent="0.2">
      <c r="A406" s="72" t="s">
        <v>1241</v>
      </c>
      <c r="B406" s="89" t="s">
        <v>1242</v>
      </c>
      <c r="C406" s="104" t="str">
        <f t="shared" si="14"/>
        <v xml:space="preserve">9985 Seven Oaks Classical School| (DUNS#)  </v>
      </c>
      <c r="D406" s="71" t="e">
        <f t="shared" si="13"/>
        <v>#N/A</v>
      </c>
      <c r="E406" s="72"/>
    </row>
    <row r="407" spans="1:5" ht="12.75" x14ac:dyDescent="0.2">
      <c r="A407" s="72" t="s">
        <v>1243</v>
      </c>
      <c r="B407" s="89" t="s">
        <v>1244</v>
      </c>
      <c r="C407" s="104" t="str">
        <f t="shared" si="14"/>
        <v xml:space="preserve">9990 Higher Institute of Arts &amp; Tech| (DUNS#)  </v>
      </c>
      <c r="D407" s="71" t="e">
        <f t="shared" si="13"/>
        <v>#N/A</v>
      </c>
      <c r="E407" s="72"/>
    </row>
    <row r="408" spans="1:5" ht="12.75" x14ac:dyDescent="0.2">
      <c r="A408" s="72" t="s">
        <v>1245</v>
      </c>
      <c r="B408" s="89" t="s">
        <v>1246</v>
      </c>
      <c r="C408" s="104" t="str">
        <f t="shared" si="14"/>
        <v xml:space="preserve">9995 Excel Center - Shelbyville| (DUNS#)  </v>
      </c>
      <c r="D408" s="71">
        <f t="shared" si="13"/>
        <v>8.0000000000000004E-4</v>
      </c>
      <c r="E408" s="72"/>
    </row>
    <row r="409" spans="1:5" x14ac:dyDescent="0.25">
      <c r="D409" s="85"/>
    </row>
    <row r="410" spans="1:5" x14ac:dyDescent="0.25">
      <c r="D410" s="85"/>
    </row>
    <row r="411" spans="1:5" x14ac:dyDescent="0.25">
      <c r="D411" s="85"/>
    </row>
    <row r="412" spans="1:5" x14ac:dyDescent="0.25">
      <c r="D412" s="85"/>
    </row>
    <row r="413" spans="1:5" x14ac:dyDescent="0.25">
      <c r="D413" s="85"/>
    </row>
    <row r="414" spans="1:5" x14ac:dyDescent="0.25">
      <c r="D414" s="85"/>
    </row>
    <row r="415" spans="1:5" x14ac:dyDescent="0.25">
      <c r="D415" s="85"/>
    </row>
    <row r="416" spans="1:5" x14ac:dyDescent="0.25">
      <c r="D416" s="85"/>
    </row>
    <row r="417" spans="4:4" x14ac:dyDescent="0.25">
      <c r="D417" s="85"/>
    </row>
    <row r="418" spans="4:4" x14ac:dyDescent="0.25">
      <c r="D418" s="85"/>
    </row>
    <row r="419" spans="4:4" x14ac:dyDescent="0.25">
      <c r="D419" s="85"/>
    </row>
    <row r="420" spans="4:4" x14ac:dyDescent="0.25">
      <c r="D420" s="85"/>
    </row>
    <row r="421" spans="4:4" x14ac:dyDescent="0.25">
      <c r="D421" s="85"/>
    </row>
    <row r="422" spans="4:4" x14ac:dyDescent="0.25">
      <c r="D422" s="85"/>
    </row>
    <row r="423" spans="4:4" x14ac:dyDescent="0.25">
      <c r="D423" s="85"/>
    </row>
    <row r="424" spans="4:4" x14ac:dyDescent="0.25">
      <c r="D424" s="85"/>
    </row>
    <row r="425" spans="4:4" x14ac:dyDescent="0.25">
      <c r="D425" s="85"/>
    </row>
    <row r="426" spans="4:4" x14ac:dyDescent="0.25">
      <c r="D426" s="85"/>
    </row>
    <row r="427" spans="4:4" x14ac:dyDescent="0.25">
      <c r="D427" s="85"/>
    </row>
    <row r="428" spans="4:4" x14ac:dyDescent="0.25">
      <c r="D428" s="85"/>
    </row>
    <row r="429" spans="4:4" x14ac:dyDescent="0.25">
      <c r="D429" s="85"/>
    </row>
    <row r="430" spans="4:4" x14ac:dyDescent="0.25">
      <c r="D430" s="85"/>
    </row>
    <row r="431" spans="4:4" x14ac:dyDescent="0.25">
      <c r="D431" s="85"/>
    </row>
    <row r="432" spans="4:4" x14ac:dyDescent="0.25">
      <c r="D432" s="85"/>
    </row>
    <row r="433" spans="4:4" x14ac:dyDescent="0.25">
      <c r="D433" s="85"/>
    </row>
    <row r="434" spans="4:4" x14ac:dyDescent="0.25">
      <c r="D434" s="85"/>
    </row>
    <row r="435" spans="4:4" x14ac:dyDescent="0.25">
      <c r="D435" s="85"/>
    </row>
    <row r="436" spans="4:4" x14ac:dyDescent="0.25">
      <c r="D436" s="85"/>
    </row>
    <row r="437" spans="4:4" x14ac:dyDescent="0.25">
      <c r="D437" s="85"/>
    </row>
    <row r="438" spans="4:4" x14ac:dyDescent="0.25">
      <c r="D438" s="85"/>
    </row>
    <row r="439" spans="4:4" x14ac:dyDescent="0.25">
      <c r="D439" s="85"/>
    </row>
    <row r="440" spans="4:4" x14ac:dyDescent="0.25">
      <c r="D440" s="85"/>
    </row>
    <row r="441" spans="4:4" x14ac:dyDescent="0.25">
      <c r="D441" s="85"/>
    </row>
    <row r="442" spans="4:4" x14ac:dyDescent="0.25">
      <c r="D442" s="85"/>
    </row>
    <row r="443" spans="4:4" x14ac:dyDescent="0.25">
      <c r="D443" s="85"/>
    </row>
    <row r="444" spans="4:4" x14ac:dyDescent="0.25">
      <c r="D444" s="85"/>
    </row>
    <row r="445" spans="4:4" x14ac:dyDescent="0.25">
      <c r="D445" s="85"/>
    </row>
    <row r="446" spans="4:4" x14ac:dyDescent="0.25">
      <c r="D446" s="85"/>
    </row>
    <row r="447" spans="4:4" x14ac:dyDescent="0.25">
      <c r="D447" s="85"/>
    </row>
    <row r="448" spans="4:4" x14ac:dyDescent="0.25">
      <c r="D448" s="85"/>
    </row>
    <row r="449" spans="4:4" x14ac:dyDescent="0.25">
      <c r="D449" s="85"/>
    </row>
    <row r="450" spans="4:4" x14ac:dyDescent="0.25">
      <c r="D450" s="85"/>
    </row>
    <row r="451" spans="4:4" x14ac:dyDescent="0.25">
      <c r="D451" s="85"/>
    </row>
    <row r="452" spans="4:4" x14ac:dyDescent="0.25">
      <c r="D452" s="85"/>
    </row>
    <row r="453" spans="4:4" x14ac:dyDescent="0.25">
      <c r="D453" s="85"/>
    </row>
    <row r="454" spans="4:4" x14ac:dyDescent="0.25">
      <c r="D454" s="85"/>
    </row>
    <row r="455" spans="4:4" x14ac:dyDescent="0.25">
      <c r="D455" s="85"/>
    </row>
    <row r="456" spans="4:4" x14ac:dyDescent="0.25">
      <c r="D456" s="85"/>
    </row>
    <row r="457" spans="4:4" x14ac:dyDescent="0.25">
      <c r="D457" s="85"/>
    </row>
    <row r="458" spans="4:4" x14ac:dyDescent="0.25">
      <c r="D458" s="85"/>
    </row>
    <row r="459" spans="4:4" x14ac:dyDescent="0.25">
      <c r="D459" s="85"/>
    </row>
    <row r="460" spans="4:4" x14ac:dyDescent="0.25">
      <c r="D460" s="85"/>
    </row>
    <row r="461" spans="4:4" x14ac:dyDescent="0.25">
      <c r="D461" s="85"/>
    </row>
    <row r="462" spans="4:4" x14ac:dyDescent="0.25">
      <c r="D462" s="85"/>
    </row>
    <row r="463" spans="4:4" x14ac:dyDescent="0.25">
      <c r="D463" s="85"/>
    </row>
    <row r="464" spans="4:4" x14ac:dyDescent="0.25">
      <c r="D464" s="85"/>
    </row>
    <row r="465" spans="4:4" x14ac:dyDescent="0.25">
      <c r="D465" s="85"/>
    </row>
    <row r="466" spans="4:4" x14ac:dyDescent="0.25">
      <c r="D466" s="85"/>
    </row>
    <row r="467" spans="4:4" x14ac:dyDescent="0.25">
      <c r="D467" s="85"/>
    </row>
    <row r="468" spans="4:4" x14ac:dyDescent="0.25">
      <c r="D468" s="85"/>
    </row>
    <row r="469" spans="4:4" x14ac:dyDescent="0.25">
      <c r="D469" s="85"/>
    </row>
    <row r="470" spans="4:4" x14ac:dyDescent="0.25">
      <c r="D470" s="85"/>
    </row>
    <row r="471" spans="4:4" x14ac:dyDescent="0.25">
      <c r="D471" s="85"/>
    </row>
    <row r="472" spans="4:4" x14ac:dyDescent="0.25">
      <c r="D472" s="85"/>
    </row>
    <row r="473" spans="4:4" x14ac:dyDescent="0.25">
      <c r="D473" s="85"/>
    </row>
    <row r="474" spans="4:4" x14ac:dyDescent="0.25">
      <c r="D474" s="85"/>
    </row>
    <row r="475" spans="4:4" x14ac:dyDescent="0.25">
      <c r="D475" s="85"/>
    </row>
    <row r="476" spans="4:4" x14ac:dyDescent="0.25">
      <c r="D476" s="85"/>
    </row>
    <row r="477" spans="4:4" x14ac:dyDescent="0.25">
      <c r="D477" s="85"/>
    </row>
    <row r="478" spans="4:4" x14ac:dyDescent="0.25">
      <c r="D478" s="85"/>
    </row>
    <row r="479" spans="4:4" x14ac:dyDescent="0.25">
      <c r="D479" s="85"/>
    </row>
    <row r="480" spans="4:4" x14ac:dyDescent="0.25">
      <c r="D480" s="85"/>
    </row>
    <row r="481" spans="4:4" x14ac:dyDescent="0.25">
      <c r="D481" s="85"/>
    </row>
    <row r="482" spans="4:4" x14ac:dyDescent="0.25">
      <c r="D482" s="85"/>
    </row>
    <row r="483" spans="4:4" x14ac:dyDescent="0.25">
      <c r="D483" s="85"/>
    </row>
    <row r="484" spans="4:4" x14ac:dyDescent="0.25">
      <c r="D484" s="85"/>
    </row>
    <row r="485" spans="4:4" x14ac:dyDescent="0.25">
      <c r="D485" s="85"/>
    </row>
    <row r="486" spans="4:4" x14ac:dyDescent="0.25">
      <c r="D486" s="85"/>
    </row>
    <row r="487" spans="4:4" x14ac:dyDescent="0.25">
      <c r="D487" s="85"/>
    </row>
    <row r="488" spans="4:4" x14ac:dyDescent="0.25">
      <c r="D488" s="85"/>
    </row>
    <row r="489" spans="4:4" x14ac:dyDescent="0.25">
      <c r="D489" s="85"/>
    </row>
    <row r="490" spans="4:4" x14ac:dyDescent="0.25">
      <c r="D490" s="85"/>
    </row>
    <row r="491" spans="4:4" x14ac:dyDescent="0.25">
      <c r="D491" s="85"/>
    </row>
    <row r="492" spans="4:4" x14ac:dyDescent="0.25">
      <c r="D492" s="85"/>
    </row>
    <row r="493" spans="4:4" x14ac:dyDescent="0.25">
      <c r="D493" s="85"/>
    </row>
    <row r="494" spans="4:4" x14ac:dyDescent="0.25">
      <c r="D494" s="85"/>
    </row>
    <row r="495" spans="4:4" x14ac:dyDescent="0.25">
      <c r="D495" s="85"/>
    </row>
    <row r="496" spans="4:4" x14ac:dyDescent="0.25">
      <c r="D496" s="85"/>
    </row>
    <row r="497" spans="4:4" x14ac:dyDescent="0.25">
      <c r="D497" s="85"/>
    </row>
    <row r="498" spans="4:4" x14ac:dyDescent="0.25">
      <c r="D498" s="85"/>
    </row>
    <row r="499" spans="4:4" x14ac:dyDescent="0.25">
      <c r="D499" s="85"/>
    </row>
    <row r="500" spans="4:4" x14ac:dyDescent="0.25">
      <c r="D500" s="85"/>
    </row>
    <row r="501" spans="4:4" x14ac:dyDescent="0.25">
      <c r="D501" s="85"/>
    </row>
    <row r="502" spans="4:4" x14ac:dyDescent="0.25">
      <c r="D502" s="85"/>
    </row>
    <row r="503" spans="4:4" x14ac:dyDescent="0.25">
      <c r="D503" s="85"/>
    </row>
    <row r="504" spans="4:4" x14ac:dyDescent="0.25">
      <c r="D504" s="85"/>
    </row>
    <row r="505" spans="4:4" x14ac:dyDescent="0.25">
      <c r="D505" s="85"/>
    </row>
    <row r="506" spans="4:4" x14ac:dyDescent="0.25">
      <c r="D506" s="85"/>
    </row>
    <row r="507" spans="4:4" x14ac:dyDescent="0.25">
      <c r="D507" s="85"/>
    </row>
    <row r="508" spans="4:4" x14ac:dyDescent="0.25">
      <c r="D508" s="85"/>
    </row>
    <row r="509" spans="4:4" x14ac:dyDescent="0.25">
      <c r="D509" s="85"/>
    </row>
    <row r="510" spans="4:4" x14ac:dyDescent="0.25">
      <c r="D510" s="85"/>
    </row>
    <row r="511" spans="4:4" x14ac:dyDescent="0.25">
      <c r="D511" s="85"/>
    </row>
    <row r="512" spans="4:4" x14ac:dyDescent="0.25">
      <c r="D512" s="85"/>
    </row>
    <row r="513" spans="4:4" x14ac:dyDescent="0.25">
      <c r="D513" s="85"/>
    </row>
    <row r="514" spans="4:4" x14ac:dyDescent="0.25">
      <c r="D514" s="85"/>
    </row>
    <row r="515" spans="4:4" x14ac:dyDescent="0.25">
      <c r="D515" s="85"/>
    </row>
    <row r="516" spans="4:4" x14ac:dyDescent="0.25">
      <c r="D516" s="85"/>
    </row>
    <row r="517" spans="4:4" x14ac:dyDescent="0.25">
      <c r="D517" s="85"/>
    </row>
    <row r="518" spans="4:4" x14ac:dyDescent="0.25">
      <c r="D518" s="85"/>
    </row>
    <row r="519" spans="4:4" x14ac:dyDescent="0.25">
      <c r="D519" s="85"/>
    </row>
    <row r="520" spans="4:4" x14ac:dyDescent="0.25">
      <c r="D520" s="85"/>
    </row>
    <row r="521" spans="4:4" x14ac:dyDescent="0.25">
      <c r="D521" s="85"/>
    </row>
    <row r="522" spans="4:4" x14ac:dyDescent="0.25">
      <c r="D522" s="85"/>
    </row>
    <row r="523" spans="4:4" x14ac:dyDescent="0.25">
      <c r="D523" s="85"/>
    </row>
    <row r="524" spans="4:4" x14ac:dyDescent="0.25">
      <c r="D524" s="85"/>
    </row>
    <row r="525" spans="4:4" x14ac:dyDescent="0.25">
      <c r="D525" s="85"/>
    </row>
    <row r="526" spans="4:4" x14ac:dyDescent="0.25">
      <c r="D526" s="85"/>
    </row>
    <row r="527" spans="4:4" x14ac:dyDescent="0.25">
      <c r="D527" s="85"/>
    </row>
    <row r="528" spans="4:4" x14ac:dyDescent="0.25">
      <c r="D528" s="85"/>
    </row>
    <row r="529" spans="4:4" x14ac:dyDescent="0.25">
      <c r="D529" s="85"/>
    </row>
    <row r="530" spans="4:4" x14ac:dyDescent="0.25">
      <c r="D530" s="85"/>
    </row>
    <row r="531" spans="4:4" x14ac:dyDescent="0.25">
      <c r="D531" s="85"/>
    </row>
    <row r="532" spans="4:4" x14ac:dyDescent="0.25">
      <c r="D532" s="85"/>
    </row>
    <row r="533" spans="4:4" x14ac:dyDescent="0.25">
      <c r="D533" s="85"/>
    </row>
    <row r="534" spans="4:4" x14ac:dyDescent="0.25">
      <c r="D534" s="85"/>
    </row>
    <row r="535" spans="4:4" x14ac:dyDescent="0.25">
      <c r="D535" s="85"/>
    </row>
    <row r="536" spans="4:4" x14ac:dyDescent="0.25">
      <c r="D536" s="85"/>
    </row>
    <row r="537" spans="4:4" x14ac:dyDescent="0.25">
      <c r="D537" s="85"/>
    </row>
    <row r="538" spans="4:4" x14ac:dyDescent="0.25">
      <c r="D538" s="85"/>
    </row>
    <row r="539" spans="4:4" x14ac:dyDescent="0.25">
      <c r="D539" s="85"/>
    </row>
    <row r="540" spans="4:4" x14ac:dyDescent="0.25">
      <c r="D540" s="85"/>
    </row>
    <row r="541" spans="4:4" x14ac:dyDescent="0.25">
      <c r="D541" s="85"/>
    </row>
    <row r="542" spans="4:4" x14ac:dyDescent="0.25">
      <c r="D542" s="85"/>
    </row>
    <row r="543" spans="4:4" x14ac:dyDescent="0.25">
      <c r="D543" s="85"/>
    </row>
    <row r="544" spans="4:4" x14ac:dyDescent="0.25">
      <c r="D544" s="85"/>
    </row>
    <row r="545" spans="4:4" x14ac:dyDescent="0.25">
      <c r="D545" s="85"/>
    </row>
    <row r="546" spans="4:4" x14ac:dyDescent="0.25">
      <c r="D546" s="85"/>
    </row>
    <row r="547" spans="4:4" x14ac:dyDescent="0.25">
      <c r="D547" s="85"/>
    </row>
    <row r="548" spans="4:4" x14ac:dyDescent="0.25">
      <c r="D548" s="85"/>
    </row>
    <row r="549" spans="4:4" x14ac:dyDescent="0.25">
      <c r="D549" s="85"/>
    </row>
    <row r="550" spans="4:4" x14ac:dyDescent="0.25">
      <c r="D550" s="85"/>
    </row>
    <row r="551" spans="4:4" x14ac:dyDescent="0.25">
      <c r="D551" s="85"/>
    </row>
    <row r="552" spans="4:4" x14ac:dyDescent="0.25">
      <c r="D552" s="85"/>
    </row>
    <row r="553" spans="4:4" x14ac:dyDescent="0.25">
      <c r="D553" s="85"/>
    </row>
    <row r="554" spans="4:4" x14ac:dyDescent="0.25">
      <c r="D554" s="85"/>
    </row>
    <row r="555" spans="4:4" x14ac:dyDescent="0.25">
      <c r="D555" s="85"/>
    </row>
    <row r="556" spans="4:4" x14ac:dyDescent="0.25">
      <c r="D556" s="85"/>
    </row>
    <row r="557" spans="4:4" x14ac:dyDescent="0.25">
      <c r="D557" s="85"/>
    </row>
    <row r="558" spans="4:4" x14ac:dyDescent="0.25">
      <c r="D558" s="85"/>
    </row>
    <row r="559" spans="4:4" x14ac:dyDescent="0.25">
      <c r="D559" s="85"/>
    </row>
    <row r="560" spans="4:4" x14ac:dyDescent="0.25">
      <c r="D560" s="85"/>
    </row>
    <row r="561" spans="4:4" x14ac:dyDescent="0.25">
      <c r="D561" s="85"/>
    </row>
    <row r="562" spans="4:4" x14ac:dyDescent="0.25">
      <c r="D562" s="85"/>
    </row>
    <row r="563" spans="4:4" x14ac:dyDescent="0.25">
      <c r="D563" s="85"/>
    </row>
    <row r="564" spans="4:4" x14ac:dyDescent="0.25">
      <c r="D564" s="85"/>
    </row>
    <row r="565" spans="4:4" x14ac:dyDescent="0.25">
      <c r="D565" s="85"/>
    </row>
    <row r="566" spans="4:4" x14ac:dyDescent="0.25">
      <c r="D566" s="85"/>
    </row>
    <row r="567" spans="4:4" x14ac:dyDescent="0.25">
      <c r="D567" s="85"/>
    </row>
    <row r="568" spans="4:4" x14ac:dyDescent="0.25">
      <c r="D568" s="85"/>
    </row>
    <row r="569" spans="4:4" x14ac:dyDescent="0.25">
      <c r="D569" s="85"/>
    </row>
    <row r="570" spans="4:4" x14ac:dyDescent="0.25">
      <c r="D570" s="85"/>
    </row>
    <row r="571" spans="4:4" x14ac:dyDescent="0.25">
      <c r="D571" s="85"/>
    </row>
    <row r="572" spans="4:4" x14ac:dyDescent="0.25">
      <c r="D572" s="85"/>
    </row>
    <row r="573" spans="4:4" x14ac:dyDescent="0.25">
      <c r="D573" s="85"/>
    </row>
    <row r="574" spans="4:4" x14ac:dyDescent="0.25">
      <c r="D574" s="85"/>
    </row>
    <row r="575" spans="4:4" x14ac:dyDescent="0.25">
      <c r="D575" s="85"/>
    </row>
    <row r="576" spans="4:4" x14ac:dyDescent="0.25">
      <c r="D576" s="85"/>
    </row>
    <row r="577" spans="4:4" x14ac:dyDescent="0.25">
      <c r="D577" s="85"/>
    </row>
    <row r="578" spans="4:4" x14ac:dyDescent="0.25">
      <c r="D578" s="85"/>
    </row>
    <row r="579" spans="4:4" x14ac:dyDescent="0.25">
      <c r="D579" s="85"/>
    </row>
    <row r="580" spans="4:4" x14ac:dyDescent="0.25">
      <c r="D580" s="85"/>
    </row>
    <row r="581" spans="4:4" x14ac:dyDescent="0.25">
      <c r="D581" s="85"/>
    </row>
    <row r="582" spans="4:4" x14ac:dyDescent="0.25">
      <c r="D582" s="85"/>
    </row>
    <row r="583" spans="4:4" x14ac:dyDescent="0.25">
      <c r="D583" s="85"/>
    </row>
    <row r="584" spans="4:4" x14ac:dyDescent="0.25">
      <c r="D584" s="85"/>
    </row>
    <row r="585" spans="4:4" x14ac:dyDescent="0.25">
      <c r="D585" s="85"/>
    </row>
    <row r="586" spans="4:4" x14ac:dyDescent="0.25">
      <c r="D586" s="85"/>
    </row>
    <row r="587" spans="4:4" x14ac:dyDescent="0.25">
      <c r="D587" s="85"/>
    </row>
    <row r="588" spans="4:4" x14ac:dyDescent="0.25">
      <c r="D588" s="85"/>
    </row>
    <row r="589" spans="4:4" x14ac:dyDescent="0.25">
      <c r="D589" s="85"/>
    </row>
    <row r="590" spans="4:4" x14ac:dyDescent="0.25">
      <c r="D590" s="85"/>
    </row>
    <row r="591" spans="4:4" x14ac:dyDescent="0.25">
      <c r="D591" s="85"/>
    </row>
    <row r="592" spans="4:4" x14ac:dyDescent="0.25">
      <c r="D592" s="85"/>
    </row>
    <row r="593" spans="4:4" x14ac:dyDescent="0.25">
      <c r="D593" s="85"/>
    </row>
    <row r="594" spans="4:4" x14ac:dyDescent="0.25">
      <c r="D594" s="85"/>
    </row>
    <row r="595" spans="4:4" x14ac:dyDescent="0.25">
      <c r="D595" s="85"/>
    </row>
    <row r="596" spans="4:4" x14ac:dyDescent="0.25">
      <c r="D596" s="85"/>
    </row>
    <row r="597" spans="4:4" x14ac:dyDescent="0.25">
      <c r="D597" s="85"/>
    </row>
    <row r="598" spans="4:4" x14ac:dyDescent="0.25">
      <c r="D598" s="85"/>
    </row>
    <row r="599" spans="4:4" x14ac:dyDescent="0.25">
      <c r="D599" s="85"/>
    </row>
    <row r="600" spans="4:4" x14ac:dyDescent="0.25">
      <c r="D600" s="85"/>
    </row>
    <row r="601" spans="4:4" x14ac:dyDescent="0.25">
      <c r="D601" s="85"/>
    </row>
    <row r="602" spans="4:4" x14ac:dyDescent="0.25">
      <c r="D602" s="85"/>
    </row>
    <row r="603" spans="4:4" x14ac:dyDescent="0.25">
      <c r="D603" s="85"/>
    </row>
    <row r="604" spans="4:4" x14ac:dyDescent="0.25">
      <c r="D604" s="85"/>
    </row>
    <row r="605" spans="4:4" x14ac:dyDescent="0.25">
      <c r="D605" s="85"/>
    </row>
    <row r="606" spans="4:4" x14ac:dyDescent="0.25">
      <c r="D606" s="85"/>
    </row>
    <row r="607" spans="4:4" x14ac:dyDescent="0.25">
      <c r="D607" s="85"/>
    </row>
    <row r="608" spans="4:4" x14ac:dyDescent="0.25">
      <c r="D608" s="85"/>
    </row>
    <row r="609" spans="4:4" x14ac:dyDescent="0.25">
      <c r="D609" s="85"/>
    </row>
    <row r="610" spans="4:4" x14ac:dyDescent="0.25">
      <c r="D610" s="85"/>
    </row>
    <row r="611" spans="4:4" x14ac:dyDescent="0.25">
      <c r="D611" s="85"/>
    </row>
  </sheetData>
  <sortState xmlns:xlrd2="http://schemas.microsoft.com/office/spreadsheetml/2017/richdata2" ref="A3:F611">
    <sortCondition ref="A1"/>
  </sortState>
  <conditionalFormatting sqref="A2:E346 A348:E408">
    <cfRule type="expression" dxfId="2" priority="2">
      <formula>MOD(ROW(),2)=1</formula>
    </cfRule>
  </conditionalFormatting>
  <conditionalFormatting sqref="A347:B347 D347:E347">
    <cfRule type="expression" dxfId="1" priority="1">
      <formula>MOD(ROW(),2)=1</formula>
    </cfRule>
  </conditionalFormatting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theme="7" tint="-0.499984740745262"/>
  </sheetPr>
  <dimension ref="A1:M19"/>
  <sheetViews>
    <sheetView tabSelected="1" workbookViewId="0">
      <selection activeCell="E26" sqref="E26"/>
    </sheetView>
  </sheetViews>
  <sheetFormatPr defaultColWidth="8.83203125" defaultRowHeight="12.75" x14ac:dyDescent="0.2"/>
  <cols>
    <col min="1" max="1" width="8.83203125" style="26"/>
    <col min="2" max="2" width="29.33203125" style="21" customWidth="1"/>
    <col min="3" max="12" width="16.83203125" style="21" customWidth="1"/>
    <col min="13" max="16384" width="8.83203125" style="21"/>
  </cols>
  <sheetData>
    <row r="1" spans="1:13" ht="23.25" customHeight="1" x14ac:dyDescent="0.35">
      <c r="A1" s="162" t="s">
        <v>1317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4"/>
    </row>
    <row r="2" spans="1:13" ht="21.75" customHeight="1" x14ac:dyDescent="0.2">
      <c r="A2" s="165" t="str">
        <f>'ARP-HCY I Budget Summary'!B9</f>
        <v>-Select LEA-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7"/>
    </row>
    <row r="3" spans="1:13" ht="15" x14ac:dyDescent="0.25">
      <c r="A3" s="168" t="s">
        <v>1311</v>
      </c>
      <c r="B3" s="169"/>
      <c r="C3" s="22" t="s">
        <v>105</v>
      </c>
      <c r="D3" s="22" t="s">
        <v>5</v>
      </c>
      <c r="E3" s="22" t="s">
        <v>15</v>
      </c>
      <c r="F3" s="22">
        <v>440</v>
      </c>
      <c r="G3" s="22" t="s">
        <v>16</v>
      </c>
      <c r="H3" s="22" t="s">
        <v>17</v>
      </c>
      <c r="I3" s="22" t="s">
        <v>18</v>
      </c>
      <c r="J3" s="22" t="s">
        <v>1306</v>
      </c>
      <c r="K3" s="22">
        <v>910</v>
      </c>
      <c r="L3" s="23"/>
    </row>
    <row r="4" spans="1:13" s="26" customFormat="1" ht="28.15" customHeight="1" x14ac:dyDescent="0.2">
      <c r="A4" s="32" t="s">
        <v>19</v>
      </c>
      <c r="B4" s="32" t="s">
        <v>20</v>
      </c>
      <c r="C4" s="32" t="s">
        <v>21</v>
      </c>
      <c r="D4" s="32" t="s">
        <v>22</v>
      </c>
      <c r="E4" s="32" t="s">
        <v>23</v>
      </c>
      <c r="F4" s="32" t="s">
        <v>24</v>
      </c>
      <c r="G4" s="32" t="s">
        <v>25</v>
      </c>
      <c r="H4" s="32" t="s">
        <v>26</v>
      </c>
      <c r="I4" s="32" t="s">
        <v>27</v>
      </c>
      <c r="J4" s="32" t="s">
        <v>6</v>
      </c>
      <c r="K4" s="32" t="s">
        <v>28</v>
      </c>
      <c r="L4" s="32" t="s">
        <v>29</v>
      </c>
    </row>
    <row r="5" spans="1:13" s="24" customFormat="1" ht="26.65" customHeight="1" x14ac:dyDescent="0.2">
      <c r="A5" s="29">
        <v>11000</v>
      </c>
      <c r="B5" s="39" t="s">
        <v>30</v>
      </c>
      <c r="C5" s="41">
        <f>' ARP-HCY I Budget Detail'!F34</f>
        <v>0</v>
      </c>
      <c r="D5" s="41">
        <f>' ARP-HCY I Budget Detail'!F35</f>
        <v>0</v>
      </c>
      <c r="E5" s="41">
        <f>' ARP-HCY I Budget Detail'!F36</f>
        <v>0</v>
      </c>
      <c r="F5" s="41">
        <f>' ARP-HCY I Budget Detail'!F37</f>
        <v>0</v>
      </c>
      <c r="G5" s="41">
        <f>' ARP-HCY I Budget Detail'!F38</f>
        <v>0</v>
      </c>
      <c r="H5" s="41">
        <f>' ARP-HCY I Budget Detail'!F39</f>
        <v>0</v>
      </c>
      <c r="I5" s="41">
        <f>' ARP-HCY I Budget Detail'!F40</f>
        <v>0</v>
      </c>
      <c r="J5" s="41">
        <f>' ARP-HCY I Budget Detail'!F41</f>
        <v>0</v>
      </c>
      <c r="K5" s="41">
        <f>' ARP-HCY I Budget Detail'!F42</f>
        <v>0</v>
      </c>
      <c r="L5" s="30">
        <f t="shared" ref="L5:L13" si="0">SUM(C5:K5)</f>
        <v>0</v>
      </c>
    </row>
    <row r="6" spans="1:13" s="24" customFormat="1" ht="26.65" customHeight="1" x14ac:dyDescent="0.2">
      <c r="A6" s="46">
        <v>21000</v>
      </c>
      <c r="B6" s="47" t="s">
        <v>31</v>
      </c>
      <c r="C6" s="48">
        <f>' ARP-HCY I Budget Detail'!F43</f>
        <v>0</v>
      </c>
      <c r="D6" s="48">
        <f>' ARP-HCY I Budget Detail'!F44</f>
        <v>0</v>
      </c>
      <c r="E6" s="48">
        <f>' ARP-HCY I Budget Detail'!F45</f>
        <v>0</v>
      </c>
      <c r="F6" s="48">
        <f>' ARP-HCY I Budget Detail'!F46</f>
        <v>0</v>
      </c>
      <c r="G6" s="48">
        <f>' ARP-HCY I Budget Detail'!F47</f>
        <v>0</v>
      </c>
      <c r="H6" s="48">
        <f>' ARP-HCY I Budget Detail'!F48</f>
        <v>0</v>
      </c>
      <c r="I6" s="48">
        <f>' ARP-HCY I Budget Detail'!F49</f>
        <v>0</v>
      </c>
      <c r="J6" s="48">
        <f>' ARP-HCY I Budget Detail'!F50</f>
        <v>0</v>
      </c>
      <c r="K6" s="48">
        <f>' ARP-HCY I Budget Detail'!F51</f>
        <v>0</v>
      </c>
      <c r="L6" s="49">
        <f t="shared" si="0"/>
        <v>0</v>
      </c>
    </row>
    <row r="7" spans="1:13" s="24" customFormat="1" ht="26.45" customHeight="1" x14ac:dyDescent="0.2">
      <c r="A7" s="28">
        <v>22100</v>
      </c>
      <c r="B7" s="40" t="s">
        <v>104</v>
      </c>
      <c r="C7" s="41">
        <f>' ARP-HCY I Budget Detail'!F52</f>
        <v>0</v>
      </c>
      <c r="D7" s="41">
        <f>' ARP-HCY I Budget Detail'!F53</f>
        <v>0</v>
      </c>
      <c r="E7" s="41">
        <f>' ARP-HCY I Budget Detail'!F54</f>
        <v>0</v>
      </c>
      <c r="F7" s="41">
        <f>' ARP-HCY I Budget Detail'!F55</f>
        <v>0</v>
      </c>
      <c r="G7" s="41">
        <f>' ARP-HCY I Budget Detail'!F56</f>
        <v>0</v>
      </c>
      <c r="H7" s="41">
        <f>' ARP-HCY I Budget Detail'!F57</f>
        <v>0</v>
      </c>
      <c r="I7" s="41">
        <f>' ARP-HCY I Budget Detail'!F58</f>
        <v>0</v>
      </c>
      <c r="J7" s="41">
        <f>' ARP-HCY I Budget Detail'!F59</f>
        <v>0</v>
      </c>
      <c r="K7" s="41">
        <f>' ARP-HCY I Budget Detail'!F60</f>
        <v>0</v>
      </c>
      <c r="L7" s="30">
        <f t="shared" si="0"/>
        <v>0</v>
      </c>
    </row>
    <row r="8" spans="1:13" s="26" customFormat="1" ht="26.65" customHeight="1" x14ac:dyDescent="0.2">
      <c r="A8" s="46">
        <v>22900</v>
      </c>
      <c r="B8" s="47" t="s">
        <v>32</v>
      </c>
      <c r="C8" s="48">
        <f>' ARP-HCY I Budget Detail'!F61</f>
        <v>0</v>
      </c>
      <c r="D8" s="48">
        <f>' ARP-HCY I Budget Detail'!F62</f>
        <v>0</v>
      </c>
      <c r="E8" s="48">
        <f>' ARP-HCY I Budget Detail'!F63</f>
        <v>0</v>
      </c>
      <c r="F8" s="48">
        <f>' ARP-HCY I Budget Detail'!F64</f>
        <v>0</v>
      </c>
      <c r="G8" s="48">
        <f>' ARP-HCY I Budget Detail'!F65</f>
        <v>0</v>
      </c>
      <c r="H8" s="48">
        <f>' ARP-HCY I Budget Detail'!F66</f>
        <v>0</v>
      </c>
      <c r="I8" s="48">
        <f>' ARP-HCY I Budget Detail'!F67</f>
        <v>0</v>
      </c>
      <c r="J8" s="48">
        <f>' ARP-HCY I Budget Detail'!F68</f>
        <v>0</v>
      </c>
      <c r="K8" s="48">
        <f>' ARP-HCY I Budget Detail'!F69</f>
        <v>0</v>
      </c>
      <c r="L8" s="49">
        <f t="shared" si="0"/>
        <v>0</v>
      </c>
    </row>
    <row r="9" spans="1:13" s="24" customFormat="1" ht="26.65" customHeight="1" x14ac:dyDescent="0.2">
      <c r="A9" s="28">
        <v>25191</v>
      </c>
      <c r="B9" s="39" t="s">
        <v>33</v>
      </c>
      <c r="C9" s="41"/>
      <c r="D9" s="41"/>
      <c r="E9" s="41"/>
      <c r="F9" s="41"/>
      <c r="G9" s="41"/>
      <c r="H9" s="41"/>
      <c r="I9" s="41"/>
      <c r="J9" s="41"/>
      <c r="K9" s="41"/>
      <c r="L9" s="30">
        <f t="shared" si="0"/>
        <v>0</v>
      </c>
    </row>
    <row r="10" spans="1:13" s="24" customFormat="1" ht="26.65" customHeight="1" x14ac:dyDescent="0.2">
      <c r="A10" s="46">
        <v>26000</v>
      </c>
      <c r="B10" s="47" t="s">
        <v>114</v>
      </c>
      <c r="C10" s="48">
        <f>' ARP-HCY I Budget Detail'!F70</f>
        <v>0</v>
      </c>
      <c r="D10" s="48">
        <f>' ARP-HCY I Budget Detail'!F71</f>
        <v>0</v>
      </c>
      <c r="E10" s="48">
        <f>' ARP-HCY I Budget Detail'!F72</f>
        <v>0</v>
      </c>
      <c r="F10" s="48">
        <f>' ARP-HCY I Budget Detail'!F73</f>
        <v>0</v>
      </c>
      <c r="G10" s="48">
        <f>' ARP-HCY I Budget Detail'!F74</f>
        <v>0</v>
      </c>
      <c r="H10" s="48">
        <f>' ARP-HCY I Budget Detail'!F75</f>
        <v>0</v>
      </c>
      <c r="I10" s="48">
        <f>' ARP-HCY I Budget Detail'!F76</f>
        <v>0</v>
      </c>
      <c r="J10" s="48">
        <f>' ARP-HCY I Budget Detail'!F77</f>
        <v>0</v>
      </c>
      <c r="K10" s="48">
        <f>' ARP-HCY I Budget Detail'!F78</f>
        <v>0</v>
      </c>
      <c r="L10" s="49">
        <f t="shared" si="0"/>
        <v>0</v>
      </c>
    </row>
    <row r="11" spans="1:13" s="24" customFormat="1" ht="26.65" customHeight="1" x14ac:dyDescent="0.2">
      <c r="A11" s="29">
        <v>27000</v>
      </c>
      <c r="B11" s="39" t="s">
        <v>34</v>
      </c>
      <c r="C11" s="41">
        <f>' ARP-HCY I Budget Detail'!F79</f>
        <v>0</v>
      </c>
      <c r="D11" s="41">
        <f>' ARP-HCY I Budget Detail'!F80</f>
        <v>0</v>
      </c>
      <c r="E11" s="41">
        <f>' ARP-HCY I Budget Detail'!F81</f>
        <v>0</v>
      </c>
      <c r="F11" s="41">
        <f>' ARP-HCY I Budget Detail'!F82</f>
        <v>0</v>
      </c>
      <c r="G11" s="41">
        <f>' ARP-HCY I Budget Detail'!F83</f>
        <v>0</v>
      </c>
      <c r="H11" s="41">
        <f>' ARP-HCY I Budget Detail'!F84</f>
        <v>0</v>
      </c>
      <c r="I11" s="41">
        <f>' ARP-HCY I Budget Detail'!F85</f>
        <v>0</v>
      </c>
      <c r="J11" s="41">
        <f>' ARP-HCY I Budget Detail'!F86</f>
        <v>0</v>
      </c>
      <c r="K11" s="41">
        <f>' ARP-HCY I Budget Detail'!F87</f>
        <v>0</v>
      </c>
      <c r="L11" s="30">
        <f t="shared" si="0"/>
        <v>0</v>
      </c>
    </row>
    <row r="12" spans="1:13" s="24" customFormat="1" ht="26.65" customHeight="1" x14ac:dyDescent="0.2">
      <c r="A12" s="50">
        <v>33000</v>
      </c>
      <c r="B12" s="47" t="s">
        <v>35</v>
      </c>
      <c r="C12" s="48">
        <f>' ARP-HCY I Budget Detail'!F88</f>
        <v>0</v>
      </c>
      <c r="D12" s="48">
        <f>' ARP-HCY I Budget Detail'!F89</f>
        <v>0</v>
      </c>
      <c r="E12" s="48">
        <f>' ARP-HCY I Budget Detail'!F90</f>
        <v>0</v>
      </c>
      <c r="F12" s="48">
        <f>' ARP-HCY I Budget Detail'!F91</f>
        <v>0</v>
      </c>
      <c r="G12" s="48">
        <f>' ARP-HCY I Budget Detail'!F92</f>
        <v>0</v>
      </c>
      <c r="H12" s="48">
        <f>' ARP-HCY I Budget Detail'!F93</f>
        <v>0</v>
      </c>
      <c r="I12" s="48">
        <f>' ARP-HCY I Budget Detail'!F94</f>
        <v>0</v>
      </c>
      <c r="J12" s="48">
        <f>' ARP-HCY I Budget Detail'!F95</f>
        <v>0</v>
      </c>
      <c r="K12" s="48">
        <f>' ARP-HCY I Budget Detail'!F96</f>
        <v>0</v>
      </c>
      <c r="L12" s="49">
        <f t="shared" si="0"/>
        <v>0</v>
      </c>
    </row>
    <row r="13" spans="1:13" ht="26.65" customHeight="1" x14ac:dyDescent="0.2">
      <c r="A13" s="25"/>
      <c r="B13" s="27" t="s">
        <v>36</v>
      </c>
      <c r="C13" s="31">
        <f t="shared" ref="C13:K13" si="1">SUM(C5:C12)</f>
        <v>0</v>
      </c>
      <c r="D13" s="31">
        <f t="shared" si="1"/>
        <v>0</v>
      </c>
      <c r="E13" s="31">
        <f t="shared" si="1"/>
        <v>0</v>
      </c>
      <c r="F13" s="31">
        <f t="shared" si="1"/>
        <v>0</v>
      </c>
      <c r="G13" s="31">
        <f t="shared" si="1"/>
        <v>0</v>
      </c>
      <c r="H13" s="31">
        <f t="shared" si="1"/>
        <v>0</v>
      </c>
      <c r="I13" s="31">
        <f t="shared" si="1"/>
        <v>0</v>
      </c>
      <c r="J13" s="31">
        <f t="shared" si="1"/>
        <v>0</v>
      </c>
      <c r="K13" s="31">
        <f t="shared" si="1"/>
        <v>0</v>
      </c>
      <c r="L13" s="31">
        <f t="shared" si="0"/>
        <v>0</v>
      </c>
    </row>
    <row r="14" spans="1:13" ht="15" x14ac:dyDescent="0.25">
      <c r="A14" s="157" t="s">
        <v>37</v>
      </c>
      <c r="B14" s="158"/>
      <c r="C14" s="112"/>
      <c r="D14" s="159" t="s">
        <v>38</v>
      </c>
      <c r="E14" s="160"/>
      <c r="F14" s="160"/>
      <c r="G14" s="160"/>
      <c r="H14" s="160"/>
      <c r="I14" s="160"/>
      <c r="J14" s="160"/>
      <c r="K14" s="161"/>
      <c r="L14" s="114"/>
      <c r="M14" s="59"/>
    </row>
    <row r="15" spans="1:13" ht="15" x14ac:dyDescent="0.25">
      <c r="A15" s="51"/>
      <c r="B15" s="52"/>
      <c r="C15" s="52"/>
      <c r="D15" s="52"/>
      <c r="E15" s="52"/>
      <c r="F15" s="52"/>
      <c r="G15" s="52"/>
      <c r="H15" s="52"/>
      <c r="I15" s="52"/>
      <c r="J15" s="54" t="s">
        <v>39</v>
      </c>
      <c r="K15" s="55"/>
      <c r="L15" s="115">
        <f>SUM(L13,L14)-I13</f>
        <v>0</v>
      </c>
    </row>
    <row r="16" spans="1:13" ht="15" x14ac:dyDescent="0.25">
      <c r="A16" s="51"/>
      <c r="B16" s="52"/>
      <c r="C16" s="52"/>
      <c r="D16" s="52"/>
      <c r="E16" s="52"/>
      <c r="F16" s="52"/>
      <c r="G16" s="52"/>
      <c r="H16" s="52"/>
      <c r="I16" s="52"/>
      <c r="J16" s="119" t="s">
        <v>40</v>
      </c>
      <c r="K16" s="62"/>
      <c r="L16" s="120">
        <f>(C14/100)*L15</f>
        <v>0</v>
      </c>
    </row>
    <row r="17" spans="1:12" ht="15" x14ac:dyDescent="0.25">
      <c r="A17" s="51"/>
      <c r="B17" s="52"/>
      <c r="C17" s="52"/>
      <c r="D17" s="52"/>
      <c r="E17" s="52"/>
      <c r="F17" s="52"/>
      <c r="G17" s="52"/>
      <c r="H17" s="52"/>
      <c r="I17" s="52"/>
      <c r="J17" s="121" t="s">
        <v>41</v>
      </c>
      <c r="K17" s="122"/>
      <c r="L17" s="123">
        <f>' ARP-HCY I Budget Detail'!F98</f>
        <v>0</v>
      </c>
    </row>
    <row r="18" spans="1:12" ht="15" x14ac:dyDescent="0.25">
      <c r="A18" s="51"/>
      <c r="B18" s="52"/>
      <c r="C18" s="52"/>
      <c r="D18" s="52"/>
      <c r="E18" s="52"/>
      <c r="F18" s="52"/>
      <c r="G18" s="52"/>
      <c r="H18" s="52"/>
      <c r="I18" s="52"/>
      <c r="J18" s="124" t="s">
        <v>42</v>
      </c>
      <c r="K18" s="125"/>
      <c r="L18" s="126">
        <f>' ARP-HCY I Budget Detail'!F99</f>
        <v>0</v>
      </c>
    </row>
    <row r="19" spans="1:12" ht="15" x14ac:dyDescent="0.25">
      <c r="A19" s="53"/>
      <c r="B19" s="52"/>
      <c r="C19" s="52"/>
      <c r="D19" s="52"/>
      <c r="E19" s="52"/>
      <c r="F19" s="52"/>
      <c r="G19" s="52"/>
      <c r="H19" s="52"/>
      <c r="I19" s="52"/>
      <c r="J19" s="116"/>
      <c r="K19" s="117"/>
      <c r="L19" s="118"/>
    </row>
  </sheetData>
  <sheetProtection formatColumns="0" selectLockedCells="1"/>
  <mergeCells count="5">
    <mergeCell ref="A14:B14"/>
    <mergeCell ref="D14:K14"/>
    <mergeCell ref="A1:L1"/>
    <mergeCell ref="A2:L2"/>
    <mergeCell ref="A3:B3"/>
  </mergeCells>
  <conditionalFormatting sqref="L16:L17">
    <cfRule type="cellIs" dxfId="0" priority="3" operator="greaterThan">
      <formula>$L$16</formula>
    </cfRule>
  </conditionalFormatting>
  <dataValidations count="1">
    <dataValidation allowBlank="1" showInputMessage="1" showErrorMessage="1" prompt="Enter value in parantheses i.e (15000)" sqref="L14" xr:uid="{00000000-0002-0000-0300-000000000000}"/>
  </dataValidations>
  <hyperlinks>
    <hyperlink ref="A14:B14" r:id="rId1" display="Indirect Cost Rate %:" xr:uid="{00000000-0004-0000-0300-000000000000}"/>
    <hyperlink ref="A3:B3" r:id="rId2" display="Object List" xr:uid="{00000000-0004-0000-0300-000001000000}"/>
  </hyperlinks>
  <pageMargins left="0.7" right="0.7" top="0.75" bottom="0.75" header="0.3" footer="0.3"/>
  <pageSetup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 ARP-HCY I Budget Detail</vt:lpstr>
      <vt:lpstr>ARP-HCY I Budget Summary</vt:lpstr>
      <vt:lpstr>Sheet4</vt:lpstr>
      <vt:lpstr>ARP-HCY I Budget Table</vt:lpstr>
      <vt:lpstr>Category</vt:lpstr>
      <vt:lpstr>DUNS</vt:lpstr>
      <vt:lpstr>LEA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 524 Form and Instructions - Budget Information, Non-Construction Programs (MS Word)</dc:title>
  <dc:subject>ED 524 Form and Instructions - Budget Information, Non-Construction Programs</dc:subject>
  <dc:creator>ED/RMS</dc:creator>
  <cp:keywords>grants; application; form; ED 524</cp:keywords>
  <cp:lastModifiedBy>Pitt, Adam L</cp:lastModifiedBy>
  <cp:lastPrinted>2019-06-11T20:38:40Z</cp:lastPrinted>
  <dcterms:created xsi:type="dcterms:W3CDTF">2014-11-12T09:03:40Z</dcterms:created>
  <dcterms:modified xsi:type="dcterms:W3CDTF">2021-05-05T12:01:17Z</dcterms:modified>
</cp:coreProperties>
</file>